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than\Desktop\Backup\9. 재무회계\Y2022\Y2022.12\2. 연결\1. 정산표\1. 취합\"/>
    </mc:Choice>
  </mc:AlternateContent>
  <xr:revisionPtr revIDLastSave="0" documentId="13_ncr:1_{BB831DED-F067-4FFF-8E9C-E94709057976}" xr6:coauthVersionLast="47" xr6:coauthVersionMax="47" xr10:uidLastSave="{00000000-0000-0000-0000-000000000000}"/>
  <bookViews>
    <workbookView xWindow="-120" yWindow="-120" windowWidth="29040" windowHeight="15840" tabRatio="908" firstSheet="3" activeTab="5" xr2:uid="{00000000-000D-0000-FFFF-FFFF00000000}"/>
  </bookViews>
  <sheets>
    <sheet name="INDEX" sheetId="20" state="hidden" r:id="rId1"/>
    <sheet name="SCOPE" sheetId="2" state="hidden" r:id="rId2"/>
    <sheet name="CF.1_2개월(단순차감)" sheetId="48" state="hidden" r:id="rId3"/>
    <sheet name="자본변동" sheetId="17" r:id="rId4"/>
    <sheet name="재무상태요약" sheetId="46" r:id="rId5"/>
    <sheet name="T_BS" sheetId="1" r:id="rId6"/>
    <sheet name="T_IS _10월" sheetId="50" state="hidden" r:id="rId7"/>
    <sheet name="T_IS" sheetId="3" r:id="rId8"/>
    <sheet name="T_CE" sheetId="38" r:id="rId9"/>
    <sheet name="CF.1" sheetId="23" r:id="rId10"/>
    <sheet name="CF.2" sheetId="24" r:id="rId11"/>
    <sheet name="BS(공)" sheetId="26" r:id="rId12"/>
    <sheet name="IS(공)" sheetId="33" r:id="rId13"/>
    <sheet name="CE(공)" sheetId="39" r:id="rId14"/>
    <sheet name="CF(공)_1.0" sheetId="25" r:id="rId15"/>
    <sheet name="CF(공)_2.0" sheetId="30" state="hidden" r:id="rId16"/>
    <sheet name="TB" sheetId="45" state="hidden" r:id="rId17"/>
    <sheet name="연결조정 분개" sheetId="44" state="hidden" r:id="rId18"/>
    <sheet name="CFS(2개월)" sheetId="55" state="hidden" r:id="rId19"/>
    <sheet name="스튜디오돌핀(취득일BS)" sheetId="47" state="hidden" r:id="rId20"/>
    <sheet name="CFS(연간)" sheetId="31" r:id="rId21"/>
    <sheet name="T198_TB" sheetId="22" r:id="rId22"/>
    <sheet name="1.0" sheetId="4" r:id="rId23"/>
    <sheet name="2.1" sheetId="42" state="hidden" r:id="rId24"/>
    <sheet name="2.0" sheetId="5" r:id="rId25"/>
    <sheet name="3.1" sheetId="7" state="hidden" r:id="rId26"/>
    <sheet name="3.0" sheetId="6" r:id="rId27"/>
    <sheet name="4.0" sheetId="8" r:id="rId28"/>
    <sheet name="5.0" sheetId="9" r:id="rId29"/>
    <sheet name="5.1_V2" sheetId="34" state="hidden" r:id="rId30"/>
    <sheet name="5.1" sheetId="10" r:id="rId31"/>
    <sheet name="5.2" sheetId="11" r:id="rId32"/>
    <sheet name="5.2_V2" sheetId="35" state="hidden" r:id="rId33"/>
    <sheet name="5.3" sheetId="43" state="hidden" r:id="rId34"/>
    <sheet name="7.1" sheetId="18" state="hidden" r:id="rId35"/>
    <sheet name="6.0" sheetId="12" r:id="rId36"/>
    <sheet name="7.0" sheetId="13" r:id="rId37"/>
    <sheet name="8.0" sheetId="14" r:id="rId38"/>
    <sheet name="8.1" sheetId="21" r:id="rId39"/>
    <sheet name="OCI" sheetId="16" r:id="rId40"/>
    <sheet name="NCE" sheetId="15" state="hidden" r:id="rId41"/>
    <sheet name="NCI" sheetId="19" r:id="rId42"/>
    <sheet name="Tickmarks2022-07-13 오후 4.28.39" sheetId="56" state="hidden" r:id="rId43"/>
    <sheet name="RNotes2022-07-13 오후 4.28.39" sheetId="57" state="hidden" r:id="rId44"/>
    <sheet name="TextXRef2022-07-13 오후 4.28.39" sheetId="58" state="hidden" r:id="rId45"/>
    <sheet name="NumXRef2022-07-13 오후 4.28.39" sheetId="59" state="hidden" r:id="rId46"/>
    <sheet name="Tickmarks2022-10-13 오후 3.20.15" sheetId="60" r:id="rId47"/>
    <sheet name="RNotes2022-10-13 오후 3.20.15" sheetId="61" r:id="rId48"/>
    <sheet name="TextXRef2022-10-13 오후 3.20.15" sheetId="62" r:id="rId49"/>
    <sheet name="NumXRef2022-10-13 오후 3.20.15" sheetId="63" r:id="rId50"/>
    <sheet name="Tickmarks2022-10-13 오후 6.54.54" sheetId="64" r:id="rId51"/>
    <sheet name="RNotes2022-10-13 오후 6.54.54" sheetId="65" r:id="rId52"/>
    <sheet name="TextXRef2022-10-13 오후 6.54.54" sheetId="66" r:id="rId53"/>
    <sheet name="NumXRef2022-10-13 오후 6.54.54" sheetId="67" r:id="rId54"/>
  </sheets>
  <externalReferences>
    <externalReference r:id="rId55"/>
    <externalReference r:id="rId56"/>
    <externalReference r:id="rId57"/>
  </externalReferences>
  <definedNames>
    <definedName name="_xlnm._FilterDatabase" localSheetId="22" hidden="1">'1.0'!$D$5:$V$5</definedName>
    <definedName name="_xlnm._FilterDatabase" localSheetId="24" hidden="1">'2.0'!$D$5:$V$5</definedName>
    <definedName name="_xlnm._FilterDatabase" localSheetId="26" hidden="1">'3.0'!$D$5:$W$210</definedName>
    <definedName name="_xlnm._FilterDatabase" localSheetId="28" hidden="1">'5.0'!$D$5:$N$16</definedName>
    <definedName name="_xlnm._FilterDatabase" localSheetId="14" hidden="1">'CF(공)_1.0'!$D$4:$L$107</definedName>
    <definedName name="_xlnm._FilterDatabase" localSheetId="9" hidden="1">'CF.1'!$D$6:$W$358</definedName>
    <definedName name="_xlnm._FilterDatabase" localSheetId="2" hidden="1">'CF.1_2개월(단순차감)'!$D$6:$U$358</definedName>
    <definedName name="_xlnm._FilterDatabase" localSheetId="18" hidden="1">'CFS(2개월)'!$D$4:$M$317</definedName>
    <definedName name="_xlnm._FilterDatabase" localSheetId="20" hidden="1">'CFS(연간)'!$D$4:$M$315</definedName>
    <definedName name="_xlnm._FilterDatabase" localSheetId="5" hidden="1">T_BS!$D$5:$AN$258</definedName>
    <definedName name="_xlnm._FilterDatabase" localSheetId="7" hidden="1">T_IS!$D$5:$L$130</definedName>
    <definedName name="_xlnm._FilterDatabase" localSheetId="6" hidden="1">'T_IS _10월'!$D$5:$L$127</definedName>
    <definedName name="_xlnm._FilterDatabase" localSheetId="21" hidden="1">T198_TB!$D$4:$M$174</definedName>
    <definedName name="_xlnm._FilterDatabase" localSheetId="16" hidden="1">TB!$A$1:$N$1</definedName>
    <definedName name="_xlnm._FilterDatabase" localSheetId="19" hidden="1">'스튜디오돌핀(취득일BS)'!$D$2:$I$214</definedName>
    <definedName name="_xlnm._FilterDatabase" localSheetId="17" hidden="1">'연결조정 분개'!$C$5:$AA$173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30" i="3" l="1"/>
  <c r="I32" i="33"/>
  <c r="I31" i="33"/>
  <c r="Y14" i="26"/>
  <c r="X14" i="26"/>
  <c r="P21" i="26"/>
  <c r="P20" i="26"/>
  <c r="T21" i="26"/>
  <c r="N14" i="26"/>
  <c r="L14" i="26"/>
  <c r="J14" i="26"/>
  <c r="H14" i="26"/>
  <c r="G21" i="26"/>
  <c r="F24" i="39"/>
  <c r="E24" i="39"/>
  <c r="I24" i="39" s="1"/>
  <c r="K24" i="39" s="1"/>
  <c r="E39" i="46" l="1"/>
  <c r="E38" i="46"/>
  <c r="M4" i="6" l="1"/>
  <c r="L4" i="6"/>
  <c r="L42" i="6"/>
  <c r="V33" i="9" l="1"/>
  <c r="V32" i="9"/>
  <c r="V31" i="9"/>
  <c r="V28" i="4"/>
  <c r="V27" i="4"/>
  <c r="V26" i="4"/>
  <c r="H5" i="14"/>
  <c r="H6" i="14"/>
  <c r="H7" i="14"/>
  <c r="H9" i="14"/>
  <c r="H10" i="14"/>
  <c r="H12" i="14"/>
  <c r="H17" i="14"/>
  <c r="H18" i="14"/>
  <c r="H19" i="14"/>
  <c r="H21" i="14"/>
  <c r="H22" i="14"/>
  <c r="H23" i="14"/>
  <c r="H25" i="14"/>
  <c r="H22" i="17" l="1"/>
  <c r="H11" i="17"/>
  <c r="G11" i="17"/>
  <c r="F11" i="17"/>
  <c r="I9" i="17"/>
  <c r="H9" i="17"/>
  <c r="G9" i="17"/>
  <c r="F9" i="17"/>
  <c r="F63" i="17" s="1"/>
  <c r="M25" i="14"/>
  <c r="R28" i="6" l="1"/>
  <c r="V12" i="8" l="1"/>
  <c r="V11" i="8"/>
  <c r="V15" i="8"/>
  <c r="V14" i="8"/>
  <c r="K238" i="1" l="1"/>
  <c r="I11" i="17" s="1"/>
  <c r="T238" i="1" l="1"/>
  <c r="S238" i="1"/>
  <c r="R238" i="1"/>
  <c r="Q238" i="1"/>
  <c r="O238" i="1"/>
  <c r="N238" i="1"/>
  <c r="U235" i="1"/>
  <c r="T235" i="1"/>
  <c r="S235" i="1"/>
  <c r="R235" i="1"/>
  <c r="Q235" i="1"/>
  <c r="P235" i="1"/>
  <c r="O235" i="1"/>
  <c r="N235" i="1"/>
  <c r="L238" i="1"/>
  <c r="L235" i="1"/>
  <c r="K233" i="1"/>
  <c r="J233" i="1"/>
  <c r="I233" i="1"/>
  <c r="H233" i="1"/>
  <c r="U149" i="1"/>
  <c r="T149" i="1"/>
  <c r="S149" i="1"/>
  <c r="R149" i="1"/>
  <c r="Q149" i="1"/>
  <c r="O149" i="1"/>
  <c r="N149" i="1"/>
  <c r="U148" i="1"/>
  <c r="T148" i="1"/>
  <c r="S148" i="1"/>
  <c r="R148" i="1"/>
  <c r="Q148" i="1"/>
  <c r="O148" i="1"/>
  <c r="O147" i="1" s="1"/>
  <c r="N148" i="1"/>
  <c r="L149" i="1"/>
  <c r="L148" i="1"/>
  <c r="L147" i="1" s="1"/>
  <c r="K147" i="1"/>
  <c r="J147" i="1"/>
  <c r="I147" i="1"/>
  <c r="H147" i="1"/>
  <c r="Q147" i="1" l="1"/>
  <c r="T147" i="1"/>
  <c r="R147" i="1"/>
  <c r="U147" i="1"/>
  <c r="V235" i="1"/>
  <c r="X235" i="1" s="1"/>
  <c r="M9" i="14" s="1"/>
  <c r="S147" i="1"/>
  <c r="N147" i="1"/>
  <c r="AI126" i="3"/>
  <c r="AI123" i="3"/>
  <c r="AI122" i="3"/>
  <c r="AI120" i="3"/>
  <c r="AI119" i="3"/>
  <c r="AI118" i="3"/>
  <c r="AI116" i="3"/>
  <c r="AI115" i="3"/>
  <c r="AI114" i="3"/>
  <c r="AI113" i="3"/>
  <c r="AI112" i="3"/>
  <c r="AI111" i="3"/>
  <c r="AI110" i="3"/>
  <c r="AI109" i="3"/>
  <c r="AI108" i="3"/>
  <c r="AI106" i="3"/>
  <c r="AI105" i="3"/>
  <c r="AI104" i="3"/>
  <c r="AI103" i="3"/>
  <c r="AI102" i="3"/>
  <c r="AI101" i="3"/>
  <c r="AI99" i="3"/>
  <c r="AI98" i="3"/>
  <c r="AI97" i="3"/>
  <c r="AI96" i="3"/>
  <c r="AI95" i="3"/>
  <c r="AI94" i="3"/>
  <c r="AI93" i="3"/>
  <c r="AI92" i="3"/>
  <c r="AI91" i="3"/>
  <c r="AI90" i="3"/>
  <c r="AI89" i="3"/>
  <c r="AI88" i="3"/>
  <c r="AI86" i="3"/>
  <c r="AI85" i="3"/>
  <c r="AI84" i="3"/>
  <c r="AI83" i="3"/>
  <c r="AI82" i="3"/>
  <c r="AI81" i="3"/>
  <c r="AI80" i="3"/>
  <c r="AI79" i="3"/>
  <c r="AI78" i="3"/>
  <c r="AI77" i="3"/>
  <c r="AI74" i="3"/>
  <c r="AI73" i="3"/>
  <c r="AI72" i="3"/>
  <c r="AI71" i="3"/>
  <c r="AI70" i="3"/>
  <c r="AI69" i="3"/>
  <c r="AI68" i="3"/>
  <c r="AI67" i="3"/>
  <c r="AI66" i="3"/>
  <c r="AI65" i="3"/>
  <c r="AI64" i="3"/>
  <c r="AI63" i="3"/>
  <c r="AI62" i="3"/>
  <c r="AI61" i="3"/>
  <c r="AI60" i="3"/>
  <c r="AI59" i="3"/>
  <c r="AI58" i="3"/>
  <c r="AI57" i="3"/>
  <c r="AI56" i="3"/>
  <c r="AI55" i="3"/>
  <c r="AI54" i="3"/>
  <c r="AI53" i="3"/>
  <c r="AI52" i="3"/>
  <c r="AI51" i="3"/>
  <c r="AI50" i="3"/>
  <c r="AI49" i="3"/>
  <c r="AI48" i="3"/>
  <c r="AI47" i="3"/>
  <c r="AI46" i="3"/>
  <c r="AI45" i="3"/>
  <c r="AI44" i="3"/>
  <c r="AI43" i="3"/>
  <c r="AI42" i="3"/>
  <c r="AI41" i="3"/>
  <c r="AI40" i="3"/>
  <c r="AI39" i="3"/>
  <c r="AI38" i="3"/>
  <c r="AI35" i="3"/>
  <c r="AI34" i="3"/>
  <c r="AI33" i="3"/>
  <c r="AI32" i="3"/>
  <c r="AI31" i="3"/>
  <c r="AI30" i="3"/>
  <c r="AI29" i="3"/>
  <c r="AI28" i="3"/>
  <c r="AI27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Y10" i="38" l="1"/>
  <c r="Z10" i="38" s="1"/>
  <c r="Z235" i="1"/>
  <c r="L91" i="22"/>
  <c r="J91" i="22" s="1"/>
  <c r="AB4" i="1"/>
  <c r="M38" i="6" l="1"/>
  <c r="M37" i="6"/>
  <c r="L38" i="6" s="1"/>
  <c r="AC4" i="1"/>
  <c r="AE126" i="3"/>
  <c r="AE125" i="3" s="1"/>
  <c r="AA126" i="3"/>
  <c r="AE123" i="3"/>
  <c r="AA123" i="3"/>
  <c r="AE122" i="3"/>
  <c r="AA122" i="3"/>
  <c r="AA121" i="3" s="1"/>
  <c r="AE120" i="3"/>
  <c r="AA120" i="3"/>
  <c r="AE119" i="3"/>
  <c r="AA119" i="3"/>
  <c r="AA117" i="3" s="1"/>
  <c r="AE118" i="3"/>
  <c r="AA118" i="3"/>
  <c r="AE116" i="3"/>
  <c r="AA116" i="3"/>
  <c r="AE115" i="3"/>
  <c r="AA115" i="3"/>
  <c r="AE114" i="3"/>
  <c r="AA114" i="3"/>
  <c r="AE113" i="3"/>
  <c r="AA113" i="3"/>
  <c r="AE112" i="3"/>
  <c r="AA112" i="3"/>
  <c r="AE111" i="3"/>
  <c r="AA111" i="3"/>
  <c r="AE110" i="3"/>
  <c r="AA110" i="3"/>
  <c r="AE109" i="3"/>
  <c r="AA109" i="3"/>
  <c r="AE108" i="3"/>
  <c r="AA108" i="3"/>
  <c r="AE106" i="3"/>
  <c r="AA106" i="3"/>
  <c r="AE105" i="3"/>
  <c r="AA105" i="3"/>
  <c r="AE104" i="3"/>
  <c r="AA104" i="3"/>
  <c r="AE103" i="3"/>
  <c r="AA103" i="3"/>
  <c r="AE102" i="3"/>
  <c r="AA102" i="3"/>
  <c r="AE101" i="3"/>
  <c r="AA101" i="3"/>
  <c r="AE99" i="3"/>
  <c r="AA99" i="3"/>
  <c r="AE98" i="3"/>
  <c r="AA98" i="3"/>
  <c r="AE97" i="3"/>
  <c r="AA97" i="3"/>
  <c r="AE96" i="3"/>
  <c r="AA96" i="3"/>
  <c r="AE95" i="3"/>
  <c r="AA95" i="3"/>
  <c r="AE94" i="3"/>
  <c r="AA94" i="3"/>
  <c r="AE93" i="3"/>
  <c r="AA93" i="3"/>
  <c r="AE92" i="3"/>
  <c r="AA92" i="3"/>
  <c r="AE91" i="3"/>
  <c r="AA91" i="3"/>
  <c r="AE90" i="3"/>
  <c r="AA90" i="3"/>
  <c r="AE89" i="3"/>
  <c r="AA89" i="3"/>
  <c r="AE88" i="3"/>
  <c r="AA88" i="3"/>
  <c r="AE86" i="3"/>
  <c r="AA86" i="3"/>
  <c r="AE85" i="3"/>
  <c r="AA85" i="3"/>
  <c r="AE84" i="3"/>
  <c r="AA84" i="3"/>
  <c r="AE83" i="3"/>
  <c r="AA83" i="3"/>
  <c r="AE82" i="3"/>
  <c r="AA82" i="3"/>
  <c r="AE81" i="3"/>
  <c r="AA81" i="3"/>
  <c r="AE80" i="3"/>
  <c r="AA80" i="3"/>
  <c r="AE79" i="3"/>
  <c r="AA79" i="3"/>
  <c r="AE78" i="3"/>
  <c r="AA78" i="3"/>
  <c r="AE77" i="3"/>
  <c r="AA77" i="3"/>
  <c r="AE74" i="3"/>
  <c r="AA74" i="3"/>
  <c r="AE73" i="3"/>
  <c r="AA73" i="3"/>
  <c r="AE72" i="3"/>
  <c r="AA72" i="3"/>
  <c r="AE71" i="3"/>
  <c r="AA71" i="3"/>
  <c r="AE70" i="3"/>
  <c r="AA70" i="3"/>
  <c r="AE69" i="3"/>
  <c r="AA69" i="3"/>
  <c r="AE68" i="3"/>
  <c r="AA68" i="3"/>
  <c r="AE67" i="3"/>
  <c r="AA67" i="3"/>
  <c r="AE66" i="3"/>
  <c r="AA66" i="3"/>
  <c r="AE65" i="3"/>
  <c r="AA65" i="3"/>
  <c r="AE64" i="3"/>
  <c r="AA64" i="3"/>
  <c r="AE63" i="3"/>
  <c r="AA63" i="3"/>
  <c r="AE62" i="3"/>
  <c r="AA62" i="3"/>
  <c r="AE61" i="3"/>
  <c r="AA61" i="3"/>
  <c r="AE60" i="3"/>
  <c r="AA60" i="3"/>
  <c r="AE59" i="3"/>
  <c r="AA59" i="3"/>
  <c r="AE58" i="3"/>
  <c r="AA58" i="3"/>
  <c r="AE57" i="3"/>
  <c r="AA57" i="3"/>
  <c r="AE56" i="3"/>
  <c r="AA56" i="3"/>
  <c r="AE55" i="3"/>
  <c r="AA55" i="3"/>
  <c r="AE54" i="3"/>
  <c r="AA54" i="3"/>
  <c r="AE53" i="3"/>
  <c r="AA53" i="3"/>
  <c r="AE52" i="3"/>
  <c r="AA52" i="3"/>
  <c r="AE51" i="3"/>
  <c r="AA51" i="3"/>
  <c r="AE50" i="3"/>
  <c r="AA50" i="3"/>
  <c r="AE49" i="3"/>
  <c r="AA49" i="3"/>
  <c r="AE48" i="3"/>
  <c r="AA48" i="3"/>
  <c r="AE47" i="3"/>
  <c r="AA47" i="3"/>
  <c r="AE46" i="3"/>
  <c r="AA46" i="3"/>
  <c r="AE45" i="3"/>
  <c r="AA45" i="3"/>
  <c r="AE44" i="3"/>
  <c r="AA44" i="3"/>
  <c r="AE43" i="3"/>
  <c r="AA43" i="3"/>
  <c r="AE42" i="3"/>
  <c r="AA42" i="3"/>
  <c r="AE41" i="3"/>
  <c r="AA41" i="3"/>
  <c r="AE40" i="3"/>
  <c r="AA40" i="3"/>
  <c r="AE39" i="3"/>
  <c r="AA39" i="3"/>
  <c r="AE38" i="3"/>
  <c r="AA38" i="3"/>
  <c r="AE35" i="3"/>
  <c r="AA35" i="3"/>
  <c r="AE34" i="3"/>
  <c r="AA34" i="3"/>
  <c r="AE33" i="3"/>
  <c r="AA33" i="3"/>
  <c r="AE32" i="3"/>
  <c r="AA32" i="3"/>
  <c r="AE31" i="3"/>
  <c r="AA31" i="3"/>
  <c r="AE30" i="3"/>
  <c r="AA30" i="3"/>
  <c r="AE29" i="3"/>
  <c r="AA29" i="3"/>
  <c r="AA26" i="3" s="1"/>
  <c r="AE28" i="3"/>
  <c r="AA28" i="3"/>
  <c r="AE27" i="3"/>
  <c r="AA27" i="3"/>
  <c r="AE25" i="3"/>
  <c r="AA25" i="3"/>
  <c r="AE24" i="3"/>
  <c r="AA24" i="3"/>
  <c r="AE23" i="3"/>
  <c r="AA23" i="3"/>
  <c r="AE22" i="3"/>
  <c r="AA22" i="3"/>
  <c r="AE21" i="3"/>
  <c r="AA21" i="3"/>
  <c r="AE20" i="3"/>
  <c r="AA20" i="3"/>
  <c r="AE19" i="3"/>
  <c r="AA19" i="3"/>
  <c r="AE18" i="3"/>
  <c r="AA18" i="3"/>
  <c r="AE17" i="3"/>
  <c r="AA17" i="3"/>
  <c r="AE16" i="3"/>
  <c r="AA16" i="3"/>
  <c r="AE15" i="3"/>
  <c r="AA15" i="3"/>
  <c r="AE14" i="3"/>
  <c r="AA14" i="3"/>
  <c r="AE13" i="3"/>
  <c r="AA13" i="3"/>
  <c r="AE12" i="3"/>
  <c r="AA12" i="3"/>
  <c r="AE11" i="3"/>
  <c r="AA11" i="3"/>
  <c r="AE10" i="3"/>
  <c r="AA10" i="3"/>
  <c r="AE9" i="3"/>
  <c r="AA9" i="3"/>
  <c r="AE8" i="3"/>
  <c r="AA8" i="3"/>
  <c r="AE7" i="3"/>
  <c r="AA7" i="3"/>
  <c r="AA125" i="3"/>
  <c r="AE117" i="3"/>
  <c r="AA37" i="3" l="1"/>
  <c r="AE37" i="3"/>
  <c r="AE87" i="3"/>
  <c r="AA100" i="3"/>
  <c r="AA6" i="3"/>
  <c r="AA36" i="3" s="1"/>
  <c r="AA75" i="3" s="1"/>
  <c r="AA76" i="3"/>
  <c r="AA107" i="3"/>
  <c r="AA87" i="3"/>
  <c r="AE121" i="3"/>
  <c r="AE107" i="3"/>
  <c r="AE26" i="3"/>
  <c r="AE6" i="3"/>
  <c r="AE76" i="3"/>
  <c r="AE100" i="3"/>
  <c r="AA124" i="3" l="1"/>
  <c r="AA127" i="3" s="1"/>
  <c r="AA128" i="3" s="1"/>
  <c r="AE36" i="3"/>
  <c r="AE75" i="3" s="1"/>
  <c r="AE124" i="3" s="1"/>
  <c r="AE127" i="3" s="1"/>
  <c r="AE128" i="3" s="1"/>
  <c r="V47" i="12" l="1"/>
  <c r="V49" i="12" s="1"/>
  <c r="U4" i="9" l="1"/>
  <c r="T4" i="9"/>
  <c r="S4" i="9"/>
  <c r="R30" i="6" l="1"/>
  <c r="R29" i="6"/>
  <c r="R27" i="6"/>
  <c r="R26" i="6"/>
  <c r="R25" i="6"/>
  <c r="R24" i="6"/>
  <c r="R21" i="6"/>
  <c r="W4" i="38" l="1"/>
  <c r="U4" i="13"/>
  <c r="U4" i="12" l="1"/>
  <c r="U4" i="5"/>
  <c r="U24" i="4"/>
  <c r="U17" i="4"/>
  <c r="U14" i="4"/>
  <c r="U9" i="4"/>
  <c r="U4" i="4" s="1"/>
  <c r="I37" i="33" l="1"/>
  <c r="I36" i="33"/>
  <c r="I35" i="33"/>
  <c r="I34" i="33"/>
  <c r="W39" i="38"/>
  <c r="W38" i="38"/>
  <c r="W37" i="38"/>
  <c r="W36" i="38"/>
  <c r="W35" i="38"/>
  <c r="W34" i="38"/>
  <c r="W33" i="38"/>
  <c r="AD4" i="1"/>
  <c r="L92" i="25" l="1"/>
  <c r="K92" i="25"/>
  <c r="J92" i="25"/>
  <c r="I92" i="25"/>
  <c r="H92" i="25"/>
  <c r="G92" i="25"/>
  <c r="J22" i="39" l="1"/>
  <c r="E132" i="24"/>
  <c r="G132" i="24" s="1"/>
  <c r="J132" i="24" s="1"/>
  <c r="M132" i="24" s="1"/>
  <c r="X278" i="23" l="1"/>
  <c r="X272" i="23"/>
  <c r="H344" i="23" l="1"/>
  <c r="H343" i="23" s="1"/>
  <c r="H323" i="23"/>
  <c r="H301" i="23"/>
  <c r="H242" i="23"/>
  <c r="H184" i="23"/>
  <c r="H177" i="23"/>
  <c r="H127" i="23"/>
  <c r="H8" i="23"/>
  <c r="H10" i="23"/>
  <c r="H75" i="23"/>
  <c r="H300" i="23" l="1"/>
  <c r="H183" i="23"/>
  <c r="H7" i="23"/>
  <c r="H349" i="23" l="1"/>
  <c r="J343" i="23"/>
  <c r="J323" i="23"/>
  <c r="J301" i="23"/>
  <c r="J242" i="23"/>
  <c r="J184" i="23"/>
  <c r="J177" i="23"/>
  <c r="J127" i="23"/>
  <c r="J75" i="23"/>
  <c r="J10" i="23"/>
  <c r="J8" i="23"/>
  <c r="K127" i="23"/>
  <c r="H358" i="23" l="1"/>
  <c r="J300" i="23"/>
  <c r="J7" i="23"/>
  <c r="J183" i="23"/>
  <c r="J349" i="23" l="1"/>
  <c r="J358" i="23" s="1"/>
  <c r="K344" i="23" l="1"/>
  <c r="K343" i="23" s="1"/>
  <c r="K323" i="23"/>
  <c r="K301" i="23"/>
  <c r="K242" i="23"/>
  <c r="K184" i="23"/>
  <c r="K177" i="23"/>
  <c r="K75" i="23"/>
  <c r="K10" i="23"/>
  <c r="K8" i="23"/>
  <c r="K300" i="23" l="1"/>
  <c r="K183" i="23"/>
  <c r="K7" i="23"/>
  <c r="K349" i="23" l="1"/>
  <c r="K358" i="23" s="1"/>
  <c r="I344" i="23"/>
  <c r="I343" i="23" s="1"/>
  <c r="T4" i="13" l="1"/>
  <c r="V34" i="8" l="1"/>
  <c r="L49" i="6" l="1"/>
  <c r="M50" i="6" s="1"/>
  <c r="M45" i="6" l="1"/>
  <c r="G10" i="39"/>
  <c r="H8" i="39"/>
  <c r="L8" i="39" s="1"/>
  <c r="J37" i="33"/>
  <c r="J36" i="33"/>
  <c r="J35" i="33"/>
  <c r="J34" i="33"/>
  <c r="AA25" i="33" l="1"/>
  <c r="Z25" i="33"/>
  <c r="AA23" i="33"/>
  <c r="Z23" i="33"/>
  <c r="AA20" i="33"/>
  <c r="Z20" i="33"/>
  <c r="AA19" i="33"/>
  <c r="Z19" i="33"/>
  <c r="AA17" i="33"/>
  <c r="Z17" i="33"/>
  <c r="AA15" i="33"/>
  <c r="Z15" i="33"/>
  <c r="AA14" i="33"/>
  <c r="Z14" i="33"/>
  <c r="AA13" i="33"/>
  <c r="Z13" i="33"/>
  <c r="AA12" i="33"/>
  <c r="Z12" i="33"/>
  <c r="AA11" i="33"/>
  <c r="Z11" i="33"/>
  <c r="AA9" i="33"/>
  <c r="Z9" i="33"/>
  <c r="AA7" i="33"/>
  <c r="Z7" i="33"/>
  <c r="Z6" i="33"/>
  <c r="AA6" i="33"/>
  <c r="AE4" i="1" l="1"/>
  <c r="AF4" i="1"/>
  <c r="AG4" i="1"/>
  <c r="AG258" i="1"/>
  <c r="AI125" i="3"/>
  <c r="AI117" i="3"/>
  <c r="AI107" i="3" l="1"/>
  <c r="AI87" i="3"/>
  <c r="AI6" i="3"/>
  <c r="AI76" i="3"/>
  <c r="AI121" i="3"/>
  <c r="AI37" i="3"/>
  <c r="AI100" i="3"/>
  <c r="AI26" i="3"/>
  <c r="AI36" i="3" l="1"/>
  <c r="AI75" i="3" s="1"/>
  <c r="AI124" i="3" s="1"/>
  <c r="AI127" i="3" s="1"/>
  <c r="AI128" i="3" s="1"/>
  <c r="K119" i="1"/>
  <c r="J119" i="1"/>
  <c r="I119" i="1"/>
  <c r="H119" i="1"/>
  <c r="R17" i="6" l="1"/>
  <c r="T4" i="5" l="1"/>
  <c r="T24" i="4"/>
  <c r="T17" i="4"/>
  <c r="T14" i="4"/>
  <c r="T9" i="4"/>
  <c r="T4" i="4" s="1"/>
  <c r="G5" i="14"/>
  <c r="G6" i="14"/>
  <c r="G19" i="14"/>
  <c r="G23" i="14"/>
  <c r="G25" i="14"/>
  <c r="J8" i="14"/>
  <c r="G8" i="14" s="1"/>
  <c r="H8" i="14" s="1"/>
  <c r="G10" i="14"/>
  <c r="J11" i="14"/>
  <c r="G11" i="14" s="1"/>
  <c r="H11" i="14" s="1"/>
  <c r="J13" i="14"/>
  <c r="G13" i="14" s="1"/>
  <c r="H13" i="14" s="1"/>
  <c r="J14" i="14"/>
  <c r="G14" i="14" s="1"/>
  <c r="H14" i="14" s="1"/>
  <c r="J15" i="14"/>
  <c r="G15" i="14" s="1"/>
  <c r="H15" i="14" s="1"/>
  <c r="J16" i="14"/>
  <c r="G16" i="14" s="1"/>
  <c r="H16" i="14" s="1"/>
  <c r="AB5" i="16"/>
  <c r="AB12" i="16" s="1"/>
  <c r="F118" i="17"/>
  <c r="U238" i="1" l="1"/>
  <c r="L25" i="6"/>
  <c r="L47" i="6" l="1"/>
  <c r="M48" i="6" s="1"/>
  <c r="T4" i="12"/>
  <c r="S4" i="12"/>
  <c r="AJ8" i="8" l="1"/>
  <c r="AI8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AH12" i="8"/>
  <c r="AH11" i="8"/>
  <c r="AD8" i="8"/>
  <c r="AC8" i="8"/>
  <c r="U39" i="38" l="1"/>
  <c r="U38" i="38"/>
  <c r="U37" i="38"/>
  <c r="U36" i="38"/>
  <c r="U35" i="38"/>
  <c r="U34" i="38"/>
  <c r="U33" i="38"/>
  <c r="U4" i="38"/>
  <c r="J102" i="24" l="1"/>
  <c r="M102" i="24" s="1"/>
  <c r="AA26" i="33" l="1"/>
  <c r="Z26" i="33"/>
  <c r="T29" i="33"/>
  <c r="T10" i="33"/>
  <c r="T8" i="33"/>
  <c r="AF29" i="38" l="1"/>
  <c r="AB28" i="38" s="1"/>
  <c r="Q21" i="33"/>
  <c r="O21" i="33"/>
  <c r="N21" i="33"/>
  <c r="M21" i="33"/>
  <c r="T27" i="33" l="1"/>
  <c r="T21" i="33"/>
  <c r="F17" i="39"/>
  <c r="E17" i="39"/>
  <c r="L8" i="25" l="1"/>
  <c r="K8" i="25"/>
  <c r="J8" i="25"/>
  <c r="I8" i="25"/>
  <c r="H8" i="25"/>
  <c r="G8" i="25"/>
  <c r="F103" i="25"/>
  <c r="H50" i="25"/>
  <c r="H3" i="25"/>
  <c r="H97" i="25"/>
  <c r="H76" i="25"/>
  <c r="H67" i="25"/>
  <c r="I3" i="25"/>
  <c r="I97" i="25"/>
  <c r="I76" i="25"/>
  <c r="I67" i="25"/>
  <c r="F65" i="25"/>
  <c r="I50" i="25"/>
  <c r="H91" i="25" l="1"/>
  <c r="H6" i="25"/>
  <c r="H5" i="25" s="1"/>
  <c r="H66" i="25"/>
  <c r="I91" i="25"/>
  <c r="I66" i="25"/>
  <c r="I6" i="25"/>
  <c r="I5" i="25" s="1"/>
  <c r="H102" i="25" l="1"/>
  <c r="H105" i="25" s="1"/>
  <c r="H107" i="25" s="1"/>
  <c r="I102" i="25"/>
  <c r="I105" i="25" s="1"/>
  <c r="I107" i="25" s="1"/>
  <c r="J101" i="24" l="1"/>
  <c r="M101" i="24" s="1"/>
  <c r="R12" i="23" l="1"/>
  <c r="Q12" i="23"/>
  <c r="P12" i="23"/>
  <c r="O12" i="23"/>
  <c r="N12" i="23"/>
  <c r="S12" i="23" l="1"/>
  <c r="K366" i="23"/>
  <c r="R21" i="23"/>
  <c r="E125" i="24"/>
  <c r="E128" i="24"/>
  <c r="L355" i="23"/>
  <c r="L352" i="23"/>
  <c r="L348" i="23"/>
  <c r="L345" i="23"/>
  <c r="L342" i="23"/>
  <c r="L341" i="23"/>
  <c r="L340" i="23"/>
  <c r="L339" i="23"/>
  <c r="L338" i="23"/>
  <c r="L337" i="23"/>
  <c r="L336" i="23"/>
  <c r="L335" i="23"/>
  <c r="L334" i="23"/>
  <c r="L333" i="23"/>
  <c r="L332" i="23"/>
  <c r="L331" i="23"/>
  <c r="L330" i="23"/>
  <c r="L329" i="23"/>
  <c r="L328" i="23"/>
  <c r="L327" i="23"/>
  <c r="L326" i="23"/>
  <c r="L325" i="23"/>
  <c r="L324" i="23"/>
  <c r="L322" i="23"/>
  <c r="L321" i="23"/>
  <c r="L320" i="23"/>
  <c r="L319" i="23"/>
  <c r="L318" i="23"/>
  <c r="L317" i="23"/>
  <c r="L316" i="23"/>
  <c r="L315" i="23"/>
  <c r="L314" i="23"/>
  <c r="L313" i="23"/>
  <c r="L312" i="23"/>
  <c r="L311" i="23"/>
  <c r="L310" i="23"/>
  <c r="L309" i="23"/>
  <c r="L308" i="23"/>
  <c r="L307" i="23"/>
  <c r="L306" i="23"/>
  <c r="L305" i="23"/>
  <c r="L304" i="23"/>
  <c r="L303" i="23"/>
  <c r="L302" i="23"/>
  <c r="L299" i="23"/>
  <c r="L298" i="23"/>
  <c r="L297" i="23"/>
  <c r="L296" i="23"/>
  <c r="L295" i="23"/>
  <c r="L294" i="23"/>
  <c r="L293" i="23"/>
  <c r="L292" i="23"/>
  <c r="L291" i="23"/>
  <c r="L290" i="23"/>
  <c r="L289" i="23"/>
  <c r="L288" i="23"/>
  <c r="L287" i="23"/>
  <c r="L286" i="23"/>
  <c r="L285" i="23"/>
  <c r="L284" i="23"/>
  <c r="L283" i="23"/>
  <c r="L282" i="23"/>
  <c r="L281" i="23"/>
  <c r="L280" i="23"/>
  <c r="L279" i="23"/>
  <c r="L278" i="23"/>
  <c r="L277" i="23"/>
  <c r="L276" i="23"/>
  <c r="L275" i="23"/>
  <c r="L274" i="23"/>
  <c r="L273" i="23"/>
  <c r="L272" i="23"/>
  <c r="L271" i="23"/>
  <c r="L270" i="23"/>
  <c r="L269" i="23"/>
  <c r="L268" i="23"/>
  <c r="L267" i="23"/>
  <c r="L266" i="23"/>
  <c r="L265" i="23"/>
  <c r="L264" i="23"/>
  <c r="L263" i="23"/>
  <c r="L262" i="23"/>
  <c r="L261" i="23"/>
  <c r="L260" i="23"/>
  <c r="L259" i="23"/>
  <c r="L258" i="23"/>
  <c r="L257" i="23"/>
  <c r="L256" i="23"/>
  <c r="L255" i="23"/>
  <c r="L254" i="23"/>
  <c r="L253" i="23"/>
  <c r="L252" i="23"/>
  <c r="L251" i="23"/>
  <c r="L250" i="23"/>
  <c r="L249" i="23"/>
  <c r="L248" i="23"/>
  <c r="L247" i="23"/>
  <c r="L246" i="23"/>
  <c r="L245" i="23"/>
  <c r="L244" i="23"/>
  <c r="L243" i="23"/>
  <c r="L241" i="23"/>
  <c r="L240" i="23"/>
  <c r="L239" i="23"/>
  <c r="L238" i="23"/>
  <c r="L237" i="23"/>
  <c r="L236" i="23"/>
  <c r="L235" i="23"/>
  <c r="L234" i="23"/>
  <c r="L233" i="23"/>
  <c r="L232" i="23"/>
  <c r="L231" i="23"/>
  <c r="L230" i="23"/>
  <c r="L229" i="23"/>
  <c r="L228" i="23"/>
  <c r="L227" i="23"/>
  <c r="L226" i="23"/>
  <c r="L225" i="23"/>
  <c r="L224" i="23"/>
  <c r="L223" i="23"/>
  <c r="L222" i="23"/>
  <c r="L221" i="23"/>
  <c r="L220" i="23"/>
  <c r="L219" i="23"/>
  <c r="L218" i="23"/>
  <c r="L217" i="23"/>
  <c r="L216" i="23"/>
  <c r="L215" i="23"/>
  <c r="L214" i="23"/>
  <c r="L213" i="23"/>
  <c r="L212" i="23"/>
  <c r="L211" i="23"/>
  <c r="L210" i="23"/>
  <c r="L209" i="23"/>
  <c r="L208" i="23"/>
  <c r="L207" i="23"/>
  <c r="L206" i="23"/>
  <c r="L205" i="23"/>
  <c r="L204" i="23"/>
  <c r="L203" i="23"/>
  <c r="L202" i="23"/>
  <c r="L201" i="23"/>
  <c r="L200" i="23"/>
  <c r="L199" i="23"/>
  <c r="L198" i="23"/>
  <c r="L197" i="23"/>
  <c r="L196" i="23"/>
  <c r="L195" i="23"/>
  <c r="L194" i="23"/>
  <c r="L193" i="23"/>
  <c r="L192" i="23"/>
  <c r="L191" i="23"/>
  <c r="L190" i="23"/>
  <c r="L189" i="23"/>
  <c r="L188" i="23"/>
  <c r="L187" i="23"/>
  <c r="L186" i="23"/>
  <c r="L185" i="23"/>
  <c r="L182" i="23"/>
  <c r="L181" i="23"/>
  <c r="L180" i="23"/>
  <c r="L179" i="23"/>
  <c r="L178" i="23"/>
  <c r="L176" i="23"/>
  <c r="L175" i="23"/>
  <c r="L174" i="23"/>
  <c r="L173" i="23"/>
  <c r="L172" i="23"/>
  <c r="L171" i="23"/>
  <c r="L170" i="23"/>
  <c r="L169" i="23"/>
  <c r="L168" i="23"/>
  <c r="L167" i="23"/>
  <c r="L166" i="23"/>
  <c r="L165" i="23"/>
  <c r="L164" i="23"/>
  <c r="L163" i="23"/>
  <c r="L162" i="23"/>
  <c r="L161" i="23"/>
  <c r="L160" i="23"/>
  <c r="L159" i="23"/>
  <c r="L158" i="23"/>
  <c r="L157" i="23"/>
  <c r="L156" i="23"/>
  <c r="L155" i="23"/>
  <c r="L154" i="23"/>
  <c r="L153" i="23"/>
  <c r="L152" i="23"/>
  <c r="L151" i="23"/>
  <c r="L150" i="23"/>
  <c r="L149" i="23"/>
  <c r="L148" i="23"/>
  <c r="L147" i="23"/>
  <c r="L146" i="23"/>
  <c r="L145" i="23"/>
  <c r="L144" i="23"/>
  <c r="L143" i="23"/>
  <c r="L142" i="23"/>
  <c r="L141" i="23"/>
  <c r="L140" i="23"/>
  <c r="L139" i="23"/>
  <c r="L138" i="23"/>
  <c r="L137" i="23"/>
  <c r="L136" i="23"/>
  <c r="L135" i="23"/>
  <c r="L134" i="23"/>
  <c r="L133" i="23"/>
  <c r="L132" i="23"/>
  <c r="L131" i="23"/>
  <c r="L130" i="23"/>
  <c r="L129" i="23"/>
  <c r="L128" i="23"/>
  <c r="L126" i="23"/>
  <c r="L125" i="23"/>
  <c r="L124" i="23"/>
  <c r="L123" i="23"/>
  <c r="L122" i="23"/>
  <c r="L121" i="23"/>
  <c r="L120" i="23"/>
  <c r="L119" i="23"/>
  <c r="L118" i="23"/>
  <c r="L117" i="23"/>
  <c r="L116" i="23"/>
  <c r="L115" i="23"/>
  <c r="L114" i="23"/>
  <c r="L113" i="23"/>
  <c r="L112" i="23"/>
  <c r="L111" i="23"/>
  <c r="L110" i="23"/>
  <c r="L109" i="23"/>
  <c r="L108" i="23"/>
  <c r="L107" i="23"/>
  <c r="L106" i="23"/>
  <c r="L105" i="23"/>
  <c r="L104" i="23"/>
  <c r="L103" i="23"/>
  <c r="L102" i="23"/>
  <c r="L101" i="23"/>
  <c r="L100" i="23"/>
  <c r="L99" i="23"/>
  <c r="L98" i="23"/>
  <c r="L97" i="23"/>
  <c r="L96" i="23"/>
  <c r="L95" i="23"/>
  <c r="L94" i="23"/>
  <c r="L93" i="23"/>
  <c r="L92" i="23"/>
  <c r="L91" i="23"/>
  <c r="L90" i="23"/>
  <c r="L89" i="23"/>
  <c r="L88" i="23"/>
  <c r="L87" i="23"/>
  <c r="L86" i="23"/>
  <c r="L85" i="23"/>
  <c r="L84" i="23"/>
  <c r="L83" i="23"/>
  <c r="L82" i="23"/>
  <c r="L81" i="23"/>
  <c r="L80" i="23"/>
  <c r="L79" i="23"/>
  <c r="L78" i="23"/>
  <c r="L77" i="23"/>
  <c r="L76" i="23"/>
  <c r="L74" i="23"/>
  <c r="L73" i="23"/>
  <c r="L72" i="23"/>
  <c r="L71" i="23"/>
  <c r="L70" i="23"/>
  <c r="L69" i="23"/>
  <c r="L68" i="23"/>
  <c r="L67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L22" i="23"/>
  <c r="L21" i="23"/>
  <c r="L20" i="23"/>
  <c r="L19" i="23"/>
  <c r="L18" i="23"/>
  <c r="L17" i="23"/>
  <c r="L16" i="23"/>
  <c r="L15" i="23"/>
  <c r="L14" i="23"/>
  <c r="L13" i="23"/>
  <c r="L12" i="23"/>
  <c r="L11" i="23"/>
  <c r="L9" i="23"/>
  <c r="J84" i="24"/>
  <c r="J83" i="24"/>
  <c r="M83" i="24"/>
  <c r="T250" i="1" l="1"/>
  <c r="T249" i="1"/>
  <c r="T248" i="1"/>
  <c r="T247" i="1"/>
  <c r="T246" i="1"/>
  <c r="T245" i="1"/>
  <c r="T244" i="1"/>
  <c r="T243" i="1"/>
  <c r="T242" i="1"/>
  <c r="V6" i="13"/>
  <c r="AJ4" i="1" l="1"/>
  <c r="AI4" i="1"/>
  <c r="AH4" i="1"/>
  <c r="Y32" i="33" l="1"/>
  <c r="Y7" i="26"/>
  <c r="W47" i="26"/>
  <c r="G299" i="6" l="1"/>
  <c r="F299" i="6"/>
  <c r="L54" i="6"/>
  <c r="E90" i="24" s="1"/>
  <c r="L71" i="22"/>
  <c r="L63" i="22"/>
  <c r="H299" i="6" l="1"/>
  <c r="P101" i="3" s="1"/>
  <c r="K100" i="3"/>
  <c r="J100" i="3"/>
  <c r="I100" i="3"/>
  <c r="H100" i="3"/>
  <c r="L106" i="3"/>
  <c r="U106" i="3"/>
  <c r="T106" i="3"/>
  <c r="S106" i="3"/>
  <c r="R106" i="3"/>
  <c r="Q106" i="3"/>
  <c r="P106" i="3"/>
  <c r="O106" i="3"/>
  <c r="N106" i="3"/>
  <c r="N104" i="3"/>
  <c r="L347" i="23" l="1"/>
  <c r="L346" i="23" s="1"/>
  <c r="V106" i="3"/>
  <c r="X106" i="3" s="1"/>
  <c r="AH106" i="3" s="1"/>
  <c r="AJ106" i="3" s="1"/>
  <c r="Z106" i="3" l="1"/>
  <c r="AB106" i="3" s="1"/>
  <c r="AD106" i="3"/>
  <c r="AF106" i="3" s="1"/>
  <c r="L344" i="23"/>
  <c r="L343" i="23" s="1"/>
  <c r="L323" i="23" s="1"/>
  <c r="L301" i="23" s="1"/>
  <c r="L300" i="23" s="1"/>
  <c r="L242" i="23" s="1"/>
  <c r="L184" i="23" s="1"/>
  <c r="L183" i="23" s="1"/>
  <c r="L177" i="23" s="1"/>
  <c r="L127" i="23" s="1"/>
  <c r="L75" i="23" s="1"/>
  <c r="L10" i="23" s="1"/>
  <c r="L8" i="23" s="1"/>
  <c r="L7" i="23" s="1"/>
  <c r="L162" i="22"/>
  <c r="J162" i="22" s="1"/>
  <c r="R14" i="6"/>
  <c r="R13" i="6"/>
  <c r="R12" i="6"/>
  <c r="R11" i="6"/>
  <c r="R10" i="6"/>
  <c r="R9" i="6"/>
  <c r="AH10" i="8"/>
  <c r="L349" i="23" l="1"/>
  <c r="L358" i="23" s="1"/>
  <c r="L357" i="23" s="1"/>
  <c r="L356" i="23" s="1"/>
  <c r="L354" i="23" s="1"/>
  <c r="L353" i="23" s="1"/>
  <c r="L351" i="23" s="1"/>
  <c r="L350" i="23" s="1"/>
  <c r="AA8" i="33"/>
  <c r="AA10" i="33" s="1"/>
  <c r="AA16" i="33" s="1"/>
  <c r="K28" i="39"/>
  <c r="H28" i="39"/>
  <c r="G28" i="39"/>
  <c r="F28" i="39"/>
  <c r="E28" i="39"/>
  <c r="H16" i="39"/>
  <c r="G16" i="39"/>
  <c r="F16" i="39"/>
  <c r="E16" i="39"/>
  <c r="AA21" i="33" l="1"/>
  <c r="Z21" i="33"/>
  <c r="Z8" i="33"/>
  <c r="Z10" i="33" s="1"/>
  <c r="Z16" i="33" s="1"/>
  <c r="Z18" i="33" s="1"/>
  <c r="AA18" i="33"/>
  <c r="AE16" i="33"/>
  <c r="I28" i="39"/>
  <c r="I16" i="39"/>
  <c r="AD16" i="33" l="1"/>
  <c r="Z31" i="33"/>
  <c r="Z32" i="33" s="1"/>
  <c r="Z27" i="33"/>
  <c r="Z28" i="33" s="1"/>
  <c r="AA27" i="33"/>
  <c r="AA28" i="33" s="1"/>
  <c r="AA31" i="33"/>
  <c r="AA32" i="33" s="1"/>
  <c r="J8" i="1" l="1"/>
  <c r="M40" i="6" l="1"/>
  <c r="M41" i="6"/>
  <c r="K32" i="33" l="1"/>
  <c r="K25" i="33"/>
  <c r="K21" i="33" s="1"/>
  <c r="K20" i="33"/>
  <c r="K19" i="33"/>
  <c r="K17" i="33"/>
  <c r="K15" i="33"/>
  <c r="K14" i="33"/>
  <c r="K13" i="33"/>
  <c r="K12" i="33"/>
  <c r="K11" i="33"/>
  <c r="K9" i="33"/>
  <c r="K7" i="33"/>
  <c r="K6" i="33"/>
  <c r="K8" i="33" l="1"/>
  <c r="K34" i="33" s="1"/>
  <c r="K10" i="33" l="1"/>
  <c r="K35" i="33" s="1"/>
  <c r="I42" i="26"/>
  <c r="I41" i="26"/>
  <c r="I40" i="26"/>
  <c r="I39" i="26"/>
  <c r="I35" i="26"/>
  <c r="I34" i="26"/>
  <c r="I33" i="26"/>
  <c r="I32" i="26"/>
  <c r="I31" i="26"/>
  <c r="I29" i="26"/>
  <c r="I28" i="26"/>
  <c r="I27" i="26"/>
  <c r="I26" i="26"/>
  <c r="I25" i="26"/>
  <c r="I20" i="26"/>
  <c r="I19" i="26"/>
  <c r="I18" i="26"/>
  <c r="I17" i="26"/>
  <c r="I16" i="26"/>
  <c r="I15" i="26"/>
  <c r="I13" i="26"/>
  <c r="I12" i="26"/>
  <c r="I11" i="26"/>
  <c r="I10" i="26"/>
  <c r="I9" i="26"/>
  <c r="I8" i="26"/>
  <c r="K16" i="33" l="1"/>
  <c r="K18" i="33" s="1"/>
  <c r="K36" i="33" l="1"/>
  <c r="K27" i="33"/>
  <c r="K28" i="33" s="1"/>
  <c r="K37" i="33"/>
  <c r="K31" i="33"/>
  <c r="S4" i="38" l="1"/>
  <c r="S39" i="38"/>
  <c r="S38" i="38"/>
  <c r="S37" i="38"/>
  <c r="S36" i="38"/>
  <c r="S35" i="38"/>
  <c r="S34" i="38"/>
  <c r="S33" i="38"/>
  <c r="S4" i="13"/>
  <c r="DM20" i="11" l="1"/>
  <c r="S4" i="4" l="1"/>
  <c r="S4" i="5"/>
  <c r="R6" i="6" l="1"/>
  <c r="R4" i="6" s="1"/>
  <c r="M6" i="6" l="1"/>
  <c r="K255" i="1"/>
  <c r="K13" i="1"/>
  <c r="K125" i="3" l="1"/>
  <c r="K121" i="3"/>
  <c r="K117" i="3"/>
  <c r="K107" i="3"/>
  <c r="K87" i="3"/>
  <c r="K76" i="3"/>
  <c r="K37" i="3"/>
  <c r="K26" i="3"/>
  <c r="K6" i="3"/>
  <c r="I224" i="1"/>
  <c r="I213" i="1"/>
  <c r="J255" i="1"/>
  <c r="I255" i="1"/>
  <c r="H255" i="1"/>
  <c r="K241" i="1"/>
  <c r="J241" i="1"/>
  <c r="H241" i="1"/>
  <c r="K236" i="1"/>
  <c r="J236" i="1"/>
  <c r="H236" i="1"/>
  <c r="K226" i="1"/>
  <c r="J226" i="1"/>
  <c r="H226" i="1"/>
  <c r="K224" i="1"/>
  <c r="J224" i="1"/>
  <c r="H224" i="1"/>
  <c r="K222" i="1"/>
  <c r="J222" i="1"/>
  <c r="H222" i="1"/>
  <c r="K220" i="1"/>
  <c r="J220" i="1"/>
  <c r="H220" i="1"/>
  <c r="K217" i="1"/>
  <c r="J217" i="1"/>
  <c r="H217" i="1"/>
  <c r="K213" i="1"/>
  <c r="J213" i="1"/>
  <c r="H213" i="1"/>
  <c r="K211" i="1"/>
  <c r="J211" i="1"/>
  <c r="H211" i="1"/>
  <c r="K182" i="1"/>
  <c r="J182" i="1"/>
  <c r="H182" i="1"/>
  <c r="K174" i="1"/>
  <c r="J174" i="1"/>
  <c r="H174" i="1"/>
  <c r="K152" i="1"/>
  <c r="J152" i="1"/>
  <c r="H152" i="1"/>
  <c r="K144" i="1"/>
  <c r="J144" i="1"/>
  <c r="H144" i="1"/>
  <c r="K94" i="1"/>
  <c r="J94" i="1"/>
  <c r="H94" i="1"/>
  <c r="K90" i="1"/>
  <c r="J90" i="1"/>
  <c r="H90" i="1"/>
  <c r="K84" i="1"/>
  <c r="J84" i="1"/>
  <c r="H84" i="1"/>
  <c r="K75" i="1"/>
  <c r="J75" i="1"/>
  <c r="H75" i="1"/>
  <c r="K57" i="1"/>
  <c r="J57" i="1"/>
  <c r="H57" i="1"/>
  <c r="K52" i="1"/>
  <c r="J52" i="1"/>
  <c r="H52" i="1"/>
  <c r="K42" i="1"/>
  <c r="J42" i="1"/>
  <c r="H42" i="1"/>
  <c r="K38" i="1"/>
  <c r="J38" i="1"/>
  <c r="H38" i="1"/>
  <c r="K15" i="1"/>
  <c r="J15" i="1"/>
  <c r="H15" i="1"/>
  <c r="K8" i="1"/>
  <c r="H8" i="1"/>
  <c r="H74" i="1" l="1"/>
  <c r="J7" i="1"/>
  <c r="H151" i="1"/>
  <c r="H216" i="1"/>
  <c r="J216" i="1"/>
  <c r="J151" i="1"/>
  <c r="J74" i="1"/>
  <c r="K36" i="3"/>
  <c r="K75" i="3" s="1"/>
  <c r="K124" i="3" s="1"/>
  <c r="K127" i="3" s="1"/>
  <c r="K254" i="1" s="1"/>
  <c r="K216" i="1"/>
  <c r="K151" i="1"/>
  <c r="K7" i="1"/>
  <c r="I226" i="1"/>
  <c r="K74" i="1"/>
  <c r="H7" i="1"/>
  <c r="H6" i="1" l="1"/>
  <c r="K251" i="1"/>
  <c r="K232" i="1" s="1"/>
  <c r="K231" i="1" s="1"/>
  <c r="K4" i="23"/>
  <c r="J6" i="1"/>
  <c r="K128" i="3"/>
  <c r="H150" i="1"/>
  <c r="J150" i="1"/>
  <c r="K150" i="1"/>
  <c r="K6" i="1"/>
  <c r="AH258" i="1"/>
  <c r="K257" i="1" l="1"/>
  <c r="P209" i="31" l="1"/>
  <c r="U12" i="23" l="1"/>
  <c r="K11" i="31" s="1"/>
  <c r="J76" i="25"/>
  <c r="J97" i="25"/>
  <c r="J50" i="25"/>
  <c r="J67" i="25"/>
  <c r="L11" i="31" l="1"/>
  <c r="P11" i="31" s="1"/>
  <c r="J66" i="25"/>
  <c r="J6" i="25"/>
  <c r="J5" i="25" s="1"/>
  <c r="J91" i="25"/>
  <c r="M11" i="31" l="1"/>
  <c r="J102" i="25"/>
  <c r="J105" i="25" s="1"/>
  <c r="I13" i="39" l="1"/>
  <c r="K13" i="39" s="1"/>
  <c r="I12" i="39"/>
  <c r="I8" i="39"/>
  <c r="I10" i="39"/>
  <c r="K8" i="39" l="1"/>
  <c r="T20" i="33" l="1"/>
  <c r="T18" i="33"/>
  <c r="T16" i="33"/>
  <c r="N37" i="33" l="1"/>
  <c r="N36" i="33"/>
  <c r="N35" i="33"/>
  <c r="N34" i="33"/>
  <c r="M37" i="33"/>
  <c r="M36" i="33"/>
  <c r="M35" i="33"/>
  <c r="M34" i="33"/>
  <c r="P37" i="26" l="1"/>
  <c r="G3" i="25" l="1"/>
  <c r="G97" i="25"/>
  <c r="G76" i="25"/>
  <c r="G67" i="25"/>
  <c r="G50" i="25"/>
  <c r="G6" i="25" s="1"/>
  <c r="G5" i="25" s="1"/>
  <c r="L20" i="33"/>
  <c r="L19" i="33"/>
  <c r="L17" i="33"/>
  <c r="L15" i="33"/>
  <c r="L14" i="33"/>
  <c r="L13" i="33"/>
  <c r="L12" i="33"/>
  <c r="L11" i="33"/>
  <c r="L9" i="33"/>
  <c r="L7" i="33"/>
  <c r="L6" i="33"/>
  <c r="K42" i="26"/>
  <c r="K41" i="26"/>
  <c r="K40" i="26"/>
  <c r="K39" i="26"/>
  <c r="K35" i="26"/>
  <c r="K34" i="26"/>
  <c r="K33" i="26"/>
  <c r="K32" i="26"/>
  <c r="K31" i="26"/>
  <c r="K29" i="26"/>
  <c r="K28" i="26"/>
  <c r="K27" i="26"/>
  <c r="K26" i="26"/>
  <c r="K25" i="26"/>
  <c r="K20" i="26"/>
  <c r="K19" i="26"/>
  <c r="K18" i="26"/>
  <c r="K17" i="26"/>
  <c r="K16" i="26"/>
  <c r="K15" i="26"/>
  <c r="K13" i="26"/>
  <c r="K12" i="26"/>
  <c r="K11" i="26"/>
  <c r="K10" i="26"/>
  <c r="K9" i="26"/>
  <c r="K8" i="26"/>
  <c r="P42" i="26"/>
  <c r="P41" i="26"/>
  <c r="P40" i="26"/>
  <c r="P39" i="26"/>
  <c r="P35" i="26"/>
  <c r="P34" i="26"/>
  <c r="P33" i="26"/>
  <c r="P32" i="26"/>
  <c r="P31" i="26"/>
  <c r="P29" i="26"/>
  <c r="P28" i="26"/>
  <c r="P27" i="26"/>
  <c r="P26" i="26"/>
  <c r="P25" i="26"/>
  <c r="P19" i="26"/>
  <c r="P18" i="26"/>
  <c r="P17" i="26"/>
  <c r="P16" i="26"/>
  <c r="P15" i="26"/>
  <c r="P13" i="26"/>
  <c r="P12" i="26"/>
  <c r="P11" i="26"/>
  <c r="P10" i="26"/>
  <c r="P9" i="26"/>
  <c r="P8" i="26"/>
  <c r="G66" i="25" l="1"/>
  <c r="J30" i="26"/>
  <c r="P30" i="26" s="1"/>
  <c r="J24" i="26"/>
  <c r="P24" i="26" s="1"/>
  <c r="P14" i="26"/>
  <c r="J38" i="26"/>
  <c r="G91" i="25"/>
  <c r="L8" i="33"/>
  <c r="J7" i="26"/>
  <c r="G102" i="25" l="1"/>
  <c r="G105" i="25" s="1"/>
  <c r="G107" i="25" s="1"/>
  <c r="L10" i="33"/>
  <c r="L34" i="33"/>
  <c r="J47" i="26"/>
  <c r="P7" i="26"/>
  <c r="J43" i="26"/>
  <c r="P43" i="26" s="1"/>
  <c r="P38" i="26"/>
  <c r="J36" i="26"/>
  <c r="J22" i="26"/>
  <c r="L16" i="33" l="1"/>
  <c r="L35" i="33"/>
  <c r="P22" i="26"/>
  <c r="J44" i="26"/>
  <c r="P44" i="26" s="1"/>
  <c r="P36" i="26"/>
  <c r="L36" i="33" l="1"/>
  <c r="L18" i="33"/>
  <c r="J46" i="26"/>
  <c r="U250" i="31"/>
  <c r="U247" i="31"/>
  <c r="U244" i="31"/>
  <c r="U243" i="31"/>
  <c r="K367" i="23"/>
  <c r="K368" i="23"/>
  <c r="K369" i="23"/>
  <c r="K370" i="23"/>
  <c r="K371" i="23"/>
  <c r="K372" i="23"/>
  <c r="K373" i="23"/>
  <c r="K374" i="23"/>
  <c r="K375" i="23"/>
  <c r="K376" i="23"/>
  <c r="K377" i="23"/>
  <c r="K378" i="23"/>
  <c r="K379" i="23"/>
  <c r="K380" i="23"/>
  <c r="K381" i="23"/>
  <c r="L37" i="33" l="1"/>
  <c r="L31" i="33"/>
  <c r="L32" i="33" s="1"/>
  <c r="G128" i="24"/>
  <c r="J128" i="24" s="1"/>
  <c r="M128" i="24" s="1"/>
  <c r="V14" i="13"/>
  <c r="V4" i="13" s="1"/>
  <c r="R125" i="23" l="1"/>
  <c r="Q125" i="23"/>
  <c r="P125" i="23"/>
  <c r="O125" i="23"/>
  <c r="N125" i="23"/>
  <c r="K362" i="23"/>
  <c r="K361" i="23"/>
  <c r="K360" i="23"/>
  <c r="S125" i="23" l="1"/>
  <c r="U125" i="23" s="1"/>
  <c r="F44" i="25" s="1"/>
  <c r="F26" i="14" l="1"/>
  <c r="L101" i="3"/>
  <c r="U103" i="3"/>
  <c r="T103" i="3"/>
  <c r="S103" i="3"/>
  <c r="R103" i="3"/>
  <c r="Q103" i="3"/>
  <c r="O103" i="3"/>
  <c r="N103" i="3"/>
  <c r="U101" i="3"/>
  <c r="T101" i="3"/>
  <c r="S101" i="3"/>
  <c r="R101" i="3"/>
  <c r="Q101" i="3"/>
  <c r="O101" i="3"/>
  <c r="N101" i="3"/>
  <c r="K130" i="3" l="1"/>
  <c r="V101" i="3"/>
  <c r="X101" i="3" l="1"/>
  <c r="AH101" i="3" s="1"/>
  <c r="AJ101" i="3" s="1"/>
  <c r="AD101" i="3" l="1"/>
  <c r="AF101" i="3" s="1"/>
  <c r="Z101" i="3"/>
  <c r="AB101" i="3" s="1"/>
  <c r="L161" i="22"/>
  <c r="J161" i="22" s="1"/>
  <c r="L85" i="3"/>
  <c r="U85" i="3"/>
  <c r="T85" i="3"/>
  <c r="S85" i="3"/>
  <c r="R85" i="3"/>
  <c r="Q85" i="3"/>
  <c r="P85" i="3"/>
  <c r="O85" i="3"/>
  <c r="N85" i="3"/>
  <c r="V85" i="3" l="1"/>
  <c r="X85" i="3" s="1"/>
  <c r="AH85" i="3" s="1"/>
  <c r="AJ85" i="3" s="1"/>
  <c r="AD85" i="3" l="1"/>
  <c r="AF85" i="3" s="1"/>
  <c r="Z85" i="3"/>
  <c r="AB85" i="3" s="1"/>
  <c r="L151" i="22"/>
  <c r="J151" i="22" s="1"/>
  <c r="W125" i="23"/>
  <c r="G71" i="24" l="1"/>
  <c r="M71" i="24" s="1"/>
  <c r="V5" i="9" l="1"/>
  <c r="V31" i="8"/>
  <c r="L46" i="6" l="1"/>
  <c r="L16" i="6" l="1"/>
  <c r="L15" i="6"/>
  <c r="L14" i="6"/>
  <c r="M17" i="6" s="1"/>
  <c r="G84" i="24" l="1"/>
  <c r="M18" i="6"/>
  <c r="AE29" i="8"/>
  <c r="AE30" i="8"/>
  <c r="AE31" i="8" l="1"/>
  <c r="AF31" i="8" s="1"/>
  <c r="AG31" i="8" s="1"/>
  <c r="AH31" i="8" s="1"/>
  <c r="AI31" i="8" s="1"/>
  <c r="AJ30" i="8" s="1"/>
  <c r="AJ31" i="8" l="1"/>
  <c r="V29" i="8"/>
  <c r="V30" i="8" l="1"/>
  <c r="E43" i="24"/>
  <c r="G43" i="24" s="1"/>
  <c r="J43" i="24" s="1"/>
  <c r="M43" i="24" s="1"/>
  <c r="M6" i="21"/>
  <c r="Q39" i="38"/>
  <c r="O39" i="38"/>
  <c r="M39" i="38"/>
  <c r="Q29" i="38"/>
  <c r="R29" i="38" s="1"/>
  <c r="Q28" i="38"/>
  <c r="R28" i="38" s="1"/>
  <c r="Q27" i="38"/>
  <c r="L23" i="33" s="1"/>
  <c r="Q25" i="38"/>
  <c r="R25" i="38" s="1"/>
  <c r="Q24" i="38"/>
  <c r="Q23" i="38"/>
  <c r="R23" i="38" s="1"/>
  <c r="Q22" i="38"/>
  <c r="R22" i="38" s="1"/>
  <c r="Q21" i="38"/>
  <c r="R21" i="38" s="1"/>
  <c r="Q20" i="38"/>
  <c r="R20" i="38" s="1"/>
  <c r="Q19" i="38"/>
  <c r="R19" i="38" s="1"/>
  <c r="Q18" i="38"/>
  <c r="R18" i="38" s="1"/>
  <c r="Q17" i="38"/>
  <c r="R17" i="38" s="1"/>
  <c r="Q15" i="38"/>
  <c r="R15" i="38" s="1"/>
  <c r="Q14" i="38"/>
  <c r="R14" i="38" s="1"/>
  <c r="Q12" i="38"/>
  <c r="R12" i="38" s="1"/>
  <c r="Q9" i="38"/>
  <c r="R9" i="38" s="1"/>
  <c r="AI258" i="1"/>
  <c r="R27" i="38" l="1"/>
  <c r="R24" i="38"/>
  <c r="L25" i="33"/>
  <c r="L21" i="33" s="1"/>
  <c r="R33" i="38"/>
  <c r="O29" i="38"/>
  <c r="P29" i="38" s="1"/>
  <c r="O28" i="38"/>
  <c r="P28" i="38" s="1"/>
  <c r="O27" i="38"/>
  <c r="H9" i="39" s="1"/>
  <c r="O25" i="38"/>
  <c r="P25" i="38" s="1"/>
  <c r="O24" i="38"/>
  <c r="P24" i="38" s="1"/>
  <c r="O23" i="38"/>
  <c r="P23" i="38" s="1"/>
  <c r="O22" i="38"/>
  <c r="P22" i="38" s="1"/>
  <c r="O21" i="38"/>
  <c r="P21" i="38" s="1"/>
  <c r="O20" i="38"/>
  <c r="O19" i="38"/>
  <c r="P19" i="38" s="1"/>
  <c r="O18" i="38"/>
  <c r="P18" i="38" s="1"/>
  <c r="O17" i="38"/>
  <c r="P17" i="38" s="1"/>
  <c r="O15" i="38"/>
  <c r="O14" i="38"/>
  <c r="P14" i="38" s="1"/>
  <c r="O12" i="38"/>
  <c r="P12" i="38" s="1"/>
  <c r="O9" i="38"/>
  <c r="O8" i="38" s="1"/>
  <c r="O35" i="38" s="1"/>
  <c r="Q8" i="38"/>
  <c r="Q35" i="38" s="1"/>
  <c r="V28" i="12"/>
  <c r="V27" i="12"/>
  <c r="V26" i="12"/>
  <c r="V25" i="12"/>
  <c r="V24" i="12"/>
  <c r="P20" i="38" l="1"/>
  <c r="P16" i="38" s="1"/>
  <c r="G14" i="39"/>
  <c r="P15" i="38"/>
  <c r="P11" i="38" s="1"/>
  <c r="F14" i="39"/>
  <c r="L27" i="33"/>
  <c r="L28" i="33" s="1"/>
  <c r="P33" i="38"/>
  <c r="P9" i="38"/>
  <c r="P8" i="38" s="1"/>
  <c r="Q26" i="38"/>
  <c r="Q38" i="38" s="1"/>
  <c r="O26" i="38"/>
  <c r="O38" i="38" s="1"/>
  <c r="P27" i="38"/>
  <c r="P26" i="38" s="1"/>
  <c r="Q11" i="38"/>
  <c r="Q36" i="38" s="1"/>
  <c r="Q16" i="38"/>
  <c r="Q37" i="38" s="1"/>
  <c r="O11" i="38"/>
  <c r="O36" i="38" s="1"/>
  <c r="O16" i="38"/>
  <c r="O37" i="38" s="1"/>
  <c r="Q7" i="38" l="1"/>
  <c r="O7" i="38"/>
  <c r="P7" i="38"/>
  <c r="P6" i="38" s="1"/>
  <c r="O6" i="38" l="1"/>
  <c r="O34" i="38"/>
  <c r="Q6" i="38"/>
  <c r="Q4" i="38" s="1"/>
  <c r="Q34" i="38"/>
  <c r="DM31" i="11"/>
  <c r="DM30" i="11"/>
  <c r="V24" i="8"/>
  <c r="V23" i="8"/>
  <c r="V22" i="8"/>
  <c r="V18" i="8"/>
  <c r="V19" i="8" s="1"/>
  <c r="R4" i="4"/>
  <c r="R4" i="5"/>
  <c r="O33" i="38" l="1"/>
  <c r="O4" i="38"/>
  <c r="Q33" i="38"/>
  <c r="V20" i="8" l="1"/>
  <c r="V21" i="8" l="1"/>
  <c r="V25" i="8"/>
  <c r="V26" i="8" s="1"/>
  <c r="L35" i="6"/>
  <c r="M36" i="6" s="1"/>
  <c r="L33" i="6"/>
  <c r="M34" i="6" s="1"/>
  <c r="L30" i="6"/>
  <c r="M32" i="6" s="1"/>
  <c r="L28" i="6"/>
  <c r="M29" i="6" s="1"/>
  <c r="M24" i="6"/>
  <c r="L27" i="6" s="1"/>
  <c r="M22" i="6"/>
  <c r="L23" i="6" s="1"/>
  <c r="M20" i="6"/>
  <c r="M19" i="6"/>
  <c r="M12" i="6"/>
  <c r="L12" i="6"/>
  <c r="L8" i="6"/>
  <c r="M9" i="6" s="1"/>
  <c r="M13" i="6" l="1"/>
  <c r="L7" i="6"/>
  <c r="M10" i="6"/>
  <c r="L11" i="6" s="1"/>
  <c r="L21" i="6"/>
  <c r="H107" i="3" l="1"/>
  <c r="I107" i="3"/>
  <c r="T210" i="1" l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1" i="1"/>
  <c r="T180" i="1"/>
  <c r="T179" i="1"/>
  <c r="T178" i="1"/>
  <c r="T177" i="1"/>
  <c r="T176" i="1"/>
  <c r="T175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53" i="1"/>
  <c r="T253" i="1" l="1"/>
  <c r="R4" i="13" l="1"/>
  <c r="R4" i="9"/>
  <c r="R4" i="12"/>
  <c r="DM26" i="11"/>
  <c r="DL26" i="11"/>
  <c r="DS26" i="11" s="1"/>
  <c r="DK26" i="11"/>
  <c r="DR26" i="11" s="1"/>
  <c r="DM25" i="11"/>
  <c r="DL25" i="11"/>
  <c r="DS25" i="11" s="1"/>
  <c r="DK25" i="11"/>
  <c r="DR25" i="11" s="1"/>
  <c r="DM24" i="11"/>
  <c r="DL24" i="11"/>
  <c r="DS24" i="11" s="1"/>
  <c r="DK24" i="11"/>
  <c r="DR24" i="11" s="1"/>
  <c r="DM23" i="11"/>
  <c r="DL23" i="11"/>
  <c r="DS23" i="11" s="1"/>
  <c r="DK23" i="11"/>
  <c r="DR23" i="11" s="1"/>
  <c r="DM22" i="11"/>
  <c r="DL22" i="11"/>
  <c r="DS22" i="11" s="1"/>
  <c r="DK22" i="11"/>
  <c r="DR22" i="11" s="1"/>
  <c r="DM21" i="11"/>
  <c r="DL21" i="11"/>
  <c r="DS21" i="11" s="1"/>
  <c r="DK21" i="11"/>
  <c r="DR21" i="11" s="1"/>
  <c r="DL20" i="11"/>
  <c r="DK20" i="11"/>
  <c r="DM13" i="11"/>
  <c r="DL13" i="11"/>
  <c r="DS13" i="11" s="1"/>
  <c r="DK13" i="11"/>
  <c r="DR13" i="11" s="1"/>
  <c r="DM12" i="11"/>
  <c r="DL12" i="11"/>
  <c r="DS12" i="11" s="1"/>
  <c r="DK12" i="11"/>
  <c r="DR12" i="11" s="1"/>
  <c r="DM11" i="11"/>
  <c r="DL11" i="11"/>
  <c r="DS11" i="11" s="1"/>
  <c r="DK11" i="11"/>
  <c r="DR11" i="11" s="1"/>
  <c r="DM10" i="11"/>
  <c r="DL10" i="11"/>
  <c r="DS10" i="11" s="1"/>
  <c r="DK10" i="11"/>
  <c r="DR10" i="11" s="1"/>
  <c r="DM9" i="11"/>
  <c r="DL9" i="11"/>
  <c r="DS9" i="11" s="1"/>
  <c r="DK9" i="11"/>
  <c r="DR9" i="11" s="1"/>
  <c r="DM8" i="11"/>
  <c r="DL8" i="11"/>
  <c r="DS8" i="11" s="1"/>
  <c r="DK8" i="11"/>
  <c r="DR8" i="11" s="1"/>
  <c r="DM7" i="11"/>
  <c r="DL7" i="11"/>
  <c r="DS7" i="11" s="1"/>
  <c r="DS20" i="11" s="1"/>
  <c r="DK7" i="11"/>
  <c r="DR7" i="11" s="1"/>
  <c r="DR20" i="11" s="1"/>
  <c r="V22" i="9" s="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X16" i="10"/>
  <c r="V5" i="12"/>
  <c r="V5" i="13" s="1"/>
  <c r="DT24" i="11" l="1"/>
  <c r="DT12" i="11"/>
  <c r="DT13" i="11"/>
  <c r="DT10" i="11"/>
  <c r="DT26" i="11"/>
  <c r="DT11" i="11"/>
  <c r="DT8" i="11"/>
  <c r="DT25" i="11"/>
  <c r="DT9" i="11"/>
  <c r="DT23" i="11"/>
  <c r="DT20" i="11"/>
  <c r="DQ20" i="11" s="1"/>
  <c r="DT7" i="11"/>
  <c r="DT21" i="11"/>
  <c r="DT22" i="11"/>
  <c r="AB5" i="10"/>
  <c r="U24" i="1" l="1"/>
  <c r="T24" i="1"/>
  <c r="S24" i="1"/>
  <c r="R24" i="1"/>
  <c r="Q24" i="1"/>
  <c r="O24" i="1"/>
  <c r="N24" i="1"/>
  <c r="U34" i="1"/>
  <c r="T34" i="1"/>
  <c r="S34" i="1"/>
  <c r="R34" i="1"/>
  <c r="Q34" i="1"/>
  <c r="O34" i="1"/>
  <c r="N34" i="1"/>
  <c r="L34" i="1"/>
  <c r="L24" i="1"/>
  <c r="AL4" i="1" l="1"/>
  <c r="AK4" i="1"/>
  <c r="AM38" i="1"/>
  <c r="AL38" i="1"/>
  <c r="AK38" i="1"/>
  <c r="AM13" i="1"/>
  <c r="AL13" i="1"/>
  <c r="AK13" i="1"/>
  <c r="AK7" i="1" l="1"/>
  <c r="AL7" i="1"/>
  <c r="K357" i="48"/>
  <c r="K356" i="48" s="1"/>
  <c r="J357" i="48"/>
  <c r="J356" i="48" s="1"/>
  <c r="I357" i="48"/>
  <c r="I356" i="48" s="1"/>
  <c r="H357" i="48"/>
  <c r="H356" i="48" s="1"/>
  <c r="L355" i="48"/>
  <c r="L354" i="48" s="1"/>
  <c r="L353" i="48" s="1"/>
  <c r="K354" i="48"/>
  <c r="K353" i="48" s="1"/>
  <c r="J354" i="48"/>
  <c r="J353" i="48" s="1"/>
  <c r="I354" i="48"/>
  <c r="I353" i="48" s="1"/>
  <c r="H354" i="48"/>
  <c r="H353" i="48" s="1"/>
  <c r="L352" i="48"/>
  <c r="K351" i="48"/>
  <c r="K350" i="48" s="1"/>
  <c r="J351" i="48"/>
  <c r="J350" i="48" s="1"/>
  <c r="I351" i="48"/>
  <c r="I350" i="48" s="1"/>
  <c r="H351" i="48"/>
  <c r="H350" i="48" s="1"/>
  <c r="L348" i="48"/>
  <c r="L347" i="48" s="1"/>
  <c r="L346" i="48" s="1"/>
  <c r="K347" i="48"/>
  <c r="K346" i="48" s="1"/>
  <c r="J347" i="48"/>
  <c r="J346" i="48" s="1"/>
  <c r="I347" i="48"/>
  <c r="I346" i="48" s="1"/>
  <c r="H347" i="48"/>
  <c r="H346" i="48" s="1"/>
  <c r="L345" i="48"/>
  <c r="L344" i="48" s="1"/>
  <c r="L343" i="48" s="1"/>
  <c r="K344" i="48"/>
  <c r="K343" i="48" s="1"/>
  <c r="J344" i="48"/>
  <c r="J343" i="48" s="1"/>
  <c r="I344" i="48"/>
  <c r="I343" i="48" s="1"/>
  <c r="H344" i="48"/>
  <c r="H343" i="48" s="1"/>
  <c r="L342" i="48"/>
  <c r="L341" i="48"/>
  <c r="L340" i="48"/>
  <c r="L339" i="48"/>
  <c r="L338" i="48"/>
  <c r="L337" i="48"/>
  <c r="L336" i="48"/>
  <c r="L335" i="48"/>
  <c r="L334" i="48"/>
  <c r="L333" i="48"/>
  <c r="L332" i="48"/>
  <c r="L331" i="48"/>
  <c r="L330" i="48"/>
  <c r="L329" i="48"/>
  <c r="L328" i="48"/>
  <c r="L327" i="48"/>
  <c r="L326" i="48"/>
  <c r="L325" i="48"/>
  <c r="L324" i="48"/>
  <c r="K323" i="48"/>
  <c r="J323" i="48"/>
  <c r="I323" i="48"/>
  <c r="H323" i="48"/>
  <c r="L322" i="48"/>
  <c r="L321" i="48"/>
  <c r="L320" i="48"/>
  <c r="L319" i="48"/>
  <c r="L318" i="48"/>
  <c r="L317" i="48"/>
  <c r="L316" i="48"/>
  <c r="L315" i="48"/>
  <c r="L314" i="48"/>
  <c r="L313" i="48"/>
  <c r="L312" i="48"/>
  <c r="L311" i="48"/>
  <c r="L310" i="48"/>
  <c r="L309" i="48"/>
  <c r="L308" i="48"/>
  <c r="L307" i="48"/>
  <c r="L306" i="48"/>
  <c r="L305" i="48"/>
  <c r="L304" i="48"/>
  <c r="L303" i="48"/>
  <c r="L302" i="48"/>
  <c r="K301" i="48"/>
  <c r="J301" i="48"/>
  <c r="I301" i="48"/>
  <c r="H301" i="48"/>
  <c r="L299" i="48"/>
  <c r="L298" i="48"/>
  <c r="L297" i="48"/>
  <c r="L296" i="48"/>
  <c r="L295" i="48"/>
  <c r="L294" i="48"/>
  <c r="L293" i="48"/>
  <c r="L292" i="48"/>
  <c r="L291" i="48"/>
  <c r="L290" i="48"/>
  <c r="L289" i="48"/>
  <c r="L288" i="48"/>
  <c r="L287" i="48"/>
  <c r="L286" i="48"/>
  <c r="L285" i="48"/>
  <c r="L284" i="48"/>
  <c r="L283" i="48"/>
  <c r="L282" i="48"/>
  <c r="L281" i="48"/>
  <c r="L280" i="48"/>
  <c r="L279" i="48"/>
  <c r="L278" i="48"/>
  <c r="L277" i="48"/>
  <c r="L276" i="48"/>
  <c r="L275" i="48"/>
  <c r="L274" i="48"/>
  <c r="L273" i="48"/>
  <c r="L272" i="48"/>
  <c r="L271" i="48"/>
  <c r="L270" i="48"/>
  <c r="L269" i="48"/>
  <c r="L268" i="48"/>
  <c r="L267" i="48"/>
  <c r="L266" i="48"/>
  <c r="L265" i="48"/>
  <c r="L264" i="48"/>
  <c r="L263" i="48"/>
  <c r="L262" i="48"/>
  <c r="L261" i="48"/>
  <c r="L260" i="48"/>
  <c r="L259" i="48"/>
  <c r="L258" i="48"/>
  <c r="L257" i="48"/>
  <c r="L256" i="48"/>
  <c r="L255" i="48"/>
  <c r="L254" i="48"/>
  <c r="L253" i="48"/>
  <c r="L252" i="48"/>
  <c r="L251" i="48"/>
  <c r="L250" i="48"/>
  <c r="L249" i="48"/>
  <c r="L248" i="48"/>
  <c r="L247" i="48"/>
  <c r="L246" i="48"/>
  <c r="L245" i="48"/>
  <c r="L244" i="48"/>
  <c r="L243" i="48"/>
  <c r="L242" i="48"/>
  <c r="K241" i="48"/>
  <c r="J241" i="48"/>
  <c r="I241" i="48"/>
  <c r="H241" i="48"/>
  <c r="L240" i="48"/>
  <c r="L239" i="48"/>
  <c r="L238" i="48"/>
  <c r="L237" i="48"/>
  <c r="L236" i="48"/>
  <c r="L235" i="48"/>
  <c r="L234" i="48"/>
  <c r="L233" i="48"/>
  <c r="L232" i="48"/>
  <c r="L231" i="48"/>
  <c r="L230" i="48"/>
  <c r="L229" i="48"/>
  <c r="L228" i="48"/>
  <c r="L227" i="48"/>
  <c r="L226" i="48"/>
  <c r="L225" i="48"/>
  <c r="L224" i="48"/>
  <c r="L223" i="48"/>
  <c r="L222" i="48"/>
  <c r="L221" i="48"/>
  <c r="L220" i="48"/>
  <c r="L219" i="48"/>
  <c r="L218" i="48"/>
  <c r="L217" i="48"/>
  <c r="L216" i="48"/>
  <c r="L215" i="48"/>
  <c r="L214" i="48"/>
  <c r="L213" i="48"/>
  <c r="L212" i="48"/>
  <c r="L211" i="48"/>
  <c r="L210" i="48"/>
  <c r="L209" i="48"/>
  <c r="L208" i="48"/>
  <c r="L207" i="48"/>
  <c r="L206" i="48"/>
  <c r="L205" i="48"/>
  <c r="L204" i="48"/>
  <c r="L203" i="48"/>
  <c r="L202" i="48"/>
  <c r="L201" i="48"/>
  <c r="L200" i="48"/>
  <c r="L199" i="48"/>
  <c r="L198" i="48"/>
  <c r="L197" i="48"/>
  <c r="L196" i="48"/>
  <c r="L195" i="48"/>
  <c r="L194" i="48"/>
  <c r="L193" i="48"/>
  <c r="L192" i="48"/>
  <c r="L191" i="48"/>
  <c r="L190" i="48"/>
  <c r="L189" i="48"/>
  <c r="L188" i="48"/>
  <c r="L187" i="48"/>
  <c r="L186" i="48"/>
  <c r="L185" i="48"/>
  <c r="L184" i="48"/>
  <c r="L183" i="48"/>
  <c r="K182" i="48"/>
  <c r="J182" i="48"/>
  <c r="I182" i="48"/>
  <c r="H182" i="48"/>
  <c r="L180" i="48"/>
  <c r="L179" i="48"/>
  <c r="L178" i="48"/>
  <c r="L177" i="48"/>
  <c r="L176" i="48"/>
  <c r="K175" i="48"/>
  <c r="J175" i="48"/>
  <c r="I175" i="48"/>
  <c r="H175" i="48"/>
  <c r="L174" i="48"/>
  <c r="L173" i="48"/>
  <c r="L172" i="48"/>
  <c r="L171" i="48"/>
  <c r="L170" i="48"/>
  <c r="L169" i="48"/>
  <c r="L168" i="48"/>
  <c r="L167" i="48"/>
  <c r="L166" i="48"/>
  <c r="L165" i="48"/>
  <c r="L164" i="48"/>
  <c r="L163" i="48"/>
  <c r="L162" i="48"/>
  <c r="L161" i="48"/>
  <c r="L160" i="48"/>
  <c r="L159" i="48"/>
  <c r="L158" i="48"/>
  <c r="L157" i="48"/>
  <c r="L156" i="48"/>
  <c r="L155" i="48"/>
  <c r="L154" i="48"/>
  <c r="L153" i="48"/>
  <c r="L152" i="48"/>
  <c r="L151" i="48"/>
  <c r="L150" i="48"/>
  <c r="L149" i="48"/>
  <c r="L148" i="48"/>
  <c r="L147" i="48"/>
  <c r="L146" i="48"/>
  <c r="L145" i="48"/>
  <c r="L144" i="48"/>
  <c r="L143" i="48"/>
  <c r="L142" i="48"/>
  <c r="L141" i="48"/>
  <c r="L140" i="48"/>
  <c r="L139" i="48"/>
  <c r="L138" i="48"/>
  <c r="L137" i="48"/>
  <c r="L136" i="48"/>
  <c r="L135" i="48"/>
  <c r="L134" i="48"/>
  <c r="L133" i="48"/>
  <c r="L132" i="48"/>
  <c r="L131" i="48"/>
  <c r="L130" i="48"/>
  <c r="L129" i="48"/>
  <c r="L128" i="48"/>
  <c r="L127" i="48"/>
  <c r="L126" i="48"/>
  <c r="K125" i="48"/>
  <c r="J125" i="48"/>
  <c r="I125" i="48"/>
  <c r="H125" i="48"/>
  <c r="L124" i="48"/>
  <c r="L123" i="48"/>
  <c r="L122" i="48"/>
  <c r="L121" i="48"/>
  <c r="L120" i="48"/>
  <c r="L119" i="48"/>
  <c r="L118" i="48"/>
  <c r="L117" i="48"/>
  <c r="L116" i="48"/>
  <c r="L115" i="48"/>
  <c r="L114" i="48"/>
  <c r="L113" i="48"/>
  <c r="L112" i="48"/>
  <c r="L111" i="48"/>
  <c r="L110" i="48"/>
  <c r="L109" i="48"/>
  <c r="L108" i="48"/>
  <c r="L107" i="48"/>
  <c r="L106" i="48"/>
  <c r="L105" i="48"/>
  <c r="L104" i="48"/>
  <c r="L103" i="48"/>
  <c r="L102" i="48"/>
  <c r="L101" i="48"/>
  <c r="L100" i="48"/>
  <c r="L99" i="48"/>
  <c r="L98" i="48"/>
  <c r="L97" i="48"/>
  <c r="L96" i="48"/>
  <c r="L95" i="48"/>
  <c r="L94" i="48"/>
  <c r="L93" i="48"/>
  <c r="L92" i="48"/>
  <c r="L91" i="48"/>
  <c r="L90" i="48"/>
  <c r="L89" i="48"/>
  <c r="L88" i="48"/>
  <c r="L87" i="48"/>
  <c r="L86" i="48"/>
  <c r="L85" i="48"/>
  <c r="L84" i="48"/>
  <c r="L83" i="48"/>
  <c r="L82" i="48"/>
  <c r="L81" i="48"/>
  <c r="L80" i="48"/>
  <c r="L79" i="48"/>
  <c r="L78" i="48"/>
  <c r="L77" i="48"/>
  <c r="L76" i="48"/>
  <c r="L75" i="48"/>
  <c r="K74" i="48"/>
  <c r="J74" i="48"/>
  <c r="I74" i="48"/>
  <c r="H74" i="48"/>
  <c r="L73" i="48"/>
  <c r="L72" i="48"/>
  <c r="L71" i="48"/>
  <c r="L70" i="48"/>
  <c r="L69" i="48"/>
  <c r="L68" i="48"/>
  <c r="L67" i="48"/>
  <c r="L66" i="48"/>
  <c r="L65" i="48"/>
  <c r="L64" i="48"/>
  <c r="L63" i="48"/>
  <c r="L62" i="48"/>
  <c r="L61" i="48"/>
  <c r="L60" i="48"/>
  <c r="L59" i="48"/>
  <c r="L58" i="48"/>
  <c r="L57" i="48"/>
  <c r="L56" i="48"/>
  <c r="L55" i="48"/>
  <c r="L54" i="48"/>
  <c r="L53" i="48"/>
  <c r="L52" i="48"/>
  <c r="L51" i="48"/>
  <c r="L50" i="48"/>
  <c r="L49" i="48"/>
  <c r="L48" i="48"/>
  <c r="L47" i="48"/>
  <c r="L46" i="48"/>
  <c r="L45" i="48"/>
  <c r="L44" i="48"/>
  <c r="L43" i="48"/>
  <c r="L42" i="48"/>
  <c r="L41" i="48"/>
  <c r="L40" i="48"/>
  <c r="L39" i="48"/>
  <c r="L38" i="48"/>
  <c r="L37" i="48"/>
  <c r="L36" i="48"/>
  <c r="L35" i="48"/>
  <c r="L34" i="48"/>
  <c r="L33" i="48"/>
  <c r="L32" i="48"/>
  <c r="L31" i="48"/>
  <c r="L30" i="48"/>
  <c r="L29" i="48"/>
  <c r="L28" i="48"/>
  <c r="L27" i="48"/>
  <c r="L26" i="48"/>
  <c r="L25" i="48"/>
  <c r="L24" i="48"/>
  <c r="L23" i="48"/>
  <c r="L22" i="48"/>
  <c r="L21" i="48"/>
  <c r="L20" i="48"/>
  <c r="L19" i="48"/>
  <c r="L18" i="48"/>
  <c r="L17" i="48"/>
  <c r="L16" i="48"/>
  <c r="L15" i="48"/>
  <c r="L14" i="48"/>
  <c r="L13" i="48"/>
  <c r="L12" i="48"/>
  <c r="L11" i="48"/>
  <c r="K10" i="48"/>
  <c r="J10" i="48"/>
  <c r="I10" i="48"/>
  <c r="H10" i="48"/>
  <c r="L9" i="48"/>
  <c r="L8" i="48" s="1"/>
  <c r="K8" i="48"/>
  <c r="J8" i="48"/>
  <c r="I8" i="48"/>
  <c r="H8" i="48"/>
  <c r="H181" i="48" l="1"/>
  <c r="K300" i="48"/>
  <c r="H300" i="48"/>
  <c r="I181" i="48"/>
  <c r="K181" i="48"/>
  <c r="J300" i="48"/>
  <c r="I300" i="48"/>
  <c r="J181" i="48"/>
  <c r="L323" i="48"/>
  <c r="I7" i="48"/>
  <c r="L182" i="48"/>
  <c r="L241" i="48"/>
  <c r="L10" i="48"/>
  <c r="L301" i="48"/>
  <c r="K7" i="48"/>
  <c r="L125" i="48"/>
  <c r="L74" i="48"/>
  <c r="H7" i="48"/>
  <c r="J7" i="48"/>
  <c r="L175" i="48"/>
  <c r="L351" i="48"/>
  <c r="L350" i="48" s="1"/>
  <c r="K349" i="48" l="1"/>
  <c r="H349" i="48"/>
  <c r="J349" i="48"/>
  <c r="L7" i="48"/>
  <c r="L181" i="48"/>
  <c r="I349" i="48"/>
  <c r="L300" i="48"/>
  <c r="U86" i="1"/>
  <c r="T86" i="1"/>
  <c r="S86" i="1"/>
  <c r="R86" i="1"/>
  <c r="Q86" i="1"/>
  <c r="O86" i="1"/>
  <c r="N86" i="1"/>
  <c r="L349" i="48" l="1"/>
  <c r="L358" i="48" s="1"/>
  <c r="L357" i="48" s="1"/>
  <c r="L356" i="48" s="1"/>
  <c r="L127" i="55"/>
  <c r="L125" i="55"/>
  <c r="P125" i="55" s="1"/>
  <c r="L316" i="55"/>
  <c r="L242" i="55"/>
  <c r="L221" i="55"/>
  <c r="L170" i="55"/>
  <c r="L155" i="55"/>
  <c r="L71" i="55"/>
  <c r="P71" i="55" s="1"/>
  <c r="L70" i="55"/>
  <c r="L68" i="55"/>
  <c r="L67" i="55"/>
  <c r="L17" i="55"/>
  <c r="L16" i="55"/>
  <c r="P315" i="55"/>
  <c r="M315" i="55"/>
  <c r="P314" i="55"/>
  <c r="M314" i="55"/>
  <c r="K242" i="55"/>
  <c r="M242" i="55" s="1"/>
  <c r="K221" i="55"/>
  <c r="K170" i="55"/>
  <c r="K127" i="55"/>
  <c r="K125" i="55"/>
  <c r="M125" i="55" s="1"/>
  <c r="K70" i="55"/>
  <c r="K68" i="55"/>
  <c r="K67" i="55"/>
  <c r="P67" i="55" s="1"/>
  <c r="K17" i="55"/>
  <c r="K16" i="55"/>
  <c r="U8" i="55"/>
  <c r="M3" i="55"/>
  <c r="P70" i="55" l="1"/>
  <c r="M170" i="55"/>
  <c r="M127" i="55"/>
  <c r="P127" i="55"/>
  <c r="P68" i="55"/>
  <c r="P242" i="55"/>
  <c r="M68" i="55"/>
  <c r="P16" i="55"/>
  <c r="M16" i="55"/>
  <c r="P17" i="55"/>
  <c r="M17" i="55"/>
  <c r="M67" i="55"/>
  <c r="P221" i="55"/>
  <c r="M221" i="55"/>
  <c r="P170" i="55"/>
  <c r="P155" i="55"/>
  <c r="P316" i="55"/>
  <c r="AA175" i="48" l="1"/>
  <c r="Z5" i="48"/>
  <c r="G100" i="24" l="1"/>
  <c r="G99" i="24"/>
  <c r="J100" i="24"/>
  <c r="J99" i="24"/>
  <c r="M99" i="24" s="1"/>
  <c r="P180" i="23" l="1"/>
  <c r="M100" i="24"/>
  <c r="AA349" i="48"/>
  <c r="AA323" i="48"/>
  <c r="AA300" i="48"/>
  <c r="AA241" i="48"/>
  <c r="AA182" i="48"/>
  <c r="AA181" i="48"/>
  <c r="AA125" i="48"/>
  <c r="AA74" i="48"/>
  <c r="AA10" i="48"/>
  <c r="AB350" i="48" l="1"/>
  <c r="AB351" i="48" s="1"/>
  <c r="AB352" i="48" s="1"/>
  <c r="L310" i="55" s="1"/>
  <c r="K381" i="48"/>
  <c r="J381" i="48"/>
  <c r="I381" i="48"/>
  <c r="H381" i="48"/>
  <c r="K380" i="48"/>
  <c r="J380" i="48"/>
  <c r="I380" i="48"/>
  <c r="H380" i="48"/>
  <c r="K379" i="48"/>
  <c r="J379" i="48"/>
  <c r="I379" i="48"/>
  <c r="H379" i="48"/>
  <c r="K378" i="48"/>
  <c r="J378" i="48"/>
  <c r="I378" i="48"/>
  <c r="H378" i="48"/>
  <c r="K377" i="48"/>
  <c r="J377" i="48"/>
  <c r="I377" i="48"/>
  <c r="H377" i="48"/>
  <c r="K376" i="48"/>
  <c r="J376" i="48"/>
  <c r="I376" i="48"/>
  <c r="H376" i="48"/>
  <c r="K375" i="48"/>
  <c r="J375" i="48"/>
  <c r="J384" i="48" s="1"/>
  <c r="I375" i="48"/>
  <c r="H375" i="48"/>
  <c r="K374" i="48"/>
  <c r="J374" i="48"/>
  <c r="I374" i="48"/>
  <c r="H374" i="48"/>
  <c r="K373" i="48"/>
  <c r="J373" i="48"/>
  <c r="I373" i="48"/>
  <c r="H373" i="48"/>
  <c r="K372" i="48"/>
  <c r="J372" i="48"/>
  <c r="I372" i="48"/>
  <c r="H372" i="48"/>
  <c r="K371" i="48"/>
  <c r="J371" i="48"/>
  <c r="I371" i="48"/>
  <c r="H371" i="48"/>
  <c r="K370" i="48"/>
  <c r="J370" i="48"/>
  <c r="I370" i="48"/>
  <c r="H370" i="48"/>
  <c r="K369" i="48"/>
  <c r="J369" i="48"/>
  <c r="I369" i="48"/>
  <c r="H369" i="48"/>
  <c r="K368" i="48"/>
  <c r="J368" i="48"/>
  <c r="I368" i="48"/>
  <c r="H368" i="48"/>
  <c r="K367" i="48"/>
  <c r="J367" i="48"/>
  <c r="I367" i="48"/>
  <c r="H367" i="48"/>
  <c r="K366" i="48"/>
  <c r="J366" i="48"/>
  <c r="I366" i="48"/>
  <c r="H366" i="48"/>
  <c r="K365" i="48"/>
  <c r="J365" i="48"/>
  <c r="I365" i="48"/>
  <c r="H365" i="48"/>
  <c r="T362" i="48"/>
  <c r="M362" i="48"/>
  <c r="K362" i="48"/>
  <c r="J362" i="48"/>
  <c r="I362" i="48"/>
  <c r="H362" i="48"/>
  <c r="T361" i="48"/>
  <c r="M361" i="48"/>
  <c r="K361" i="48"/>
  <c r="J361" i="48"/>
  <c r="I361" i="48"/>
  <c r="H361" i="48"/>
  <c r="T360" i="48"/>
  <c r="M360" i="48"/>
  <c r="K360" i="48"/>
  <c r="J360" i="48"/>
  <c r="I360" i="48"/>
  <c r="H360" i="48"/>
  <c r="U355" i="48"/>
  <c r="U354" i="48" s="1"/>
  <c r="U353" i="48" s="1"/>
  <c r="U342" i="48"/>
  <c r="U341" i="48"/>
  <c r="U340" i="48"/>
  <c r="U339" i="48"/>
  <c r="U338" i="48"/>
  <c r="U337" i="48"/>
  <c r="U336" i="48"/>
  <c r="U335" i="48"/>
  <c r="U334" i="48"/>
  <c r="U333" i="48"/>
  <c r="U332" i="48"/>
  <c r="U331" i="48"/>
  <c r="U330" i="48"/>
  <c r="U329" i="48"/>
  <c r="U328" i="48"/>
  <c r="U327" i="48"/>
  <c r="U326" i="48"/>
  <c r="U325" i="48"/>
  <c r="U324" i="48"/>
  <c r="U322" i="48"/>
  <c r="U321" i="48"/>
  <c r="U320" i="48"/>
  <c r="U319" i="48"/>
  <c r="U318" i="48"/>
  <c r="U317" i="48"/>
  <c r="U316" i="48"/>
  <c r="U315" i="48"/>
  <c r="U314" i="48"/>
  <c r="U313" i="48"/>
  <c r="U312" i="48"/>
  <c r="U311" i="48"/>
  <c r="U310" i="48"/>
  <c r="U309" i="48"/>
  <c r="U308" i="48"/>
  <c r="U307" i="48"/>
  <c r="U306" i="48"/>
  <c r="U305" i="48"/>
  <c r="U304" i="48"/>
  <c r="U303" i="48"/>
  <c r="U302" i="48"/>
  <c r="U299" i="48"/>
  <c r="U298" i="48"/>
  <c r="U296" i="48"/>
  <c r="U295" i="48"/>
  <c r="U294" i="48"/>
  <c r="U293" i="48"/>
  <c r="U292" i="48"/>
  <c r="U291" i="48"/>
  <c r="U290" i="48"/>
  <c r="U289" i="48"/>
  <c r="U288" i="48"/>
  <c r="U287" i="48"/>
  <c r="U286" i="48"/>
  <c r="U285" i="48"/>
  <c r="U284" i="48"/>
  <c r="U283" i="48"/>
  <c r="U282" i="48"/>
  <c r="U281" i="48"/>
  <c r="U280" i="48"/>
  <c r="U279" i="48"/>
  <c r="U278" i="48"/>
  <c r="U277" i="48"/>
  <c r="U276" i="48"/>
  <c r="U275" i="48"/>
  <c r="U274" i="48"/>
  <c r="U273" i="48"/>
  <c r="U272" i="48"/>
  <c r="U271" i="48"/>
  <c r="U270" i="48"/>
  <c r="U269" i="48"/>
  <c r="U268" i="48"/>
  <c r="U267" i="48"/>
  <c r="U266" i="48"/>
  <c r="U265" i="48"/>
  <c r="U264" i="48"/>
  <c r="U263" i="48"/>
  <c r="U262" i="48"/>
  <c r="U261" i="48"/>
  <c r="U260" i="48"/>
  <c r="U259" i="48"/>
  <c r="U258" i="48"/>
  <c r="U257" i="48"/>
  <c r="U256" i="48"/>
  <c r="U255" i="48"/>
  <c r="U254" i="48"/>
  <c r="U253" i="48"/>
  <c r="U252" i="48"/>
  <c r="U251" i="48"/>
  <c r="U249" i="48"/>
  <c r="U248" i="48"/>
  <c r="U247" i="48"/>
  <c r="U246" i="48"/>
  <c r="U245" i="48"/>
  <c r="U244" i="48"/>
  <c r="U243" i="48"/>
  <c r="U242" i="48"/>
  <c r="U240" i="48"/>
  <c r="U239" i="48"/>
  <c r="U238" i="48"/>
  <c r="U237" i="48"/>
  <c r="U236" i="48"/>
  <c r="U235" i="48"/>
  <c r="U234" i="48"/>
  <c r="U233" i="48"/>
  <c r="U232" i="48"/>
  <c r="U231" i="48"/>
  <c r="U230" i="48"/>
  <c r="U229" i="48"/>
  <c r="U228" i="48"/>
  <c r="U227" i="48"/>
  <c r="U226" i="48"/>
  <c r="U225" i="48"/>
  <c r="U224" i="48"/>
  <c r="U223" i="48"/>
  <c r="U222" i="48"/>
  <c r="U221" i="48"/>
  <c r="U220" i="48"/>
  <c r="U219" i="48"/>
  <c r="U218" i="48"/>
  <c r="U217" i="48"/>
  <c r="U216" i="48"/>
  <c r="U215" i="48"/>
  <c r="U214" i="48"/>
  <c r="U213" i="48"/>
  <c r="U212" i="48"/>
  <c r="U211" i="48"/>
  <c r="U210" i="48"/>
  <c r="U209" i="48"/>
  <c r="U208" i="48"/>
  <c r="U207" i="48"/>
  <c r="U206" i="48"/>
  <c r="U205" i="48"/>
  <c r="U204" i="48"/>
  <c r="U203" i="48"/>
  <c r="U202" i="48"/>
  <c r="U201" i="48"/>
  <c r="U200" i="48"/>
  <c r="U199" i="48"/>
  <c r="U198" i="48"/>
  <c r="U197" i="48"/>
  <c r="U196" i="48"/>
  <c r="U195" i="48"/>
  <c r="U194" i="48"/>
  <c r="U193" i="48"/>
  <c r="U192" i="48"/>
  <c r="U191" i="48"/>
  <c r="U190" i="48"/>
  <c r="U189" i="48"/>
  <c r="U188" i="48"/>
  <c r="U187" i="48"/>
  <c r="U186" i="48"/>
  <c r="U185" i="48"/>
  <c r="U184" i="48"/>
  <c r="U183" i="48"/>
  <c r="U178" i="48"/>
  <c r="U177" i="48"/>
  <c r="U176" i="48"/>
  <c r="U174" i="48"/>
  <c r="U173" i="48"/>
  <c r="U172" i="48"/>
  <c r="U171" i="48"/>
  <c r="U170" i="48"/>
  <c r="U169" i="48"/>
  <c r="U168" i="48"/>
  <c r="U167" i="48"/>
  <c r="U166" i="48"/>
  <c r="U165" i="48"/>
  <c r="U164" i="48"/>
  <c r="U163" i="48"/>
  <c r="U162" i="48"/>
  <c r="U161" i="48"/>
  <c r="U160" i="48"/>
  <c r="U159" i="48"/>
  <c r="U158" i="48"/>
  <c r="U157" i="48"/>
  <c r="U156" i="48"/>
  <c r="U155" i="48"/>
  <c r="U154" i="48"/>
  <c r="U153" i="48"/>
  <c r="U152" i="48"/>
  <c r="U151" i="48"/>
  <c r="U150" i="48"/>
  <c r="U149" i="48"/>
  <c r="U148" i="48"/>
  <c r="U147" i="48"/>
  <c r="U146" i="48"/>
  <c r="U145" i="48"/>
  <c r="U144" i="48"/>
  <c r="U143" i="48"/>
  <c r="U142" i="48"/>
  <c r="U141" i="48"/>
  <c r="U140" i="48"/>
  <c r="U139" i="48"/>
  <c r="U138" i="48"/>
  <c r="U137" i="48"/>
  <c r="U136" i="48"/>
  <c r="U135" i="48"/>
  <c r="U134" i="48"/>
  <c r="U133" i="48"/>
  <c r="U132" i="48"/>
  <c r="U131" i="48"/>
  <c r="U130" i="48"/>
  <c r="U129" i="48"/>
  <c r="U128" i="48"/>
  <c r="U127" i="48"/>
  <c r="U126" i="48"/>
  <c r="U124" i="48"/>
  <c r="U122" i="48"/>
  <c r="U121" i="48"/>
  <c r="U120" i="48"/>
  <c r="U119" i="48"/>
  <c r="U118" i="48"/>
  <c r="U117" i="48"/>
  <c r="U116" i="48"/>
  <c r="U113" i="48"/>
  <c r="U112" i="48"/>
  <c r="U111" i="48"/>
  <c r="U109" i="48"/>
  <c r="U108" i="48"/>
  <c r="U107" i="48"/>
  <c r="U106" i="48"/>
  <c r="U105" i="48"/>
  <c r="U104" i="48"/>
  <c r="U103" i="48"/>
  <c r="U102" i="48"/>
  <c r="U101" i="48"/>
  <c r="U100" i="48"/>
  <c r="U99" i="48"/>
  <c r="U98" i="48"/>
  <c r="U97" i="48"/>
  <c r="U96" i="48"/>
  <c r="U95" i="48"/>
  <c r="U94" i="48"/>
  <c r="U93" i="48"/>
  <c r="U92" i="48"/>
  <c r="U90" i="48"/>
  <c r="U88" i="48"/>
  <c r="U87" i="48"/>
  <c r="U86" i="48"/>
  <c r="U85" i="48"/>
  <c r="U84" i="48"/>
  <c r="U83" i="48"/>
  <c r="U82" i="48"/>
  <c r="U81" i="48"/>
  <c r="U79" i="48"/>
  <c r="U78" i="48"/>
  <c r="U77" i="48"/>
  <c r="U76" i="48"/>
  <c r="U73" i="48"/>
  <c r="U72" i="48"/>
  <c r="U71" i="48"/>
  <c r="U70" i="48"/>
  <c r="U69" i="48"/>
  <c r="U68" i="48"/>
  <c r="U67" i="48"/>
  <c r="U66" i="48"/>
  <c r="U65" i="48"/>
  <c r="U64" i="48"/>
  <c r="U63" i="48"/>
  <c r="U59" i="48"/>
  <c r="U55" i="48"/>
  <c r="U53" i="48"/>
  <c r="U51" i="48"/>
  <c r="U49" i="48"/>
  <c r="U47" i="48"/>
  <c r="U45" i="48"/>
  <c r="U43" i="48"/>
  <c r="U41" i="48"/>
  <c r="U40" i="48"/>
  <c r="AB40" i="48" s="1"/>
  <c r="L40" i="55" s="1"/>
  <c r="P40" i="55" s="1"/>
  <c r="U39" i="48"/>
  <c r="U37" i="48"/>
  <c r="U35" i="48"/>
  <c r="U31" i="48"/>
  <c r="U27" i="48"/>
  <c r="U25" i="48"/>
  <c r="U24" i="48"/>
  <c r="U23" i="48"/>
  <c r="U22" i="48"/>
  <c r="U21" i="48"/>
  <c r="U20" i="48"/>
  <c r="U19" i="48"/>
  <c r="U18" i="48"/>
  <c r="U16" i="48"/>
  <c r="U13" i="48"/>
  <c r="K5" i="48"/>
  <c r="J5" i="48"/>
  <c r="I5" i="48"/>
  <c r="H5" i="48"/>
  <c r="L309" i="55" l="1"/>
  <c r="P310" i="55"/>
  <c r="U9" i="48"/>
  <c r="U8" i="48" s="1"/>
  <c r="U57" i="48"/>
  <c r="AB57" i="48" s="1"/>
  <c r="L54" i="55" s="1"/>
  <c r="P54" i="55" s="1"/>
  <c r="U114" i="48"/>
  <c r="U26" i="48"/>
  <c r="AB26" i="48" s="1"/>
  <c r="L26" i="55" s="1"/>
  <c r="P26" i="55" s="1"/>
  <c r="U11" i="48"/>
  <c r="AB11" i="48" s="1"/>
  <c r="L9" i="55" s="1"/>
  <c r="U42" i="48"/>
  <c r="AB42" i="48" s="1"/>
  <c r="L42" i="55" s="1"/>
  <c r="P42" i="55" s="1"/>
  <c r="U50" i="48"/>
  <c r="AB50" i="48" s="1"/>
  <c r="U58" i="48"/>
  <c r="AB58" i="48" s="1"/>
  <c r="L55" i="55" s="1"/>
  <c r="P55" i="55" s="1"/>
  <c r="U75" i="48"/>
  <c r="U91" i="48"/>
  <c r="U115" i="48"/>
  <c r="U123" i="48"/>
  <c r="AB123" i="48" s="1"/>
  <c r="U34" i="48"/>
  <c r="AB34" i="48" s="1"/>
  <c r="L34" i="55" s="1"/>
  <c r="P34" i="55" s="1"/>
  <c r="U12" i="48"/>
  <c r="U28" i="48"/>
  <c r="AB28" i="48" s="1"/>
  <c r="L28" i="55" s="1"/>
  <c r="P28" i="55" s="1"/>
  <c r="U36" i="48"/>
  <c r="AB36" i="48" s="1"/>
  <c r="L36" i="55" s="1"/>
  <c r="P36" i="55" s="1"/>
  <c r="U182" i="48"/>
  <c r="U297" i="48"/>
  <c r="AB297" i="48" s="1"/>
  <c r="U29" i="48"/>
  <c r="U44" i="48"/>
  <c r="AB44" i="48" s="1"/>
  <c r="L44" i="55" s="1"/>
  <c r="P44" i="55" s="1"/>
  <c r="U52" i="48"/>
  <c r="AB52" i="48" s="1"/>
  <c r="L49" i="55" s="1"/>
  <c r="P49" i="55" s="1"/>
  <c r="U60" i="48"/>
  <c r="AB60" i="48" s="1"/>
  <c r="L57" i="55" s="1"/>
  <c r="U125" i="48"/>
  <c r="U250" i="48"/>
  <c r="U241" i="48" s="1"/>
  <c r="U323" i="48"/>
  <c r="U110" i="48"/>
  <c r="U14" i="48"/>
  <c r="U38" i="48"/>
  <c r="AB38" i="48" s="1"/>
  <c r="L38" i="55" s="1"/>
  <c r="P38" i="55" s="1"/>
  <c r="U15" i="48"/>
  <c r="AB15" i="48" s="1"/>
  <c r="L13" i="55" s="1"/>
  <c r="P13" i="55" s="1"/>
  <c r="U46" i="48"/>
  <c r="AB46" i="48" s="1"/>
  <c r="L46" i="55" s="1"/>
  <c r="P46" i="55" s="1"/>
  <c r="U54" i="48"/>
  <c r="AB54" i="48" s="1"/>
  <c r="L51" i="55" s="1"/>
  <c r="P51" i="55" s="1"/>
  <c r="U62" i="48"/>
  <c r="U301" i="48"/>
  <c r="U80" i="48"/>
  <c r="U348" i="48"/>
  <c r="U347" i="48" s="1"/>
  <c r="U346" i="48" s="1"/>
  <c r="U30" i="48"/>
  <c r="AB30" i="48" s="1"/>
  <c r="L30" i="55" s="1"/>
  <c r="P30" i="55" s="1"/>
  <c r="U32" i="48"/>
  <c r="AB32" i="48" s="1"/>
  <c r="L32" i="55" s="1"/>
  <c r="P32" i="55" s="1"/>
  <c r="U17" i="48"/>
  <c r="U33" i="48"/>
  <c r="U48" i="48"/>
  <c r="AB48" i="48" s="1"/>
  <c r="U56" i="48"/>
  <c r="AB56" i="48" s="1"/>
  <c r="L53" i="55" s="1"/>
  <c r="P53" i="55" s="1"/>
  <c r="U89" i="48"/>
  <c r="U180" i="48"/>
  <c r="U179" i="48"/>
  <c r="AB179" i="48" s="1"/>
  <c r="L154" i="55" s="1"/>
  <c r="P154" i="55" s="1"/>
  <c r="U352" i="48"/>
  <c r="U351" i="48" s="1"/>
  <c r="U350" i="48" s="1"/>
  <c r="U345" i="48"/>
  <c r="U344" i="48" s="1"/>
  <c r="U343" i="48" s="1"/>
  <c r="U61" i="48"/>
  <c r="W246" i="48"/>
  <c r="AB325" i="48"/>
  <c r="L284" i="55" s="1"/>
  <c r="P284" i="55" s="1"/>
  <c r="AB329" i="48"/>
  <c r="L288" i="55" s="1"/>
  <c r="P288" i="55" s="1"/>
  <c r="AB333" i="48"/>
  <c r="L291" i="55" s="1"/>
  <c r="P291" i="55" s="1"/>
  <c r="AB337" i="48"/>
  <c r="L295" i="55" s="1"/>
  <c r="P295" i="55" s="1"/>
  <c r="AB341" i="48"/>
  <c r="L299" i="55" s="1"/>
  <c r="P299" i="55" s="1"/>
  <c r="AB27" i="48"/>
  <c r="L27" i="55" s="1"/>
  <c r="P27" i="55" s="1"/>
  <c r="AB35" i="48"/>
  <c r="L35" i="55" s="1"/>
  <c r="P35" i="55" s="1"/>
  <c r="AB43" i="48"/>
  <c r="L43" i="55" s="1"/>
  <c r="AB51" i="48"/>
  <c r="AB59" i="48"/>
  <c r="L56" i="55" s="1"/>
  <c r="P56" i="55" s="1"/>
  <c r="AB122" i="48"/>
  <c r="AB296" i="48"/>
  <c r="AB31" i="48"/>
  <c r="L31" i="55" s="1"/>
  <c r="P31" i="55" s="1"/>
  <c r="AB39" i="48"/>
  <c r="L39" i="55" s="1"/>
  <c r="P39" i="55" s="1"/>
  <c r="AB47" i="48"/>
  <c r="L47" i="55" s="1"/>
  <c r="P47" i="55" s="1"/>
  <c r="AB55" i="48"/>
  <c r="L52" i="55" s="1"/>
  <c r="P52" i="55" s="1"/>
  <c r="AB245" i="48"/>
  <c r="L212" i="55" s="1"/>
  <c r="P212" i="55" s="1"/>
  <c r="AB295" i="48"/>
  <c r="AB299" i="48"/>
  <c r="L259" i="55" s="1"/>
  <c r="P259" i="55" s="1"/>
  <c r="AB303" i="48"/>
  <c r="L263" i="55" s="1"/>
  <c r="P263" i="55" s="1"/>
  <c r="AB244" i="48"/>
  <c r="L211" i="55" s="1"/>
  <c r="P211" i="55" s="1"/>
  <c r="AB327" i="48"/>
  <c r="L286" i="55" s="1"/>
  <c r="P286" i="55" s="1"/>
  <c r="AB331" i="48"/>
  <c r="AB335" i="48"/>
  <c r="L293" i="55" s="1"/>
  <c r="P293" i="55" s="1"/>
  <c r="AB339" i="48"/>
  <c r="L297" i="55" s="1"/>
  <c r="P297" i="55" s="1"/>
  <c r="AB37" i="48"/>
  <c r="L37" i="55" s="1"/>
  <c r="P37" i="55" s="1"/>
  <c r="AB45" i="48"/>
  <c r="L45" i="55" s="1"/>
  <c r="P45" i="55" s="1"/>
  <c r="AB49" i="48"/>
  <c r="AB124" i="48"/>
  <c r="L106" i="55" s="1"/>
  <c r="P106" i="55" s="1"/>
  <c r="AB273" i="48"/>
  <c r="AB294" i="48"/>
  <c r="L258" i="55" s="1"/>
  <c r="P258" i="55" s="1"/>
  <c r="AB298" i="48"/>
  <c r="AB305" i="48"/>
  <c r="L265" i="55" s="1"/>
  <c r="P265" i="55" s="1"/>
  <c r="AB13" i="48"/>
  <c r="L11" i="55" s="1"/>
  <c r="P11" i="55" s="1"/>
  <c r="AB41" i="48"/>
  <c r="L41" i="55" s="1"/>
  <c r="AB53" i="48"/>
  <c r="L50" i="55" s="1"/>
  <c r="P50" i="55" s="1"/>
  <c r="AB132" i="48"/>
  <c r="L115" i="55" s="1"/>
  <c r="P115" i="55" s="1"/>
  <c r="AB136" i="48"/>
  <c r="L119" i="55" s="1"/>
  <c r="P119" i="55" s="1"/>
  <c r="AB140" i="48"/>
  <c r="L120" i="55" s="1"/>
  <c r="P120" i="55" s="1"/>
  <c r="AB243" i="48"/>
  <c r="L210" i="55" s="1"/>
  <c r="AB307" i="48"/>
  <c r="L267" i="55" s="1"/>
  <c r="P267" i="55" s="1"/>
  <c r="AB67" i="48"/>
  <c r="AB90" i="48"/>
  <c r="L83" i="55" s="1"/>
  <c r="P83" i="55" s="1"/>
  <c r="AB98" i="48"/>
  <c r="L91" i="55" s="1"/>
  <c r="P91" i="55" s="1"/>
  <c r="AB63" i="48"/>
  <c r="L60" i="55" s="1"/>
  <c r="P60" i="55" s="1"/>
  <c r="AB71" i="48"/>
  <c r="L61" i="55" s="1"/>
  <c r="P61" i="55" s="1"/>
  <c r="AB78" i="48"/>
  <c r="L69" i="55" s="1"/>
  <c r="P69" i="55" s="1"/>
  <c r="AB86" i="48"/>
  <c r="L79" i="55" s="1"/>
  <c r="P79" i="55" s="1"/>
  <c r="AB94" i="48"/>
  <c r="L87" i="55" s="1"/>
  <c r="P87" i="55" s="1"/>
  <c r="AB212" i="48"/>
  <c r="AB187" i="48"/>
  <c r="L162" i="55" s="1"/>
  <c r="P162" i="55" s="1"/>
  <c r="AB191" i="48"/>
  <c r="AB195" i="48"/>
  <c r="L169" i="55" s="1"/>
  <c r="P169" i="55" s="1"/>
  <c r="AB199" i="48"/>
  <c r="L174" i="55" s="1"/>
  <c r="P174" i="55" s="1"/>
  <c r="AB203" i="48"/>
  <c r="L178" i="55" s="1"/>
  <c r="P178" i="55" s="1"/>
  <c r="AB235" i="48"/>
  <c r="L206" i="55" s="1"/>
  <c r="P206" i="55" s="1"/>
  <c r="AB239" i="48"/>
  <c r="AB213" i="48"/>
  <c r="AB221" i="48"/>
  <c r="L194" i="55" s="1"/>
  <c r="P194" i="55" s="1"/>
  <c r="AB225" i="48"/>
  <c r="AB184" i="48"/>
  <c r="L159" i="55" s="1"/>
  <c r="P159" i="55" s="1"/>
  <c r="AB188" i="48"/>
  <c r="L163" i="55" s="1"/>
  <c r="P163" i="55" s="1"/>
  <c r="AB192" i="48"/>
  <c r="L166" i="55" s="1"/>
  <c r="P166" i="55" s="1"/>
  <c r="AB196" i="48"/>
  <c r="L171" i="55" s="1"/>
  <c r="P171" i="55" s="1"/>
  <c r="AB200" i="48"/>
  <c r="L175" i="55" s="1"/>
  <c r="P175" i="55" s="1"/>
  <c r="AB204" i="48"/>
  <c r="L179" i="55" s="1"/>
  <c r="P179" i="55" s="1"/>
  <c r="AB69" i="48"/>
  <c r="AB88" i="48"/>
  <c r="L81" i="55" s="1"/>
  <c r="P81" i="55" s="1"/>
  <c r="AB96" i="48"/>
  <c r="L89" i="55" s="1"/>
  <c r="P89" i="55" s="1"/>
  <c r="AB112" i="48"/>
  <c r="L105" i="55" s="1"/>
  <c r="P105" i="55" s="1"/>
  <c r="AB223" i="48"/>
  <c r="L196" i="55" s="1"/>
  <c r="P196" i="55" s="1"/>
  <c r="AB18" i="48"/>
  <c r="L18" i="55" s="1"/>
  <c r="P18" i="55" s="1"/>
  <c r="AB104" i="48"/>
  <c r="L97" i="55" s="1"/>
  <c r="P97" i="55" s="1"/>
  <c r="AB108" i="48"/>
  <c r="L101" i="55" s="1"/>
  <c r="P101" i="55" s="1"/>
  <c r="AB120" i="48"/>
  <c r="AB227" i="48"/>
  <c r="L199" i="55" s="1"/>
  <c r="P199" i="55" s="1"/>
  <c r="AB236" i="48"/>
  <c r="AB279" i="48"/>
  <c r="L244" i="55" s="1"/>
  <c r="P244" i="55" s="1"/>
  <c r="AB283" i="48"/>
  <c r="L248" i="55" s="1"/>
  <c r="P248" i="55" s="1"/>
  <c r="AB287" i="48"/>
  <c r="AB291" i="48"/>
  <c r="L255" i="55" s="1"/>
  <c r="P255" i="55" s="1"/>
  <c r="AB311" i="48"/>
  <c r="L271" i="55" s="1"/>
  <c r="P271" i="55" s="1"/>
  <c r="AB319" i="48"/>
  <c r="L279" i="55" s="1"/>
  <c r="P279" i="55" s="1"/>
  <c r="AB64" i="48"/>
  <c r="AB79" i="48"/>
  <c r="L72" i="55" s="1"/>
  <c r="P72" i="55" s="1"/>
  <c r="AB87" i="48"/>
  <c r="L80" i="55" s="1"/>
  <c r="P80" i="55" s="1"/>
  <c r="AB95" i="48"/>
  <c r="L88" i="55" s="1"/>
  <c r="P88" i="55" s="1"/>
  <c r="AB111" i="48"/>
  <c r="L104" i="55" s="1"/>
  <c r="P104" i="55" s="1"/>
  <c r="AB231" i="48"/>
  <c r="L202" i="55" s="1"/>
  <c r="P202" i="55" s="1"/>
  <c r="AB262" i="48"/>
  <c r="L229" i="55" s="1"/>
  <c r="P229" i="55" s="1"/>
  <c r="AB266" i="48"/>
  <c r="L233" i="55" s="1"/>
  <c r="P233" i="55" s="1"/>
  <c r="AB270" i="48"/>
  <c r="L237" i="55" s="1"/>
  <c r="P237" i="55" s="1"/>
  <c r="AB306" i="48"/>
  <c r="L266" i="55" s="1"/>
  <c r="P266" i="55" s="1"/>
  <c r="AB328" i="48"/>
  <c r="L287" i="55" s="1"/>
  <c r="P287" i="55" s="1"/>
  <c r="AB332" i="48"/>
  <c r="AB336" i="48"/>
  <c r="L294" i="55" s="1"/>
  <c r="P294" i="55" s="1"/>
  <c r="AB340" i="48"/>
  <c r="L298" i="55" s="1"/>
  <c r="P298" i="55" s="1"/>
  <c r="AB68" i="48"/>
  <c r="AB75" i="48"/>
  <c r="L64" i="55" s="1"/>
  <c r="AB83" i="48"/>
  <c r="L76" i="55" s="1"/>
  <c r="P76" i="55" s="1"/>
  <c r="AB99" i="48"/>
  <c r="L92" i="55" s="1"/>
  <c r="P92" i="55" s="1"/>
  <c r="AB205" i="48"/>
  <c r="L180" i="55" s="1"/>
  <c r="P180" i="55" s="1"/>
  <c r="AB254" i="48"/>
  <c r="L220" i="55" s="1"/>
  <c r="P220" i="55" s="1"/>
  <c r="AB103" i="48"/>
  <c r="L96" i="55" s="1"/>
  <c r="P96" i="55" s="1"/>
  <c r="AB107" i="48"/>
  <c r="L100" i="55" s="1"/>
  <c r="P100" i="55" s="1"/>
  <c r="AB119" i="48"/>
  <c r="AB282" i="48"/>
  <c r="L247" i="55" s="1"/>
  <c r="P247" i="55" s="1"/>
  <c r="AB286" i="48"/>
  <c r="L251" i="55" s="1"/>
  <c r="P251" i="55" s="1"/>
  <c r="AB290" i="48"/>
  <c r="L254" i="55" s="1"/>
  <c r="P254" i="55" s="1"/>
  <c r="AB310" i="48"/>
  <c r="L270" i="55" s="1"/>
  <c r="P270" i="55" s="1"/>
  <c r="AB314" i="48"/>
  <c r="L274" i="55" s="1"/>
  <c r="P274" i="55" s="1"/>
  <c r="AB318" i="48"/>
  <c r="L278" i="55" s="1"/>
  <c r="P278" i="55" s="1"/>
  <c r="AB322" i="48"/>
  <c r="L281" i="55" s="1"/>
  <c r="P281" i="55" s="1"/>
  <c r="AB249" i="48"/>
  <c r="AB16" i="48"/>
  <c r="L14" i="55" s="1"/>
  <c r="P14" i="55" s="1"/>
  <c r="AB102" i="48"/>
  <c r="L95" i="55" s="1"/>
  <c r="P95" i="55" s="1"/>
  <c r="AB106" i="48"/>
  <c r="L99" i="55" s="1"/>
  <c r="P99" i="55" s="1"/>
  <c r="AB118" i="48"/>
  <c r="AB220" i="48"/>
  <c r="L193" i="55" s="1"/>
  <c r="P193" i="55" s="1"/>
  <c r="AB277" i="48"/>
  <c r="AB281" i="48"/>
  <c r="L246" i="55" s="1"/>
  <c r="P246" i="55" s="1"/>
  <c r="AB285" i="48"/>
  <c r="L250" i="55" s="1"/>
  <c r="P250" i="55" s="1"/>
  <c r="AB289" i="48"/>
  <c r="L253" i="55" s="1"/>
  <c r="P253" i="55" s="1"/>
  <c r="AB293" i="48"/>
  <c r="L257" i="55" s="1"/>
  <c r="P257" i="55" s="1"/>
  <c r="AB309" i="48"/>
  <c r="L269" i="55" s="1"/>
  <c r="P269" i="55" s="1"/>
  <c r="AB313" i="48"/>
  <c r="L273" i="55" s="1"/>
  <c r="P273" i="55" s="1"/>
  <c r="AB317" i="48"/>
  <c r="L277" i="55" s="1"/>
  <c r="P277" i="55" s="1"/>
  <c r="AB321" i="48"/>
  <c r="AB70" i="48"/>
  <c r="AB97" i="48"/>
  <c r="L90" i="55" s="1"/>
  <c r="P90" i="55" s="1"/>
  <c r="AB113" i="48"/>
  <c r="AB211" i="48"/>
  <c r="L186" i="55" s="1"/>
  <c r="P186" i="55" s="1"/>
  <c r="AB233" i="48"/>
  <c r="L204" i="55" s="1"/>
  <c r="P204" i="55" s="1"/>
  <c r="AB248" i="48"/>
  <c r="L215" i="55" s="1"/>
  <c r="P215" i="55" s="1"/>
  <c r="AB326" i="48"/>
  <c r="L285" i="55" s="1"/>
  <c r="P285" i="55" s="1"/>
  <c r="AB330" i="48"/>
  <c r="L289" i="55" s="1"/>
  <c r="P289" i="55" s="1"/>
  <c r="AB334" i="48"/>
  <c r="L292" i="55" s="1"/>
  <c r="P292" i="55" s="1"/>
  <c r="AB338" i="48"/>
  <c r="L296" i="55" s="1"/>
  <c r="P296" i="55" s="1"/>
  <c r="AB342" i="48"/>
  <c r="L300" i="55" s="1"/>
  <c r="P300" i="55" s="1"/>
  <c r="AB66" i="48"/>
  <c r="AB77" i="48"/>
  <c r="AB85" i="48"/>
  <c r="L78" i="55" s="1"/>
  <c r="P78" i="55" s="1"/>
  <c r="AB93" i="48"/>
  <c r="L86" i="55" s="1"/>
  <c r="P86" i="55" s="1"/>
  <c r="AB207" i="48"/>
  <c r="L182" i="55" s="1"/>
  <c r="P182" i="55" s="1"/>
  <c r="AB229" i="48"/>
  <c r="AB19" i="48"/>
  <c r="L19" i="55" s="1"/>
  <c r="P19" i="55" s="1"/>
  <c r="AB101" i="48"/>
  <c r="L94" i="55" s="1"/>
  <c r="P94" i="55" s="1"/>
  <c r="AB105" i="48"/>
  <c r="L98" i="55" s="1"/>
  <c r="P98" i="55" s="1"/>
  <c r="AB109" i="48"/>
  <c r="L102" i="55" s="1"/>
  <c r="P102" i="55" s="1"/>
  <c r="AB117" i="48"/>
  <c r="AB121" i="48"/>
  <c r="AB186" i="48"/>
  <c r="L161" i="55" s="1"/>
  <c r="P161" i="55" s="1"/>
  <c r="AB190" i="48"/>
  <c r="AB194" i="48"/>
  <c r="L168" i="55" s="1"/>
  <c r="P168" i="55" s="1"/>
  <c r="AB198" i="48"/>
  <c r="L173" i="55" s="1"/>
  <c r="P173" i="55" s="1"/>
  <c r="AB215" i="48"/>
  <c r="L188" i="55" s="1"/>
  <c r="P188" i="55" s="1"/>
  <c r="AB219" i="48"/>
  <c r="L192" i="55" s="1"/>
  <c r="P192" i="55" s="1"/>
  <c r="AB228" i="48"/>
  <c r="L200" i="55" s="1"/>
  <c r="P200" i="55" s="1"/>
  <c r="AB284" i="48"/>
  <c r="L249" i="55" s="1"/>
  <c r="P249" i="55" s="1"/>
  <c r="AB288" i="48"/>
  <c r="L252" i="55" s="1"/>
  <c r="P252" i="55" s="1"/>
  <c r="AB292" i="48"/>
  <c r="L256" i="55" s="1"/>
  <c r="P256" i="55" s="1"/>
  <c r="AB308" i="48"/>
  <c r="L268" i="55" s="1"/>
  <c r="P268" i="55" s="1"/>
  <c r="AB312" i="48"/>
  <c r="L272" i="55" s="1"/>
  <c r="P272" i="55" s="1"/>
  <c r="AB316" i="48"/>
  <c r="L276" i="55" s="1"/>
  <c r="P276" i="55" s="1"/>
  <c r="AB320" i="48"/>
  <c r="L280" i="55" s="1"/>
  <c r="P280" i="55" s="1"/>
  <c r="AB65" i="48"/>
  <c r="AB73" i="48"/>
  <c r="L62" i="55" s="1"/>
  <c r="P62" i="55" s="1"/>
  <c r="AB76" i="48"/>
  <c r="AB84" i="48"/>
  <c r="L77" i="55" s="1"/>
  <c r="P77" i="55" s="1"/>
  <c r="AB92" i="48"/>
  <c r="L85" i="55" s="1"/>
  <c r="P85" i="55" s="1"/>
  <c r="AB100" i="48"/>
  <c r="L93" i="55" s="1"/>
  <c r="P93" i="55" s="1"/>
  <c r="AB116" i="48"/>
  <c r="AB237" i="48"/>
  <c r="AB247" i="48"/>
  <c r="L214" i="55" s="1"/>
  <c r="P214" i="55" s="1"/>
  <c r="AB23" i="48"/>
  <c r="L23" i="55" s="1"/>
  <c r="P23" i="55" s="1"/>
  <c r="AB21" i="48"/>
  <c r="L21" i="55" s="1"/>
  <c r="P21" i="55" s="1"/>
  <c r="AB25" i="48"/>
  <c r="L25" i="55" s="1"/>
  <c r="P25" i="55" s="1"/>
  <c r="AB24" i="48"/>
  <c r="L24" i="55" s="1"/>
  <c r="P24" i="55" s="1"/>
  <c r="AB129" i="48"/>
  <c r="L111" i="55" s="1"/>
  <c r="P111" i="55" s="1"/>
  <c r="AB133" i="48"/>
  <c r="AB137" i="48"/>
  <c r="AB141" i="48"/>
  <c r="L121" i="55" s="1"/>
  <c r="P121" i="55" s="1"/>
  <c r="AB153" i="48"/>
  <c r="L132" i="55" s="1"/>
  <c r="P132" i="55" s="1"/>
  <c r="AB157" i="48"/>
  <c r="L136" i="55" s="1"/>
  <c r="P136" i="55" s="1"/>
  <c r="AB161" i="48"/>
  <c r="L140" i="55" s="1"/>
  <c r="P140" i="55" s="1"/>
  <c r="AB165" i="48"/>
  <c r="L143" i="55" s="1"/>
  <c r="P143" i="55" s="1"/>
  <c r="AB169" i="48"/>
  <c r="L147" i="55" s="1"/>
  <c r="P147" i="55" s="1"/>
  <c r="AB173" i="48"/>
  <c r="AB152" i="48"/>
  <c r="L131" i="55" s="1"/>
  <c r="P131" i="55" s="1"/>
  <c r="AB156" i="48"/>
  <c r="L135" i="55" s="1"/>
  <c r="P135" i="55" s="1"/>
  <c r="AB160" i="48"/>
  <c r="L139" i="55" s="1"/>
  <c r="P139" i="55" s="1"/>
  <c r="AB164" i="48"/>
  <c r="L114" i="55" s="1"/>
  <c r="P114" i="55" s="1"/>
  <c r="AB168" i="48"/>
  <c r="L146" i="55" s="1"/>
  <c r="P146" i="55" s="1"/>
  <c r="AB172" i="48"/>
  <c r="AB131" i="48"/>
  <c r="L113" i="55" s="1"/>
  <c r="P113" i="55" s="1"/>
  <c r="AB139" i="48"/>
  <c r="AB143" i="48"/>
  <c r="L123" i="55" s="1"/>
  <c r="P123" i="55" s="1"/>
  <c r="AB147" i="48"/>
  <c r="AB151" i="48"/>
  <c r="AB155" i="48"/>
  <c r="L134" i="55" s="1"/>
  <c r="P134" i="55" s="1"/>
  <c r="AB159" i="48"/>
  <c r="L138" i="55" s="1"/>
  <c r="P138" i="55" s="1"/>
  <c r="AB163" i="48"/>
  <c r="L142" i="55" s="1"/>
  <c r="AB167" i="48"/>
  <c r="L145" i="55" s="1"/>
  <c r="P145" i="55" s="1"/>
  <c r="AB171" i="48"/>
  <c r="L118" i="55" s="1"/>
  <c r="P118" i="55" s="1"/>
  <c r="AB185" i="48"/>
  <c r="L160" i="55" s="1"/>
  <c r="P160" i="55" s="1"/>
  <c r="AB189" i="48"/>
  <c r="L164" i="55" s="1"/>
  <c r="P164" i="55" s="1"/>
  <c r="AB193" i="48"/>
  <c r="L167" i="55" s="1"/>
  <c r="P167" i="55" s="1"/>
  <c r="AB197" i="48"/>
  <c r="L172" i="55" s="1"/>
  <c r="P172" i="55" s="1"/>
  <c r="AB201" i="48"/>
  <c r="L176" i="55" s="1"/>
  <c r="P176" i="55" s="1"/>
  <c r="AB130" i="48"/>
  <c r="L112" i="55" s="1"/>
  <c r="P112" i="55" s="1"/>
  <c r="AB138" i="48"/>
  <c r="AB142" i="48"/>
  <c r="L122" i="55" s="1"/>
  <c r="P122" i="55" s="1"/>
  <c r="AB146" i="48"/>
  <c r="L126" i="55" s="1"/>
  <c r="P126" i="55" s="1"/>
  <c r="AB154" i="48"/>
  <c r="L133" i="55" s="1"/>
  <c r="P133" i="55" s="1"/>
  <c r="AB158" i="48"/>
  <c r="L137" i="55" s="1"/>
  <c r="P137" i="55" s="1"/>
  <c r="AB162" i="48"/>
  <c r="L141" i="55" s="1"/>
  <c r="P141" i="55" s="1"/>
  <c r="AB166" i="48"/>
  <c r="L144" i="55" s="1"/>
  <c r="P144" i="55" s="1"/>
  <c r="AB170" i="48"/>
  <c r="AB174" i="48"/>
  <c r="AB253" i="48"/>
  <c r="L219" i="55" s="1"/>
  <c r="P219" i="55" s="1"/>
  <c r="AB261" i="48"/>
  <c r="L228" i="55" s="1"/>
  <c r="P228" i="55" s="1"/>
  <c r="AB265" i="48"/>
  <c r="L232" i="55" s="1"/>
  <c r="P232" i="55" s="1"/>
  <c r="AB269" i="48"/>
  <c r="L236" i="55" s="1"/>
  <c r="P236" i="55" s="1"/>
  <c r="AB252" i="48"/>
  <c r="L218" i="55" s="1"/>
  <c r="P218" i="55" s="1"/>
  <c r="AB256" i="48"/>
  <c r="L223" i="55" s="1"/>
  <c r="P223" i="55" s="1"/>
  <c r="AB260" i="48"/>
  <c r="L227" i="55" s="1"/>
  <c r="P227" i="55" s="1"/>
  <c r="AB264" i="48"/>
  <c r="L231" i="55" s="1"/>
  <c r="P231" i="55" s="1"/>
  <c r="AB268" i="48"/>
  <c r="L235" i="55" s="1"/>
  <c r="P235" i="55" s="1"/>
  <c r="AB272" i="48"/>
  <c r="AB202" i="48"/>
  <c r="L177" i="55" s="1"/>
  <c r="P177" i="55" s="1"/>
  <c r="AB210" i="48"/>
  <c r="L185" i="55" s="1"/>
  <c r="P185" i="55" s="1"/>
  <c r="AB218" i="48"/>
  <c r="L191" i="55" s="1"/>
  <c r="P191" i="55" s="1"/>
  <c r="AB226" i="48"/>
  <c r="AB234" i="48"/>
  <c r="L205" i="55" s="1"/>
  <c r="P205" i="55" s="1"/>
  <c r="AB276" i="48"/>
  <c r="L241" i="55" s="1"/>
  <c r="P241" i="55" s="1"/>
  <c r="AB280" i="48"/>
  <c r="L245" i="55" s="1"/>
  <c r="P245" i="55" s="1"/>
  <c r="AB209" i="48"/>
  <c r="L184" i="55" s="1"/>
  <c r="P184" i="55" s="1"/>
  <c r="AB217" i="48"/>
  <c r="L190" i="55" s="1"/>
  <c r="P190" i="55" s="1"/>
  <c r="AB251" i="48"/>
  <c r="L217" i="55" s="1"/>
  <c r="P217" i="55" s="1"/>
  <c r="AB255" i="48"/>
  <c r="L222" i="55" s="1"/>
  <c r="P222" i="55" s="1"/>
  <c r="AB259" i="48"/>
  <c r="L226" i="55" s="1"/>
  <c r="P226" i="55" s="1"/>
  <c r="AB263" i="48"/>
  <c r="L230" i="55" s="1"/>
  <c r="P230" i="55" s="1"/>
  <c r="AB267" i="48"/>
  <c r="L234" i="55" s="1"/>
  <c r="P234" i="55" s="1"/>
  <c r="AB271" i="48"/>
  <c r="AB208" i="48"/>
  <c r="L183" i="55" s="1"/>
  <c r="P183" i="55" s="1"/>
  <c r="AB216" i="48"/>
  <c r="L189" i="55" s="1"/>
  <c r="P189" i="55" s="1"/>
  <c r="AB224" i="48"/>
  <c r="L197" i="55" s="1"/>
  <c r="P197" i="55" s="1"/>
  <c r="AB232" i="48"/>
  <c r="L203" i="55" s="1"/>
  <c r="P203" i="55" s="1"/>
  <c r="AB275" i="48"/>
  <c r="L240" i="55" s="1"/>
  <c r="P240" i="55" s="1"/>
  <c r="AB206" i="48"/>
  <c r="L181" i="55" s="1"/>
  <c r="P181" i="55" s="1"/>
  <c r="AB214" i="48"/>
  <c r="AB222" i="48"/>
  <c r="L195" i="55" s="1"/>
  <c r="P195" i="55" s="1"/>
  <c r="AB230" i="48"/>
  <c r="L201" i="55" s="1"/>
  <c r="P201" i="55" s="1"/>
  <c r="AB238" i="48"/>
  <c r="AB274" i="48"/>
  <c r="L239" i="55" s="1"/>
  <c r="P239" i="55" s="1"/>
  <c r="AB278" i="48"/>
  <c r="L243" i="55" s="1"/>
  <c r="P243" i="55" s="1"/>
  <c r="L165" i="55" l="1"/>
  <c r="P165" i="55" s="1"/>
  <c r="L238" i="55"/>
  <c r="P238" i="55" s="1"/>
  <c r="L48" i="55"/>
  <c r="P48" i="55" s="1"/>
  <c r="L308" i="55"/>
  <c r="P308" i="55" s="1"/>
  <c r="P309" i="55"/>
  <c r="L290" i="55"/>
  <c r="P290" i="55" s="1"/>
  <c r="L148" i="55"/>
  <c r="P148" i="55" s="1"/>
  <c r="P64" i="55"/>
  <c r="L198" i="55"/>
  <c r="P198" i="55" s="1"/>
  <c r="L187" i="55"/>
  <c r="P187" i="55" s="1"/>
  <c r="P9" i="55"/>
  <c r="P210" i="55"/>
  <c r="U300" i="48"/>
  <c r="L361" i="48"/>
  <c r="L362" i="48"/>
  <c r="AB250" i="48"/>
  <c r="L216" i="55" s="1"/>
  <c r="P216" i="55" s="1"/>
  <c r="U10" i="48"/>
  <c r="U175" i="48"/>
  <c r="V175" i="48" s="1"/>
  <c r="U181" i="48"/>
  <c r="U74" i="48"/>
  <c r="AB246" i="48"/>
  <c r="L213" i="55" s="1"/>
  <c r="P213" i="55" s="1"/>
  <c r="AB29" i="48"/>
  <c r="L29" i="55" s="1"/>
  <c r="P29" i="55" s="1"/>
  <c r="AB114" i="48"/>
  <c r="L66" i="55" s="1"/>
  <c r="AB89" i="48"/>
  <c r="L82" i="55" s="1"/>
  <c r="P82" i="55" s="1"/>
  <c r="AB115" i="48"/>
  <c r="L65" i="55" s="1"/>
  <c r="AB302" i="48"/>
  <c r="L262" i="55" s="1"/>
  <c r="AB17" i="48"/>
  <c r="L15" i="55" s="1"/>
  <c r="P15" i="55" s="1"/>
  <c r="AB91" i="48"/>
  <c r="L84" i="55" s="1"/>
  <c r="P84" i="55" s="1"/>
  <c r="AB348" i="48"/>
  <c r="L306" i="55" s="1"/>
  <c r="AB345" i="48"/>
  <c r="L303" i="55" s="1"/>
  <c r="P65" i="55" l="1"/>
  <c r="M65" i="55"/>
  <c r="P306" i="55"/>
  <c r="L305" i="55"/>
  <c r="P262" i="55"/>
  <c r="L302" i="55"/>
  <c r="P303" i="55"/>
  <c r="U358" i="48"/>
  <c r="L360" i="48"/>
  <c r="U7" i="48"/>
  <c r="U349" i="48" s="1"/>
  <c r="AB176" i="48"/>
  <c r="L151" i="55" s="1"/>
  <c r="AB343" i="48"/>
  <c r="AB344" i="48"/>
  <c r="AB346" i="48"/>
  <c r="AB347" i="48"/>
  <c r="L304" i="55" l="1"/>
  <c r="P304" i="55" s="1"/>
  <c r="P305" i="55"/>
  <c r="P151" i="55"/>
  <c r="P302" i="55"/>
  <c r="L301" i="55"/>
  <c r="P301" i="55" s="1"/>
  <c r="L5" i="48"/>
  <c r="T118" i="3" l="1"/>
  <c r="T252" i="1"/>
  <c r="T240" i="1"/>
  <c r="T239" i="1"/>
  <c r="T237" i="1"/>
  <c r="T234" i="1"/>
  <c r="T233" i="1" s="1"/>
  <c r="T230" i="1"/>
  <c r="T229" i="1"/>
  <c r="T228" i="1"/>
  <c r="T227" i="1"/>
  <c r="T225" i="1"/>
  <c r="T223" i="1"/>
  <c r="T221" i="1"/>
  <c r="T219" i="1"/>
  <c r="T218" i="1"/>
  <c r="T215" i="1"/>
  <c r="T214" i="1"/>
  <c r="T212" i="1"/>
  <c r="T146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3" i="1"/>
  <c r="T92" i="1"/>
  <c r="T91" i="1"/>
  <c r="T89" i="1"/>
  <c r="T88" i="1"/>
  <c r="T87" i="1"/>
  <c r="T85" i="1"/>
  <c r="T83" i="1"/>
  <c r="T82" i="1"/>
  <c r="T81" i="1"/>
  <c r="T80" i="1"/>
  <c r="T79" i="1"/>
  <c r="T78" i="1"/>
  <c r="T77" i="1"/>
  <c r="T76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6" i="1"/>
  <c r="T55" i="1"/>
  <c r="T54" i="1"/>
  <c r="T53" i="1"/>
  <c r="T51" i="1"/>
  <c r="T50" i="1"/>
  <c r="T49" i="1"/>
  <c r="T48" i="1"/>
  <c r="T47" i="1"/>
  <c r="T46" i="1"/>
  <c r="T45" i="1"/>
  <c r="T44" i="1"/>
  <c r="T43" i="1"/>
  <c r="T41" i="1"/>
  <c r="T40" i="1"/>
  <c r="T39" i="1"/>
  <c r="T14" i="1"/>
  <c r="T13" i="1" s="1"/>
  <c r="T37" i="1"/>
  <c r="T36" i="1"/>
  <c r="T35" i="1"/>
  <c r="T33" i="1"/>
  <c r="T32" i="1"/>
  <c r="T31" i="1"/>
  <c r="T30" i="1"/>
  <c r="T29" i="1"/>
  <c r="T28" i="1"/>
  <c r="T27" i="1"/>
  <c r="T26" i="1"/>
  <c r="T25" i="1"/>
  <c r="T23" i="1"/>
  <c r="T22" i="1"/>
  <c r="T21" i="1"/>
  <c r="T20" i="1"/>
  <c r="T19" i="1"/>
  <c r="T18" i="1"/>
  <c r="T17" i="1"/>
  <c r="T16" i="1"/>
  <c r="T12" i="1"/>
  <c r="T11" i="1"/>
  <c r="T10" i="1"/>
  <c r="T9" i="1"/>
  <c r="T126" i="3"/>
  <c r="T123" i="3"/>
  <c r="T122" i="3"/>
  <c r="T116" i="3"/>
  <c r="T115" i="3"/>
  <c r="T114" i="3"/>
  <c r="T113" i="3"/>
  <c r="T112" i="3"/>
  <c r="T111" i="3"/>
  <c r="T110" i="3"/>
  <c r="T109" i="3"/>
  <c r="T108" i="3"/>
  <c r="T99" i="3"/>
  <c r="T98" i="3"/>
  <c r="T97" i="3"/>
  <c r="T96" i="3"/>
  <c r="T95" i="3"/>
  <c r="T94" i="3"/>
  <c r="T93" i="3"/>
  <c r="T92" i="3"/>
  <c r="T91" i="3"/>
  <c r="T90" i="3"/>
  <c r="T89" i="3"/>
  <c r="T88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5" i="3"/>
  <c r="T34" i="3"/>
  <c r="T33" i="3"/>
  <c r="T32" i="3"/>
  <c r="T31" i="3"/>
  <c r="T30" i="3"/>
  <c r="T29" i="3"/>
  <c r="T28" i="3"/>
  <c r="T27" i="3"/>
  <c r="T38" i="1" l="1"/>
  <c r="T120" i="3"/>
  <c r="T119" i="3"/>
  <c r="T105" i="3"/>
  <c r="T104" i="3"/>
  <c r="T102" i="3"/>
  <c r="T86" i="3"/>
  <c r="T84" i="3"/>
  <c r="T83" i="3"/>
  <c r="T82" i="3"/>
  <c r="T81" i="3"/>
  <c r="T80" i="3"/>
  <c r="T79" i="3"/>
  <c r="T78" i="3"/>
  <c r="T77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F15" i="13"/>
  <c r="F16" i="13" s="1"/>
  <c r="F14" i="13"/>
  <c r="Q4" i="13"/>
  <c r="P4" i="13"/>
  <c r="O4" i="13"/>
  <c r="N4" i="13"/>
  <c r="M4" i="13"/>
  <c r="L4" i="13"/>
  <c r="T100" i="3" l="1"/>
  <c r="U209" i="1"/>
  <c r="S209" i="1"/>
  <c r="R209" i="1"/>
  <c r="Q209" i="1"/>
  <c r="P209" i="1"/>
  <c r="O209" i="1"/>
  <c r="N209" i="1"/>
  <c r="L209" i="1"/>
  <c r="V209" i="1" l="1"/>
  <c r="X209" i="1" s="1"/>
  <c r="F32" i="19"/>
  <c r="L73" i="22" l="1"/>
  <c r="J73" i="22" s="1"/>
  <c r="Z209" i="1"/>
  <c r="H29" i="8"/>
  <c r="J29" i="8" s="1"/>
  <c r="J28" i="8"/>
  <c r="I28" i="8"/>
  <c r="I29" i="8" l="1"/>
  <c r="V19" i="9" l="1"/>
  <c r="V11" i="9"/>
  <c r="V10" i="9"/>
  <c r="V9" i="9"/>
  <c r="V7" i="9"/>
  <c r="V15" i="9" l="1"/>
  <c r="V16" i="9" s="1"/>
  <c r="V8" i="9"/>
  <c r="V18" i="9"/>
  <c r="J71" i="22" l="1"/>
  <c r="J63" i="22"/>
  <c r="CL31" i="11" l="1"/>
  <c r="AB16" i="10" l="1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CJ10" i="11"/>
  <c r="CI10" i="11"/>
  <c r="CQ23" i="11"/>
  <c r="CT23" i="11" s="1"/>
  <c r="N27" i="11"/>
  <c r="N14" i="11"/>
  <c r="L14" i="11"/>
  <c r="K14" i="11"/>
  <c r="J14" i="11"/>
  <c r="I14" i="11"/>
  <c r="H14" i="11"/>
  <c r="G14" i="11"/>
  <c r="AW14" i="11"/>
  <c r="AU14" i="11"/>
  <c r="AS14" i="11"/>
  <c r="AR14" i="11"/>
  <c r="AQ14" i="11"/>
  <c r="AP14" i="11"/>
  <c r="AN14" i="11"/>
  <c r="CO14" i="11"/>
  <c r="CN14" i="11"/>
  <c r="CM14" i="11"/>
  <c r="CL14" i="11"/>
  <c r="DQ14" i="11"/>
  <c r="DP14" i="11"/>
  <c r="DO14" i="11"/>
  <c r="DN14" i="11"/>
  <c r="CK10" i="11" l="1"/>
  <c r="CR10" i="11" l="1"/>
  <c r="CQ10" i="11"/>
  <c r="Q4" i="9"/>
  <c r="F24" i="4"/>
  <c r="M9" i="4"/>
  <c r="M14" i="4"/>
  <c r="M17" i="4"/>
  <c r="M24" i="4"/>
  <c r="AJ258" i="1"/>
  <c r="AK258" i="1"/>
  <c r="CP10" i="11" l="1"/>
  <c r="CP23" i="11" s="1"/>
  <c r="CT10" i="11"/>
  <c r="CR23" i="11"/>
  <c r="Q4" i="12"/>
  <c r="P4" i="12"/>
  <c r="W21" i="10" l="1"/>
  <c r="W20" i="10"/>
  <c r="W19" i="10"/>
  <c r="Q4" i="5"/>
  <c r="P4" i="5"/>
  <c r="V23" i="4"/>
  <c r="V22" i="4"/>
  <c r="V21" i="4"/>
  <c r="V20" i="4"/>
  <c r="V19" i="4"/>
  <c r="V18" i="4"/>
  <c r="V16" i="4"/>
  <c r="V15" i="4"/>
  <c r="V13" i="4"/>
  <c r="V12" i="4"/>
  <c r="V11" i="4"/>
  <c r="V10" i="4"/>
  <c r="V8" i="4"/>
  <c r="V7" i="4"/>
  <c r="Q24" i="4"/>
  <c r="P24" i="4"/>
  <c r="Q17" i="4"/>
  <c r="P17" i="4"/>
  <c r="Q14" i="4"/>
  <c r="P14" i="4"/>
  <c r="Q9" i="4"/>
  <c r="P9" i="4"/>
  <c r="V17" i="4" l="1"/>
  <c r="V14" i="4"/>
  <c r="V9" i="4"/>
  <c r="P4" i="4"/>
  <c r="Q4" i="4"/>
  <c r="V24" i="4"/>
  <c r="H4" i="3"/>
  <c r="K4" i="3" l="1"/>
  <c r="J4" i="3" l="1"/>
  <c r="I4" i="3"/>
  <c r="L230" i="1" l="1"/>
  <c r="U230" i="1"/>
  <c r="S230" i="1"/>
  <c r="R230" i="1"/>
  <c r="Q230" i="1"/>
  <c r="P230" i="1"/>
  <c r="O230" i="1"/>
  <c r="N230" i="1"/>
  <c r="AU5" i="3"/>
  <c r="U32" i="1"/>
  <c r="S32" i="1"/>
  <c r="R32" i="1"/>
  <c r="Q32" i="1"/>
  <c r="P32" i="1"/>
  <c r="O32" i="1"/>
  <c r="N32" i="1"/>
  <c r="L32" i="1"/>
  <c r="V230" i="1" l="1"/>
  <c r="X230" i="1" s="1"/>
  <c r="V32" i="1"/>
  <c r="X32" i="1" s="1"/>
  <c r="Z32" i="1" s="1"/>
  <c r="L87" i="22" l="1"/>
  <c r="J87" i="22" s="1"/>
  <c r="Z230" i="1"/>
  <c r="M29" i="38" l="1"/>
  <c r="N29" i="38" s="1"/>
  <c r="M28" i="38"/>
  <c r="N28" i="38" s="1"/>
  <c r="M27" i="38"/>
  <c r="M25" i="38"/>
  <c r="N25" i="38" s="1"/>
  <c r="M24" i="38"/>
  <c r="N24" i="38" s="1"/>
  <c r="M23" i="38"/>
  <c r="N23" i="38" s="1"/>
  <c r="M22" i="38"/>
  <c r="N22" i="38" s="1"/>
  <c r="M21" i="38"/>
  <c r="N21" i="38" s="1"/>
  <c r="M20" i="38"/>
  <c r="M19" i="38"/>
  <c r="N19" i="38" s="1"/>
  <c r="M18" i="38"/>
  <c r="N18" i="38" s="1"/>
  <c r="M17" i="38"/>
  <c r="M15" i="38"/>
  <c r="M14" i="38"/>
  <c r="N14" i="38" s="1"/>
  <c r="M12" i="38"/>
  <c r="N12" i="38" s="1"/>
  <c r="M9" i="38"/>
  <c r="AV128" i="3"/>
  <c r="AL258" i="1" s="1"/>
  <c r="AV5" i="3"/>
  <c r="N15" i="38" l="1"/>
  <c r="N11" i="38" s="1"/>
  <c r="N27" i="38"/>
  <c r="N26" i="38" s="1"/>
  <c r="I9" i="39"/>
  <c r="I7" i="39" s="1"/>
  <c r="K7" i="39" s="1"/>
  <c r="N20" i="38"/>
  <c r="N33" i="38"/>
  <c r="R26" i="38"/>
  <c r="R11" i="38"/>
  <c r="N9" i="38"/>
  <c r="R8" i="38" s="1"/>
  <c r="M11" i="38"/>
  <c r="M36" i="38" s="1"/>
  <c r="M16" i="38"/>
  <c r="M37" i="38" s="1"/>
  <c r="M26" i="38"/>
  <c r="M38" i="38" s="1"/>
  <c r="N17" i="38"/>
  <c r="M8" i="38"/>
  <c r="M35" i="38" s="1"/>
  <c r="N16" i="38" l="1"/>
  <c r="R16" i="38"/>
  <c r="R7" i="38" s="1"/>
  <c r="N8" i="38"/>
  <c r="M7" i="38"/>
  <c r="N7" i="38" l="1"/>
  <c r="N6" i="38" s="1"/>
  <c r="M6" i="38"/>
  <c r="M34" i="38"/>
  <c r="M4" i="38" l="1"/>
  <c r="M33" i="38"/>
  <c r="X4" i="3"/>
  <c r="B74" i="3" l="1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39" i="3"/>
  <c r="B38" i="3"/>
  <c r="P4" i="9" l="1"/>
  <c r="U167" i="1" l="1"/>
  <c r="S167" i="1"/>
  <c r="R167" i="1"/>
  <c r="Q167" i="1"/>
  <c r="O167" i="1"/>
  <c r="N167" i="1"/>
  <c r="I102" i="17" l="1"/>
  <c r="H102" i="17"/>
  <c r="H92" i="17"/>
  <c r="I92" i="17"/>
  <c r="G82" i="17"/>
  <c r="G81" i="17" s="1"/>
  <c r="G19" i="17"/>
  <c r="G73" i="17" s="1"/>
  <c r="G13" i="17"/>
  <c r="G67" i="17" s="1"/>
  <c r="G8" i="17"/>
  <c r="G7" i="17" s="1"/>
  <c r="G62" i="17" l="1"/>
  <c r="G61" i="17" l="1"/>
  <c r="G91" i="17"/>
  <c r="G92" i="17" s="1"/>
  <c r="G93" i="17" l="1"/>
  <c r="K29" i="38" l="1"/>
  <c r="L29" i="38" s="1"/>
  <c r="K28" i="38"/>
  <c r="L28" i="38" s="1"/>
  <c r="K27" i="38"/>
  <c r="L27" i="38" s="1"/>
  <c r="K25" i="38"/>
  <c r="L25" i="38" s="1"/>
  <c r="K24" i="38"/>
  <c r="L24" i="38" s="1"/>
  <c r="K23" i="38"/>
  <c r="L23" i="38" s="1"/>
  <c r="K22" i="38"/>
  <c r="L22" i="38" s="1"/>
  <c r="K21" i="38"/>
  <c r="L21" i="38" s="1"/>
  <c r="K20" i="38"/>
  <c r="L20" i="38" s="1"/>
  <c r="K19" i="38"/>
  <c r="L19" i="38" s="1"/>
  <c r="K18" i="38"/>
  <c r="L18" i="38" s="1"/>
  <c r="K17" i="38"/>
  <c r="L17" i="38" s="1"/>
  <c r="K15" i="38"/>
  <c r="L15" i="38" s="1"/>
  <c r="K14" i="38"/>
  <c r="L14" i="38" s="1"/>
  <c r="K12" i="38"/>
  <c r="L12" i="38" s="1"/>
  <c r="K9" i="38"/>
  <c r="L9" i="38" s="1"/>
  <c r="AW125" i="3"/>
  <c r="AW121" i="3"/>
  <c r="AW117" i="3"/>
  <c r="AW107" i="3"/>
  <c r="AW87" i="3"/>
  <c r="AW76" i="3"/>
  <c r="AW37" i="3"/>
  <c r="AW26" i="3"/>
  <c r="AW6" i="3"/>
  <c r="AW5" i="3"/>
  <c r="AW36" i="3" l="1"/>
  <c r="AW75" i="3" l="1"/>
  <c r="O34" i="33"/>
  <c r="AM251" i="1"/>
  <c r="AM255" i="1"/>
  <c r="AM241" i="1"/>
  <c r="AM236" i="1"/>
  <c r="AM222" i="1"/>
  <c r="AM220" i="1"/>
  <c r="AM224" i="1"/>
  <c r="AM226" i="1"/>
  <c r="AM233" i="1"/>
  <c r="AM217" i="1"/>
  <c r="AM213" i="1"/>
  <c r="AM211" i="1"/>
  <c r="AM182" i="1"/>
  <c r="AM174" i="1"/>
  <c r="AM152" i="1"/>
  <c r="AM144" i="1"/>
  <c r="AM119" i="1"/>
  <c r="AM94" i="1"/>
  <c r="AM90" i="1"/>
  <c r="AM84" i="1"/>
  <c r="AM75" i="1"/>
  <c r="AM57" i="1"/>
  <c r="AM52" i="1"/>
  <c r="AM42" i="1"/>
  <c r="AM15" i="1"/>
  <c r="AM8" i="1"/>
  <c r="J107" i="25" s="1"/>
  <c r="AW124" i="3" l="1"/>
  <c r="O35" i="33"/>
  <c r="AM232" i="1"/>
  <c r="AM216" i="1"/>
  <c r="AM151" i="1"/>
  <c r="AM74" i="1"/>
  <c r="AW127" i="3" l="1"/>
  <c r="O36" i="33"/>
  <c r="AM231" i="1"/>
  <c r="AM150" i="1"/>
  <c r="AM257" i="1" s="1"/>
  <c r="AW128" i="3" l="1"/>
  <c r="J3" i="25"/>
  <c r="O37" i="33"/>
  <c r="K39" i="38"/>
  <c r="AM258" i="1" l="1"/>
  <c r="L33" i="38"/>
  <c r="K26" i="38"/>
  <c r="K38" i="38" s="1"/>
  <c r="L11" i="38"/>
  <c r="L26" i="38"/>
  <c r="L16" i="38"/>
  <c r="K11" i="38"/>
  <c r="K36" i="38" s="1"/>
  <c r="K16" i="38"/>
  <c r="K37" i="38" s="1"/>
  <c r="R6" i="38" l="1"/>
  <c r="U98" i="3" l="1"/>
  <c r="S98" i="3"/>
  <c r="R98" i="3"/>
  <c r="Q98" i="3"/>
  <c r="O98" i="3"/>
  <c r="N98" i="3"/>
  <c r="L98" i="3"/>
  <c r="F12" i="24" l="1"/>
  <c r="G12" i="24" s="1"/>
  <c r="J12" i="24" s="1"/>
  <c r="M12" i="24" s="1"/>
  <c r="AB258" i="48" l="1"/>
  <c r="L225" i="55" s="1"/>
  <c r="P225" i="55" s="1"/>
  <c r="I381" i="23" l="1"/>
  <c r="I380" i="23"/>
  <c r="I378" i="23"/>
  <c r="I377" i="23"/>
  <c r="I376" i="23"/>
  <c r="I375" i="23"/>
  <c r="I373" i="23"/>
  <c r="I372" i="23"/>
  <c r="I370" i="23"/>
  <c r="V41" i="12" l="1"/>
  <c r="U181" i="1"/>
  <c r="S181" i="1"/>
  <c r="R181" i="1"/>
  <c r="Q181" i="1"/>
  <c r="P181" i="1"/>
  <c r="O181" i="1"/>
  <c r="N181" i="1"/>
  <c r="L181" i="1" l="1"/>
  <c r="V181" i="1"/>
  <c r="D6" i="46" l="1"/>
  <c r="X181" i="1"/>
  <c r="L80" i="22" l="1"/>
  <c r="J80" i="22" s="1"/>
  <c r="Z181" i="1"/>
  <c r="G26" i="26"/>
  <c r="T26" i="26" s="1"/>
  <c r="H213" i="47" l="1"/>
  <c r="I213" i="47" s="1"/>
  <c r="I212" i="47" s="1"/>
  <c r="G212" i="47"/>
  <c r="F212" i="47"/>
  <c r="F211" i="47"/>
  <c r="F210" i="47"/>
  <c r="F209" i="47"/>
  <c r="F207" i="47"/>
  <c r="F206" i="47"/>
  <c r="F205" i="47"/>
  <c r="F204" i="47"/>
  <c r="F203" i="47"/>
  <c r="F202" i="47"/>
  <c r="F201" i="47"/>
  <c r="F200" i="47"/>
  <c r="F199" i="47"/>
  <c r="F197" i="47"/>
  <c r="F196" i="47"/>
  <c r="F195" i="47"/>
  <c r="G192" i="47"/>
  <c r="F193" i="47"/>
  <c r="G188" i="47"/>
  <c r="F189" i="47"/>
  <c r="G186" i="47"/>
  <c r="F187" i="47"/>
  <c r="G184" i="47"/>
  <c r="F185" i="47"/>
  <c r="F183" i="47"/>
  <c r="F182" i="47"/>
  <c r="F181" i="47" s="1"/>
  <c r="G178" i="47"/>
  <c r="F179" i="47"/>
  <c r="H178" i="47" s="1"/>
  <c r="G176" i="47"/>
  <c r="F177" i="47"/>
  <c r="F176" i="47" s="1"/>
  <c r="F175" i="47"/>
  <c r="F174" i="47"/>
  <c r="F173" i="47"/>
  <c r="F172" i="47"/>
  <c r="L172" i="47" s="1"/>
  <c r="F171" i="47"/>
  <c r="F170" i="47"/>
  <c r="F169" i="47"/>
  <c r="F168" i="47"/>
  <c r="F167" i="47"/>
  <c r="F166" i="47"/>
  <c r="F165" i="47"/>
  <c r="F164" i="47"/>
  <c r="F163" i="47"/>
  <c r="F162" i="47"/>
  <c r="F161" i="47"/>
  <c r="F160" i="47"/>
  <c r="F159" i="47"/>
  <c r="F158" i="47"/>
  <c r="F157" i="47"/>
  <c r="F156" i="47"/>
  <c r="F155" i="47"/>
  <c r="F153" i="47"/>
  <c r="F152" i="47"/>
  <c r="F151" i="47"/>
  <c r="G147" i="47"/>
  <c r="F150" i="47"/>
  <c r="F149" i="47"/>
  <c r="F148" i="47"/>
  <c r="F146" i="47"/>
  <c r="F145" i="47"/>
  <c r="F144" i="47"/>
  <c r="F143" i="47"/>
  <c r="F142" i="47"/>
  <c r="F141" i="47"/>
  <c r="F140" i="47"/>
  <c r="F139" i="47"/>
  <c r="F138" i="47"/>
  <c r="F137" i="47"/>
  <c r="F136" i="47"/>
  <c r="F135" i="47"/>
  <c r="F134" i="47"/>
  <c r="F133" i="47"/>
  <c r="F132" i="47"/>
  <c r="F131" i="47"/>
  <c r="F130" i="47"/>
  <c r="G128" i="47"/>
  <c r="F129" i="47"/>
  <c r="G124" i="47"/>
  <c r="F125" i="47"/>
  <c r="F123" i="47"/>
  <c r="F122" i="47"/>
  <c r="F121" i="47"/>
  <c r="F120" i="47"/>
  <c r="F119" i="47"/>
  <c r="F118" i="47"/>
  <c r="F117" i="47"/>
  <c r="F116" i="47"/>
  <c r="F115" i="47"/>
  <c r="F114" i="47"/>
  <c r="F113" i="47"/>
  <c r="F112" i="47"/>
  <c r="F111" i="47"/>
  <c r="F110" i="47"/>
  <c r="F109" i="47"/>
  <c r="F108" i="47"/>
  <c r="F107" i="47"/>
  <c r="F106" i="47"/>
  <c r="F105" i="47"/>
  <c r="F104" i="47"/>
  <c r="F102" i="47"/>
  <c r="F101" i="47"/>
  <c r="F100" i="47"/>
  <c r="F99" i="47"/>
  <c r="F98" i="47"/>
  <c r="F97" i="47"/>
  <c r="F96" i="47"/>
  <c r="F95" i="47"/>
  <c r="F94" i="47"/>
  <c r="F93" i="47"/>
  <c r="F92" i="47"/>
  <c r="F91" i="47"/>
  <c r="F90" i="47"/>
  <c r="F89" i="47"/>
  <c r="F88" i="47"/>
  <c r="F87" i="47"/>
  <c r="F86" i="47"/>
  <c r="F85" i="47"/>
  <c r="F84" i="47"/>
  <c r="F83" i="47"/>
  <c r="F82" i="47"/>
  <c r="F81" i="47"/>
  <c r="F79" i="47"/>
  <c r="F78" i="47"/>
  <c r="F76" i="47"/>
  <c r="F75" i="47"/>
  <c r="F74" i="47"/>
  <c r="G72" i="47"/>
  <c r="F73" i="47"/>
  <c r="F71" i="47"/>
  <c r="F70" i="47"/>
  <c r="F69" i="47"/>
  <c r="F68" i="47"/>
  <c r="F65" i="47"/>
  <c r="F64" i="47"/>
  <c r="F63" i="47"/>
  <c r="F62" i="47"/>
  <c r="F61" i="47"/>
  <c r="F60" i="47"/>
  <c r="F59" i="47"/>
  <c r="F58" i="47"/>
  <c r="F57" i="47"/>
  <c r="F56" i="47"/>
  <c r="F55" i="47"/>
  <c r="F54" i="47"/>
  <c r="F53" i="47"/>
  <c r="F51" i="47"/>
  <c r="F50" i="47"/>
  <c r="F49" i="47"/>
  <c r="F48" i="47"/>
  <c r="F46" i="47"/>
  <c r="F45" i="47"/>
  <c r="F44" i="47"/>
  <c r="F43" i="47"/>
  <c r="F42" i="47"/>
  <c r="F41" i="47"/>
  <c r="F40" i="47"/>
  <c r="F39" i="47"/>
  <c r="G37" i="47"/>
  <c r="F38" i="47"/>
  <c r="F36" i="47"/>
  <c r="F35" i="47"/>
  <c r="F34" i="47"/>
  <c r="G32" i="47"/>
  <c r="F33" i="47"/>
  <c r="F31" i="47"/>
  <c r="F30" i="47"/>
  <c r="F29" i="47"/>
  <c r="F28" i="47"/>
  <c r="F27" i="47"/>
  <c r="F26" i="47"/>
  <c r="F25" i="47"/>
  <c r="F24" i="47"/>
  <c r="F23" i="47"/>
  <c r="F22" i="47"/>
  <c r="G16" i="47"/>
  <c r="F21" i="47"/>
  <c r="F20" i="47"/>
  <c r="F19" i="47"/>
  <c r="F18" i="47"/>
  <c r="F17" i="47"/>
  <c r="F15" i="47"/>
  <c r="F14" i="47"/>
  <c r="G12" i="47"/>
  <c r="F13" i="47"/>
  <c r="F9" i="47"/>
  <c r="G9" i="47" s="1"/>
  <c r="H9" i="47" s="1"/>
  <c r="I8" i="47"/>
  <c r="F12" i="47" l="1"/>
  <c r="F32" i="47"/>
  <c r="F77" i="47"/>
  <c r="F154" i="47"/>
  <c r="F208" i="47"/>
  <c r="F16" i="47"/>
  <c r="F147" i="47"/>
  <c r="G67" i="47"/>
  <c r="G80" i="47"/>
  <c r="G47" i="47"/>
  <c r="G52" i="47"/>
  <c r="G194" i="47"/>
  <c r="G77" i="47"/>
  <c r="G208" i="47"/>
  <c r="G154" i="47"/>
  <c r="G127" i="47" s="1"/>
  <c r="H124" i="47"/>
  <c r="F8" i="47"/>
  <c r="H8" i="47" s="1"/>
  <c r="G181" i="47"/>
  <c r="G180" i="47" s="1"/>
  <c r="G103" i="47"/>
  <c r="F186" i="47"/>
  <c r="F37" i="47"/>
  <c r="F72" i="47"/>
  <c r="F80" i="47"/>
  <c r="F128" i="47"/>
  <c r="F192" i="47"/>
  <c r="F67" i="47"/>
  <c r="I124" i="47"/>
  <c r="I178" i="47"/>
  <c r="F188" i="47"/>
  <c r="F198" i="47"/>
  <c r="F194" i="47"/>
  <c r="G198" i="47"/>
  <c r="F47" i="47"/>
  <c r="F52" i="47"/>
  <c r="H67" i="47"/>
  <c r="F124" i="47"/>
  <c r="F184" i="47"/>
  <c r="I67" i="47"/>
  <c r="F103" i="47"/>
  <c r="F178" i="47"/>
  <c r="H212" i="47"/>
  <c r="G11" i="47" l="1"/>
  <c r="G191" i="47"/>
  <c r="G190" i="47" s="1"/>
  <c r="G66" i="47"/>
  <c r="I128" i="47"/>
  <c r="H208" i="47"/>
  <c r="I72" i="47"/>
  <c r="G126" i="47"/>
  <c r="H128" i="47"/>
  <c r="H72" i="47"/>
  <c r="F11" i="47"/>
  <c r="I208" i="47"/>
  <c r="I37" i="47"/>
  <c r="F180" i="47"/>
  <c r="I103" i="47"/>
  <c r="I32" i="47"/>
  <c r="H32" i="47"/>
  <c r="H37" i="47"/>
  <c r="I16" i="47"/>
  <c r="H16" i="47"/>
  <c r="H52" i="47"/>
  <c r="H80" i="47"/>
  <c r="I12" i="47"/>
  <c r="H12" i="47"/>
  <c r="H192" i="47"/>
  <c r="I192" i="47"/>
  <c r="H186" i="47"/>
  <c r="I186" i="47"/>
  <c r="H103" i="47"/>
  <c r="H176" i="47"/>
  <c r="I176" i="47"/>
  <c r="H184" i="47"/>
  <c r="I184" i="47"/>
  <c r="H198" i="47"/>
  <c r="I198" i="47"/>
  <c r="H77" i="47"/>
  <c r="I77" i="47"/>
  <c r="F66" i="47"/>
  <c r="F10" i="47" s="1"/>
  <c r="F191" i="47"/>
  <c r="H194" i="47"/>
  <c r="I194" i="47"/>
  <c r="H154" i="47"/>
  <c r="I154" i="47"/>
  <c r="I80" i="47"/>
  <c r="I181" i="47"/>
  <c r="H181" i="47"/>
  <c r="H47" i="47"/>
  <c r="I47" i="47"/>
  <c r="H147" i="47"/>
  <c r="I147" i="47"/>
  <c r="H188" i="47"/>
  <c r="I188" i="47"/>
  <c r="I52" i="47"/>
  <c r="F127" i="47"/>
  <c r="F126" i="47" s="1"/>
  <c r="G10" i="47" l="1"/>
  <c r="H66" i="47"/>
  <c r="G214" i="47"/>
  <c r="I180" i="47"/>
  <c r="I127" i="47"/>
  <c r="H127" i="47"/>
  <c r="I66" i="47"/>
  <c r="I191" i="47"/>
  <c r="I11" i="47"/>
  <c r="H11" i="47"/>
  <c r="F190" i="47"/>
  <c r="F214" i="47"/>
  <c r="F7" i="47" s="1"/>
  <c r="H191" i="47"/>
  <c r="H180" i="47"/>
  <c r="H10" i="47" l="1"/>
  <c r="G7" i="47"/>
  <c r="I126" i="47"/>
  <c r="I214" i="47" s="1"/>
  <c r="H126" i="47"/>
  <c r="H214" i="47" s="1"/>
  <c r="I10" i="47"/>
  <c r="H190" i="47"/>
  <c r="I190" i="47"/>
  <c r="L2" i="47" s="1"/>
  <c r="L4" i="47" s="1"/>
  <c r="G7" i="14" s="1"/>
  <c r="H7" i="47" l="1"/>
  <c r="I7" i="47"/>
  <c r="DV10" i="11" l="1"/>
  <c r="DV23" i="11" l="1"/>
  <c r="I379" i="23" l="1"/>
  <c r="AA43" i="12" l="1"/>
  <c r="AB41" i="12"/>
  <c r="L215" i="1" l="1"/>
  <c r="U215" i="1"/>
  <c r="R215" i="1"/>
  <c r="Q215" i="1"/>
  <c r="P215" i="1"/>
  <c r="O215" i="1"/>
  <c r="N215" i="1"/>
  <c r="V19" i="10" l="1"/>
  <c r="V21" i="10" l="1"/>
  <c r="V20" i="10"/>
  <c r="O4" i="9" l="1"/>
  <c r="O4" i="12"/>
  <c r="O4" i="5" l="1"/>
  <c r="O24" i="4"/>
  <c r="O17" i="4"/>
  <c r="O14" i="4"/>
  <c r="O9" i="4"/>
  <c r="O4" i="4" l="1"/>
  <c r="K97" i="25"/>
  <c r="K76" i="25"/>
  <c r="K67" i="25"/>
  <c r="K50" i="25"/>
  <c r="K6" i="25" l="1"/>
  <c r="K5" i="25" s="1"/>
  <c r="K91" i="25"/>
  <c r="K66" i="25"/>
  <c r="K102" i="25" l="1"/>
  <c r="K105" i="25" s="1"/>
  <c r="F4" i="25"/>
  <c r="G4" i="26"/>
  <c r="H4" i="33" s="1"/>
  <c r="Y5" i="38"/>
  <c r="G30" i="33"/>
  <c r="G24" i="33"/>
  <c r="G22" i="33"/>
  <c r="BA37" i="3" l="1"/>
  <c r="BA26" i="3"/>
  <c r="AX125" i="3" l="1"/>
  <c r="BA121" i="3"/>
  <c r="AZ121" i="3"/>
  <c r="AY121" i="3"/>
  <c r="AX121" i="3"/>
  <c r="BA117" i="3"/>
  <c r="AZ117" i="3"/>
  <c r="AY117" i="3"/>
  <c r="AX117" i="3"/>
  <c r="BA107" i="3"/>
  <c r="AZ107" i="3"/>
  <c r="AY107" i="3"/>
  <c r="AX107" i="3"/>
  <c r="BA76" i="3"/>
  <c r="BA87" i="3"/>
  <c r="AZ87" i="3"/>
  <c r="AY87" i="3"/>
  <c r="AX87" i="3"/>
  <c r="AZ76" i="3"/>
  <c r="AY76" i="3"/>
  <c r="AX76" i="3"/>
  <c r="AZ37" i="3"/>
  <c r="AY37" i="3"/>
  <c r="AX37" i="3"/>
  <c r="AZ26" i="3"/>
  <c r="AY26" i="3"/>
  <c r="AX26" i="3"/>
  <c r="BA6" i="3"/>
  <c r="BA36" i="3" s="1"/>
  <c r="BA75" i="3" s="1"/>
  <c r="AZ6" i="3"/>
  <c r="AY6" i="3"/>
  <c r="AX6" i="3"/>
  <c r="AY36" i="3" l="1"/>
  <c r="AY75" i="3" s="1"/>
  <c r="AY124" i="3" s="1"/>
  <c r="AX36" i="3"/>
  <c r="AX75" i="3" s="1"/>
  <c r="AX124" i="3" s="1"/>
  <c r="AX127" i="3" s="1"/>
  <c r="AX128" i="3" s="1"/>
  <c r="BA124" i="3"/>
  <c r="AZ36" i="3"/>
  <c r="AZ75" i="3" s="1"/>
  <c r="AZ124" i="3" s="1"/>
  <c r="BA125" i="3" l="1"/>
  <c r="BA127" i="3" s="1"/>
  <c r="AY125" i="3"/>
  <c r="AY127" i="3" s="1"/>
  <c r="AZ125" i="3"/>
  <c r="AZ127" i="3" s="1"/>
  <c r="AY128" i="3" l="1"/>
  <c r="P313" i="31"/>
  <c r="P312" i="31"/>
  <c r="P126" i="31"/>
  <c r="P124" i="31"/>
  <c r="E44" i="24" l="1"/>
  <c r="J16" i="39" l="1"/>
  <c r="K16" i="39" s="1"/>
  <c r="P25" i="33"/>
  <c r="P23" i="33"/>
  <c r="P20" i="33"/>
  <c r="P19" i="33"/>
  <c r="P17" i="33"/>
  <c r="P15" i="33"/>
  <c r="P14" i="33"/>
  <c r="P13" i="33"/>
  <c r="P12" i="33"/>
  <c r="P11" i="33"/>
  <c r="P9" i="33"/>
  <c r="P7" i="33"/>
  <c r="P6" i="33"/>
  <c r="AN258" i="1"/>
  <c r="P21" i="33" l="1"/>
  <c r="P8" i="33"/>
  <c r="P34" i="33" s="1"/>
  <c r="H30" i="39" l="1"/>
  <c r="G30" i="39"/>
  <c r="F30" i="39"/>
  <c r="E30" i="39"/>
  <c r="K30" i="39"/>
  <c r="P10" i="33"/>
  <c r="P35" i="33" s="1"/>
  <c r="P16" i="33" l="1"/>
  <c r="P36" i="33" s="1"/>
  <c r="P18" i="33" l="1"/>
  <c r="P37" i="33" l="1"/>
  <c r="P31" i="33"/>
  <c r="P32" i="33" s="1"/>
  <c r="L38" i="26"/>
  <c r="L30" i="26"/>
  <c r="L24" i="26"/>
  <c r="L7" i="26"/>
  <c r="L36" i="26" l="1"/>
  <c r="L43" i="26"/>
  <c r="L22" i="26"/>
  <c r="L44" i="26" l="1"/>
  <c r="L46" i="26" s="1"/>
  <c r="V9" i="12" l="1"/>
  <c r="AB39" i="12" l="1"/>
  <c r="AA38" i="12" l="1"/>
  <c r="AB38" i="12"/>
  <c r="AA39" i="12"/>
  <c r="V18" i="12" l="1"/>
  <c r="V17" i="12" l="1"/>
  <c r="AB17" i="12" s="1"/>
  <c r="N4" i="12" l="1"/>
  <c r="T6" i="10" l="1"/>
  <c r="U6" i="10" s="1"/>
  <c r="J26" i="38"/>
  <c r="J16" i="38"/>
  <c r="J11" i="38"/>
  <c r="J8" i="38"/>
  <c r="J7" i="38" l="1"/>
  <c r="J6" i="38" s="1"/>
  <c r="L6" i="39" s="1"/>
  <c r="Q126" i="3"/>
  <c r="O126" i="3"/>
  <c r="N126" i="3"/>
  <c r="R123" i="3"/>
  <c r="Q123" i="3"/>
  <c r="O123" i="3"/>
  <c r="N123" i="3"/>
  <c r="R122" i="3"/>
  <c r="Q122" i="3"/>
  <c r="O122" i="3"/>
  <c r="R120" i="3"/>
  <c r="Q120" i="3"/>
  <c r="O120" i="3"/>
  <c r="N120" i="3"/>
  <c r="R119" i="3"/>
  <c r="Q119" i="3"/>
  <c r="O119" i="3"/>
  <c r="N119" i="3"/>
  <c r="R118" i="3"/>
  <c r="Q118" i="3"/>
  <c r="O118" i="3"/>
  <c r="N118" i="3"/>
  <c r="R116" i="3"/>
  <c r="Q116" i="3"/>
  <c r="O116" i="3"/>
  <c r="N116" i="3"/>
  <c r="R115" i="3"/>
  <c r="Q115" i="3"/>
  <c r="O115" i="3"/>
  <c r="N115" i="3"/>
  <c r="R114" i="3"/>
  <c r="Q114" i="3"/>
  <c r="O114" i="3"/>
  <c r="N114" i="3"/>
  <c r="R113" i="3"/>
  <c r="Q113" i="3"/>
  <c r="O113" i="3"/>
  <c r="N113" i="3"/>
  <c r="R112" i="3"/>
  <c r="Q112" i="3"/>
  <c r="O112" i="3"/>
  <c r="N112" i="3"/>
  <c r="R111" i="3"/>
  <c r="Q111" i="3"/>
  <c r="O111" i="3"/>
  <c r="N111" i="3"/>
  <c r="R110" i="3"/>
  <c r="Q110" i="3"/>
  <c r="O110" i="3"/>
  <c r="N110" i="3"/>
  <c r="R109" i="3"/>
  <c r="Q109" i="3"/>
  <c r="O109" i="3"/>
  <c r="N109" i="3"/>
  <c r="Q108" i="3"/>
  <c r="O108" i="3"/>
  <c r="N108" i="3"/>
  <c r="R105" i="3"/>
  <c r="Q105" i="3"/>
  <c r="O105" i="3"/>
  <c r="N105" i="3"/>
  <c r="R104" i="3"/>
  <c r="O104" i="3"/>
  <c r="R102" i="3"/>
  <c r="Q102" i="3"/>
  <c r="O102" i="3"/>
  <c r="N102" i="3"/>
  <c r="R99" i="3"/>
  <c r="Q99" i="3"/>
  <c r="O99" i="3"/>
  <c r="N99" i="3"/>
  <c r="R97" i="3"/>
  <c r="Q97" i="3"/>
  <c r="O97" i="3"/>
  <c r="N97" i="3"/>
  <c r="R96" i="3"/>
  <c r="Q96" i="3"/>
  <c r="O96" i="3"/>
  <c r="N96" i="3"/>
  <c r="R95" i="3"/>
  <c r="Q95" i="3"/>
  <c r="O95" i="3"/>
  <c r="N95" i="3"/>
  <c r="R94" i="3"/>
  <c r="Q94" i="3"/>
  <c r="O94" i="3"/>
  <c r="N94" i="3"/>
  <c r="R93" i="3"/>
  <c r="Q93" i="3"/>
  <c r="O93" i="3"/>
  <c r="N93" i="3"/>
  <c r="R92" i="3"/>
  <c r="Q92" i="3"/>
  <c r="O92" i="3"/>
  <c r="N92" i="3"/>
  <c r="R91" i="3"/>
  <c r="Q91" i="3"/>
  <c r="O91" i="3"/>
  <c r="N91" i="3"/>
  <c r="R90" i="3"/>
  <c r="Q90" i="3"/>
  <c r="O90" i="3"/>
  <c r="N90" i="3"/>
  <c r="R89" i="3"/>
  <c r="Q89" i="3"/>
  <c r="O89" i="3"/>
  <c r="N89" i="3"/>
  <c r="R88" i="3"/>
  <c r="Q88" i="3"/>
  <c r="O88" i="3"/>
  <c r="N88" i="3"/>
  <c r="R86" i="3"/>
  <c r="Q86" i="3"/>
  <c r="O86" i="3"/>
  <c r="N86" i="3"/>
  <c r="R84" i="3"/>
  <c r="Q84" i="3"/>
  <c r="O84" i="3"/>
  <c r="N84" i="3"/>
  <c r="R83" i="3"/>
  <c r="Q83" i="3"/>
  <c r="O83" i="3"/>
  <c r="N83" i="3"/>
  <c r="R82" i="3"/>
  <c r="Q82" i="3"/>
  <c r="O82" i="3"/>
  <c r="N82" i="3"/>
  <c r="R81" i="3"/>
  <c r="Q81" i="3"/>
  <c r="O81" i="3"/>
  <c r="N81" i="3"/>
  <c r="R80" i="3"/>
  <c r="Q80" i="3"/>
  <c r="O80" i="3"/>
  <c r="N80" i="3"/>
  <c r="R79" i="3"/>
  <c r="Q79" i="3"/>
  <c r="O79" i="3"/>
  <c r="N79" i="3"/>
  <c r="R78" i="3"/>
  <c r="Q78" i="3"/>
  <c r="O78" i="3"/>
  <c r="N78" i="3"/>
  <c r="R77" i="3"/>
  <c r="Q77" i="3"/>
  <c r="O77" i="3"/>
  <c r="N77" i="3"/>
  <c r="R74" i="3"/>
  <c r="Q74" i="3"/>
  <c r="O74" i="3"/>
  <c r="N74" i="3"/>
  <c r="R73" i="3"/>
  <c r="Q73" i="3"/>
  <c r="O73" i="3"/>
  <c r="N73" i="3"/>
  <c r="R72" i="3"/>
  <c r="Q72" i="3"/>
  <c r="O72" i="3"/>
  <c r="N72" i="3"/>
  <c r="R71" i="3"/>
  <c r="Q71" i="3"/>
  <c r="O71" i="3"/>
  <c r="N71" i="3"/>
  <c r="R70" i="3"/>
  <c r="Q70" i="3"/>
  <c r="O70" i="3"/>
  <c r="N70" i="3"/>
  <c r="R69" i="3"/>
  <c r="Q69" i="3"/>
  <c r="O69" i="3"/>
  <c r="N69" i="3"/>
  <c r="R68" i="3"/>
  <c r="Q68" i="3"/>
  <c r="O68" i="3"/>
  <c r="N68" i="3"/>
  <c r="R67" i="3"/>
  <c r="Q67" i="3"/>
  <c r="O67" i="3"/>
  <c r="N67" i="3"/>
  <c r="R66" i="3"/>
  <c r="Q66" i="3"/>
  <c r="O66" i="3"/>
  <c r="N66" i="3"/>
  <c r="R65" i="3"/>
  <c r="Q65" i="3"/>
  <c r="O65" i="3"/>
  <c r="N65" i="3"/>
  <c r="R64" i="3"/>
  <c r="Q64" i="3"/>
  <c r="O64" i="3"/>
  <c r="N64" i="3"/>
  <c r="R63" i="3"/>
  <c r="Q63" i="3"/>
  <c r="O63" i="3"/>
  <c r="N63" i="3"/>
  <c r="R62" i="3"/>
  <c r="Q62" i="3"/>
  <c r="O62" i="3"/>
  <c r="N62" i="3"/>
  <c r="R61" i="3"/>
  <c r="Q61" i="3"/>
  <c r="O61" i="3"/>
  <c r="N61" i="3"/>
  <c r="R60" i="3"/>
  <c r="Q60" i="3"/>
  <c r="O60" i="3"/>
  <c r="N60" i="3"/>
  <c r="R59" i="3"/>
  <c r="Q59" i="3"/>
  <c r="O59" i="3"/>
  <c r="N59" i="3"/>
  <c r="R58" i="3"/>
  <c r="Q58" i="3"/>
  <c r="O58" i="3"/>
  <c r="N58" i="3"/>
  <c r="R57" i="3"/>
  <c r="Q57" i="3"/>
  <c r="O57" i="3"/>
  <c r="N57" i="3"/>
  <c r="R56" i="3"/>
  <c r="Q56" i="3"/>
  <c r="O56" i="3"/>
  <c r="N56" i="3"/>
  <c r="R55" i="3"/>
  <c r="Q55" i="3"/>
  <c r="O55" i="3"/>
  <c r="N55" i="3"/>
  <c r="R54" i="3"/>
  <c r="Q54" i="3"/>
  <c r="O54" i="3"/>
  <c r="N54" i="3"/>
  <c r="Q53" i="3"/>
  <c r="O53" i="3"/>
  <c r="N53" i="3"/>
  <c r="R52" i="3"/>
  <c r="Q52" i="3"/>
  <c r="O52" i="3"/>
  <c r="N52" i="3"/>
  <c r="R51" i="3"/>
  <c r="Q51" i="3"/>
  <c r="O51" i="3"/>
  <c r="N51" i="3"/>
  <c r="R50" i="3"/>
  <c r="Q50" i="3"/>
  <c r="O50" i="3"/>
  <c r="N50" i="3"/>
  <c r="R49" i="3"/>
  <c r="Q49" i="3"/>
  <c r="O49" i="3"/>
  <c r="N49" i="3"/>
  <c r="R48" i="3"/>
  <c r="Q48" i="3"/>
  <c r="O48" i="3"/>
  <c r="N48" i="3"/>
  <c r="R47" i="3"/>
  <c r="Q47" i="3"/>
  <c r="O47" i="3"/>
  <c r="N47" i="3"/>
  <c r="R46" i="3"/>
  <c r="Q46" i="3"/>
  <c r="O46" i="3"/>
  <c r="N46" i="3"/>
  <c r="R45" i="3"/>
  <c r="Q45" i="3"/>
  <c r="O45" i="3"/>
  <c r="N45" i="3"/>
  <c r="R44" i="3"/>
  <c r="Q44" i="3"/>
  <c r="O44" i="3"/>
  <c r="N44" i="3"/>
  <c r="R43" i="3"/>
  <c r="Q43" i="3"/>
  <c r="O43" i="3"/>
  <c r="N43" i="3"/>
  <c r="R42" i="3"/>
  <c r="Q42" i="3"/>
  <c r="O42" i="3"/>
  <c r="N42" i="3"/>
  <c r="R41" i="3"/>
  <c r="Q41" i="3"/>
  <c r="O41" i="3"/>
  <c r="N41" i="3"/>
  <c r="R40" i="3"/>
  <c r="Q40" i="3"/>
  <c r="O40" i="3"/>
  <c r="R39" i="3"/>
  <c r="Q39" i="3"/>
  <c r="O39" i="3"/>
  <c r="N39" i="3"/>
  <c r="R38" i="3"/>
  <c r="Q38" i="3"/>
  <c r="O38" i="3"/>
  <c r="N38" i="3"/>
  <c r="R35" i="3"/>
  <c r="Q35" i="3"/>
  <c r="O35" i="3"/>
  <c r="N35" i="3"/>
  <c r="R34" i="3"/>
  <c r="Q34" i="3"/>
  <c r="O34" i="3"/>
  <c r="N34" i="3"/>
  <c r="R33" i="3"/>
  <c r="Q33" i="3"/>
  <c r="O33" i="3"/>
  <c r="N33" i="3"/>
  <c r="R32" i="3"/>
  <c r="Q32" i="3"/>
  <c r="O32" i="3"/>
  <c r="N32" i="3"/>
  <c r="R31" i="3"/>
  <c r="Q31" i="3"/>
  <c r="O31" i="3"/>
  <c r="N31" i="3"/>
  <c r="R30" i="3"/>
  <c r="Q30" i="3"/>
  <c r="O30" i="3"/>
  <c r="N30" i="3"/>
  <c r="R29" i="3"/>
  <c r="Q29" i="3"/>
  <c r="O29" i="3"/>
  <c r="N29" i="3"/>
  <c r="R28" i="3"/>
  <c r="O28" i="3"/>
  <c r="N28" i="3"/>
  <c r="R27" i="3"/>
  <c r="O27" i="3"/>
  <c r="N27" i="3"/>
  <c r="R25" i="3"/>
  <c r="Q25" i="3"/>
  <c r="O25" i="3"/>
  <c r="N25" i="3"/>
  <c r="R24" i="3"/>
  <c r="Q24" i="3"/>
  <c r="O24" i="3"/>
  <c r="N24" i="3"/>
  <c r="R23" i="3"/>
  <c r="Q23" i="3"/>
  <c r="O23" i="3"/>
  <c r="N23" i="3"/>
  <c r="R22" i="3"/>
  <c r="Q22" i="3"/>
  <c r="O22" i="3"/>
  <c r="N22" i="3"/>
  <c r="R21" i="3"/>
  <c r="Q21" i="3"/>
  <c r="O21" i="3"/>
  <c r="N21" i="3"/>
  <c r="R20" i="3"/>
  <c r="Q20" i="3"/>
  <c r="O20" i="3"/>
  <c r="N20" i="3"/>
  <c r="R19" i="3"/>
  <c r="Q19" i="3"/>
  <c r="O19" i="3"/>
  <c r="N19" i="3"/>
  <c r="R18" i="3"/>
  <c r="Q18" i="3"/>
  <c r="O18" i="3"/>
  <c r="N18" i="3"/>
  <c r="R17" i="3"/>
  <c r="Q17" i="3"/>
  <c r="O17" i="3"/>
  <c r="N17" i="3"/>
  <c r="R16" i="3"/>
  <c r="Q16" i="3"/>
  <c r="O16" i="3"/>
  <c r="N16" i="3"/>
  <c r="R15" i="3"/>
  <c r="O15" i="3"/>
  <c r="N15" i="3"/>
  <c r="R14" i="3"/>
  <c r="Q14" i="3"/>
  <c r="O14" i="3"/>
  <c r="N14" i="3"/>
  <c r="R13" i="3"/>
  <c r="Q13" i="3"/>
  <c r="O13" i="3"/>
  <c r="N13" i="3"/>
  <c r="R12" i="3"/>
  <c r="Q12" i="3"/>
  <c r="O12" i="3"/>
  <c r="N12" i="3"/>
  <c r="R11" i="3"/>
  <c r="Q11" i="3"/>
  <c r="O11" i="3"/>
  <c r="N11" i="3"/>
  <c r="R10" i="3"/>
  <c r="Q10" i="3"/>
  <c r="O10" i="3"/>
  <c r="N10" i="3"/>
  <c r="R9" i="3"/>
  <c r="Q9" i="3"/>
  <c r="O9" i="3"/>
  <c r="N9" i="3"/>
  <c r="R8" i="3"/>
  <c r="Q8" i="3"/>
  <c r="O8" i="3"/>
  <c r="N8" i="3"/>
  <c r="R7" i="3"/>
  <c r="Q7" i="3"/>
  <c r="O7" i="3"/>
  <c r="N7" i="3"/>
  <c r="Q100" i="3" l="1"/>
  <c r="N100" i="3"/>
  <c r="O100" i="3"/>
  <c r="R100" i="3"/>
  <c r="J4" i="38"/>
  <c r="R256" i="1"/>
  <c r="Q256" i="1"/>
  <c r="O256" i="1"/>
  <c r="N256" i="1"/>
  <c r="O253" i="1"/>
  <c r="R252" i="1"/>
  <c r="Q252" i="1"/>
  <c r="O252" i="1"/>
  <c r="R250" i="1"/>
  <c r="Q250" i="1"/>
  <c r="O250" i="1"/>
  <c r="N250" i="1"/>
  <c r="Q249" i="1"/>
  <c r="O249" i="1"/>
  <c r="N249" i="1"/>
  <c r="R248" i="1"/>
  <c r="Q248" i="1"/>
  <c r="O248" i="1"/>
  <c r="N248" i="1"/>
  <c r="R247" i="1"/>
  <c r="Q247" i="1"/>
  <c r="O247" i="1"/>
  <c r="N247" i="1"/>
  <c r="R246" i="1"/>
  <c r="Q246" i="1"/>
  <c r="O246" i="1"/>
  <c r="N246" i="1"/>
  <c r="R245" i="1"/>
  <c r="Q245" i="1"/>
  <c r="O245" i="1"/>
  <c r="N245" i="1"/>
  <c r="R244" i="1"/>
  <c r="Q244" i="1"/>
  <c r="O244" i="1"/>
  <c r="N244" i="1"/>
  <c r="R243" i="1"/>
  <c r="Q243" i="1"/>
  <c r="O243" i="1"/>
  <c r="N243" i="1"/>
  <c r="R242" i="1"/>
  <c r="Q242" i="1"/>
  <c r="O242" i="1"/>
  <c r="N242" i="1"/>
  <c r="R240" i="1"/>
  <c r="Q240" i="1"/>
  <c r="O240" i="1"/>
  <c r="R239" i="1"/>
  <c r="Q239" i="1"/>
  <c r="O239" i="1"/>
  <c r="N239" i="1"/>
  <c r="R237" i="1"/>
  <c r="Q237" i="1"/>
  <c r="O237" i="1"/>
  <c r="N237" i="1"/>
  <c r="R234" i="1"/>
  <c r="R233" i="1" s="1"/>
  <c r="Q234" i="1"/>
  <c r="Q233" i="1" s="1"/>
  <c r="O234" i="1"/>
  <c r="O233" i="1" s="1"/>
  <c r="N234" i="1"/>
  <c r="N233" i="1" s="1"/>
  <c r="R229" i="1"/>
  <c r="Q229" i="1"/>
  <c r="O229" i="1"/>
  <c r="N229" i="1"/>
  <c r="R228" i="1"/>
  <c r="Q228" i="1"/>
  <c r="O228" i="1"/>
  <c r="N228" i="1"/>
  <c r="R227" i="1"/>
  <c r="Q227" i="1"/>
  <c r="O227" i="1"/>
  <c r="N227" i="1"/>
  <c r="Q225" i="1"/>
  <c r="O225" i="1"/>
  <c r="N225" i="1"/>
  <c r="R223" i="1"/>
  <c r="Q223" i="1"/>
  <c r="O223" i="1"/>
  <c r="N223" i="1"/>
  <c r="R221" i="1"/>
  <c r="Q221" i="1"/>
  <c r="O221" i="1"/>
  <c r="N221" i="1"/>
  <c r="R219" i="1"/>
  <c r="Q219" i="1"/>
  <c r="O219" i="1"/>
  <c r="N219" i="1"/>
  <c r="R218" i="1"/>
  <c r="Q218" i="1"/>
  <c r="O218" i="1"/>
  <c r="N218" i="1"/>
  <c r="R214" i="1"/>
  <c r="R213" i="1" s="1"/>
  <c r="Q214" i="1"/>
  <c r="Q213" i="1" s="1"/>
  <c r="O214" i="1"/>
  <c r="O213" i="1" s="1"/>
  <c r="N214" i="1"/>
  <c r="N213" i="1" s="1"/>
  <c r="R212" i="1"/>
  <c r="Q212" i="1"/>
  <c r="O212" i="1"/>
  <c r="N212" i="1"/>
  <c r="R210" i="1"/>
  <c r="Q210" i="1"/>
  <c r="O210" i="1"/>
  <c r="N210" i="1"/>
  <c r="R208" i="1"/>
  <c r="Q208" i="1"/>
  <c r="O208" i="1"/>
  <c r="N208" i="1"/>
  <c r="R207" i="1"/>
  <c r="Q207" i="1"/>
  <c r="O207" i="1"/>
  <c r="N207" i="1"/>
  <c r="R206" i="1"/>
  <c r="Q206" i="1"/>
  <c r="O206" i="1"/>
  <c r="N206" i="1"/>
  <c r="R205" i="1"/>
  <c r="Q205" i="1"/>
  <c r="O205" i="1"/>
  <c r="N205" i="1"/>
  <c r="R204" i="1"/>
  <c r="Q204" i="1"/>
  <c r="O204" i="1"/>
  <c r="N204" i="1"/>
  <c r="R203" i="1"/>
  <c r="Q203" i="1"/>
  <c r="O203" i="1"/>
  <c r="N203" i="1"/>
  <c r="R202" i="1"/>
  <c r="Q202" i="1"/>
  <c r="O202" i="1"/>
  <c r="N202" i="1"/>
  <c r="R201" i="1"/>
  <c r="Q201" i="1"/>
  <c r="O201" i="1"/>
  <c r="N201" i="1"/>
  <c r="R200" i="1"/>
  <c r="Q200" i="1"/>
  <c r="O200" i="1"/>
  <c r="N200" i="1"/>
  <c r="R199" i="1"/>
  <c r="Q199" i="1"/>
  <c r="O199" i="1"/>
  <c r="N199" i="1"/>
  <c r="R198" i="1"/>
  <c r="Q198" i="1"/>
  <c r="O198" i="1"/>
  <c r="N198" i="1"/>
  <c r="R197" i="1"/>
  <c r="Q197" i="1"/>
  <c r="O197" i="1"/>
  <c r="N197" i="1"/>
  <c r="R196" i="1"/>
  <c r="Q196" i="1"/>
  <c r="O196" i="1"/>
  <c r="N196" i="1"/>
  <c r="R195" i="1"/>
  <c r="Q195" i="1"/>
  <c r="O195" i="1"/>
  <c r="N195" i="1"/>
  <c r="R194" i="1"/>
  <c r="Q194" i="1"/>
  <c r="O194" i="1"/>
  <c r="N194" i="1"/>
  <c r="R193" i="1"/>
  <c r="Q193" i="1"/>
  <c r="O193" i="1"/>
  <c r="N193" i="1"/>
  <c r="R192" i="1"/>
  <c r="Q192" i="1"/>
  <c r="O192" i="1"/>
  <c r="N192" i="1"/>
  <c r="R191" i="1"/>
  <c r="Q191" i="1"/>
  <c r="O191" i="1"/>
  <c r="N191" i="1"/>
  <c r="R190" i="1"/>
  <c r="Q190" i="1"/>
  <c r="O190" i="1"/>
  <c r="N190" i="1"/>
  <c r="R189" i="1"/>
  <c r="Q189" i="1"/>
  <c r="O189" i="1"/>
  <c r="N189" i="1"/>
  <c r="R188" i="1"/>
  <c r="Q188" i="1"/>
  <c r="O188" i="1"/>
  <c r="N188" i="1"/>
  <c r="R187" i="1"/>
  <c r="Q187" i="1"/>
  <c r="O187" i="1"/>
  <c r="N187" i="1"/>
  <c r="R186" i="1"/>
  <c r="Q186" i="1"/>
  <c r="O186" i="1"/>
  <c r="N186" i="1"/>
  <c r="R185" i="1"/>
  <c r="Q185" i="1"/>
  <c r="O185" i="1"/>
  <c r="N185" i="1"/>
  <c r="R184" i="1"/>
  <c r="Q184" i="1"/>
  <c r="O184" i="1"/>
  <c r="N184" i="1"/>
  <c r="R183" i="1"/>
  <c r="Q183" i="1"/>
  <c r="O183" i="1"/>
  <c r="N183" i="1"/>
  <c r="R180" i="1"/>
  <c r="Q180" i="1"/>
  <c r="O180" i="1"/>
  <c r="N180" i="1"/>
  <c r="R179" i="1"/>
  <c r="Q179" i="1"/>
  <c r="O179" i="1"/>
  <c r="N179" i="1"/>
  <c r="R178" i="1"/>
  <c r="Q178" i="1"/>
  <c r="O178" i="1"/>
  <c r="N178" i="1"/>
  <c r="R177" i="1"/>
  <c r="Q177" i="1"/>
  <c r="O177" i="1"/>
  <c r="N177" i="1"/>
  <c r="R176" i="1"/>
  <c r="Q176" i="1"/>
  <c r="O176" i="1"/>
  <c r="N176" i="1"/>
  <c r="R175" i="1"/>
  <c r="Q175" i="1"/>
  <c r="O175" i="1"/>
  <c r="N175" i="1"/>
  <c r="R173" i="1"/>
  <c r="Q173" i="1"/>
  <c r="O173" i="1"/>
  <c r="N173" i="1"/>
  <c r="R172" i="1"/>
  <c r="Q172" i="1"/>
  <c r="O172" i="1"/>
  <c r="N172" i="1"/>
  <c r="R171" i="1"/>
  <c r="Q171" i="1"/>
  <c r="O171" i="1"/>
  <c r="N171" i="1"/>
  <c r="R170" i="1"/>
  <c r="Q170" i="1"/>
  <c r="O170" i="1"/>
  <c r="N170" i="1"/>
  <c r="R169" i="1"/>
  <c r="Q169" i="1"/>
  <c r="O169" i="1"/>
  <c r="N169" i="1"/>
  <c r="R168" i="1"/>
  <c r="Q168" i="1"/>
  <c r="O168" i="1"/>
  <c r="N168" i="1"/>
  <c r="R166" i="1"/>
  <c r="Q166" i="1"/>
  <c r="O166" i="1"/>
  <c r="N166" i="1"/>
  <c r="R165" i="1"/>
  <c r="Q165" i="1"/>
  <c r="O165" i="1"/>
  <c r="N165" i="1"/>
  <c r="R164" i="1"/>
  <c r="Q164" i="1"/>
  <c r="O164" i="1"/>
  <c r="N164" i="1"/>
  <c r="R163" i="1"/>
  <c r="Q163" i="1"/>
  <c r="O163" i="1"/>
  <c r="N163" i="1"/>
  <c r="R162" i="1"/>
  <c r="Q162" i="1"/>
  <c r="O162" i="1"/>
  <c r="N162" i="1"/>
  <c r="R161" i="1"/>
  <c r="Q161" i="1"/>
  <c r="O161" i="1"/>
  <c r="N161" i="1"/>
  <c r="R160" i="1"/>
  <c r="Q160" i="1"/>
  <c r="O160" i="1"/>
  <c r="N160" i="1"/>
  <c r="R159" i="1"/>
  <c r="Q159" i="1"/>
  <c r="O159" i="1"/>
  <c r="N159" i="1"/>
  <c r="R158" i="1"/>
  <c r="Q158" i="1"/>
  <c r="O158" i="1"/>
  <c r="N158" i="1"/>
  <c r="R157" i="1"/>
  <c r="Q157" i="1"/>
  <c r="O157" i="1"/>
  <c r="N157" i="1"/>
  <c r="R156" i="1"/>
  <c r="Q156" i="1"/>
  <c r="O156" i="1"/>
  <c r="N156" i="1"/>
  <c r="R155" i="1"/>
  <c r="Q155" i="1"/>
  <c r="O155" i="1"/>
  <c r="N155" i="1"/>
  <c r="R154" i="1"/>
  <c r="Q154" i="1"/>
  <c r="O154" i="1"/>
  <c r="N154" i="1"/>
  <c r="R153" i="1"/>
  <c r="Q153" i="1"/>
  <c r="O153" i="1"/>
  <c r="N153" i="1"/>
  <c r="R146" i="1"/>
  <c r="Q146" i="1"/>
  <c r="O146" i="1"/>
  <c r="N146" i="1"/>
  <c r="R145" i="1"/>
  <c r="Q145" i="1"/>
  <c r="O145" i="1"/>
  <c r="N145" i="1"/>
  <c r="R143" i="1"/>
  <c r="Q143" i="1"/>
  <c r="O143" i="1"/>
  <c r="N143" i="1"/>
  <c r="Q142" i="1"/>
  <c r="O142" i="1"/>
  <c r="N142" i="1"/>
  <c r="Q141" i="1"/>
  <c r="O141" i="1"/>
  <c r="N141" i="1"/>
  <c r="Q140" i="1"/>
  <c r="O140" i="1"/>
  <c r="N140" i="1"/>
  <c r="R139" i="1"/>
  <c r="Q139" i="1"/>
  <c r="O139" i="1"/>
  <c r="N139" i="1"/>
  <c r="R138" i="1"/>
  <c r="Q138" i="1"/>
  <c r="O138" i="1"/>
  <c r="N138" i="1"/>
  <c r="R137" i="1"/>
  <c r="Q137" i="1"/>
  <c r="O137" i="1"/>
  <c r="N137" i="1"/>
  <c r="R136" i="1"/>
  <c r="Q136" i="1"/>
  <c r="O136" i="1"/>
  <c r="N136" i="1"/>
  <c r="Q135" i="1"/>
  <c r="O135" i="1"/>
  <c r="N135" i="1"/>
  <c r="Q134" i="1"/>
  <c r="O134" i="1"/>
  <c r="R133" i="1"/>
  <c r="Q133" i="1"/>
  <c r="O133" i="1"/>
  <c r="N133" i="1"/>
  <c r="R132" i="1"/>
  <c r="Q132" i="1"/>
  <c r="O132" i="1"/>
  <c r="N132" i="1"/>
  <c r="R131" i="1"/>
  <c r="Q131" i="1"/>
  <c r="O131" i="1"/>
  <c r="N131" i="1"/>
  <c r="R130" i="1"/>
  <c r="Q130" i="1"/>
  <c r="O130" i="1"/>
  <c r="N130" i="1"/>
  <c r="R129" i="1"/>
  <c r="Q129" i="1"/>
  <c r="O129" i="1"/>
  <c r="N129" i="1"/>
  <c r="R128" i="1"/>
  <c r="Q128" i="1"/>
  <c r="O128" i="1"/>
  <c r="N128" i="1"/>
  <c r="R127" i="1"/>
  <c r="Q127" i="1"/>
  <c r="O127" i="1"/>
  <c r="N127" i="1"/>
  <c r="R126" i="1"/>
  <c r="Q126" i="1"/>
  <c r="O126" i="1"/>
  <c r="N126" i="1"/>
  <c r="R125" i="1"/>
  <c r="Q125" i="1"/>
  <c r="O125" i="1"/>
  <c r="N125" i="1"/>
  <c r="R124" i="1"/>
  <c r="Q124" i="1"/>
  <c r="O124" i="1"/>
  <c r="N124" i="1"/>
  <c r="R123" i="1"/>
  <c r="Q123" i="1"/>
  <c r="O123" i="1"/>
  <c r="N123" i="1"/>
  <c r="R122" i="1"/>
  <c r="Q122" i="1"/>
  <c r="O122" i="1"/>
  <c r="N122" i="1"/>
  <c r="R121" i="1"/>
  <c r="Q121" i="1"/>
  <c r="O121" i="1"/>
  <c r="N121" i="1"/>
  <c r="R120" i="1"/>
  <c r="Q120" i="1"/>
  <c r="O120" i="1"/>
  <c r="N120" i="1"/>
  <c r="R118" i="1"/>
  <c r="Q118" i="1"/>
  <c r="O118" i="1"/>
  <c r="N118" i="1"/>
  <c r="R117" i="1"/>
  <c r="Q117" i="1"/>
  <c r="O117" i="1"/>
  <c r="N117" i="1"/>
  <c r="R116" i="1"/>
  <c r="Q116" i="1"/>
  <c r="O116" i="1"/>
  <c r="N116" i="1"/>
  <c r="R115" i="1"/>
  <c r="Q115" i="1"/>
  <c r="O115" i="1"/>
  <c r="N115" i="1"/>
  <c r="R114" i="1"/>
  <c r="Q114" i="1"/>
  <c r="O114" i="1"/>
  <c r="N114" i="1"/>
  <c r="R113" i="1"/>
  <c r="Q113" i="1"/>
  <c r="O113" i="1"/>
  <c r="N113" i="1"/>
  <c r="R112" i="1"/>
  <c r="Q112" i="1"/>
  <c r="O112" i="1"/>
  <c r="N112" i="1"/>
  <c r="R111" i="1"/>
  <c r="Q111" i="1"/>
  <c r="O111" i="1"/>
  <c r="N111" i="1"/>
  <c r="R110" i="1"/>
  <c r="Q110" i="1"/>
  <c r="O110" i="1"/>
  <c r="N110" i="1"/>
  <c r="R109" i="1"/>
  <c r="Q109" i="1"/>
  <c r="O109" i="1"/>
  <c r="N109" i="1"/>
  <c r="R108" i="1"/>
  <c r="Q108" i="1"/>
  <c r="O108" i="1"/>
  <c r="N108" i="1"/>
  <c r="R107" i="1"/>
  <c r="Q107" i="1"/>
  <c r="O107" i="1"/>
  <c r="N107" i="1"/>
  <c r="R106" i="1"/>
  <c r="Q106" i="1"/>
  <c r="O106" i="1"/>
  <c r="N106" i="1"/>
  <c r="R105" i="1"/>
  <c r="Q105" i="1"/>
  <c r="O105" i="1"/>
  <c r="N105" i="1"/>
  <c r="R104" i="1"/>
  <c r="Q104" i="1"/>
  <c r="O104" i="1"/>
  <c r="N104" i="1"/>
  <c r="R103" i="1"/>
  <c r="Q103" i="1"/>
  <c r="O103" i="1"/>
  <c r="N103" i="1"/>
  <c r="R102" i="1"/>
  <c r="Q102" i="1"/>
  <c r="O102" i="1"/>
  <c r="N102" i="1"/>
  <c r="R101" i="1"/>
  <c r="Q101" i="1"/>
  <c r="O101" i="1"/>
  <c r="N101" i="1"/>
  <c r="R100" i="1"/>
  <c r="Q100" i="1"/>
  <c r="O100" i="1"/>
  <c r="N100" i="1"/>
  <c r="R99" i="1"/>
  <c r="Q99" i="1"/>
  <c r="O99" i="1"/>
  <c r="N99" i="1"/>
  <c r="R98" i="1"/>
  <c r="Q98" i="1"/>
  <c r="O98" i="1"/>
  <c r="N98" i="1"/>
  <c r="R97" i="1"/>
  <c r="Q97" i="1"/>
  <c r="O97" i="1"/>
  <c r="N97" i="1"/>
  <c r="R96" i="1"/>
  <c r="Q96" i="1"/>
  <c r="O96" i="1"/>
  <c r="N96" i="1"/>
  <c r="R95" i="1"/>
  <c r="Q95" i="1"/>
  <c r="O95" i="1"/>
  <c r="N95" i="1"/>
  <c r="R93" i="1"/>
  <c r="Q93" i="1"/>
  <c r="O93" i="1"/>
  <c r="N93" i="1"/>
  <c r="R92" i="1"/>
  <c r="Q92" i="1"/>
  <c r="O92" i="1"/>
  <c r="N92" i="1"/>
  <c r="R91" i="1"/>
  <c r="Q91" i="1"/>
  <c r="O91" i="1"/>
  <c r="N91" i="1"/>
  <c r="R89" i="1"/>
  <c r="Q89" i="1"/>
  <c r="O89" i="1"/>
  <c r="N89" i="1"/>
  <c r="R88" i="1"/>
  <c r="Q88" i="1"/>
  <c r="O88" i="1"/>
  <c r="N88" i="1"/>
  <c r="R87" i="1"/>
  <c r="Q87" i="1"/>
  <c r="O87" i="1"/>
  <c r="N87" i="1"/>
  <c r="R85" i="1"/>
  <c r="Q85" i="1"/>
  <c r="O85" i="1"/>
  <c r="N85" i="1"/>
  <c r="R83" i="1"/>
  <c r="Q83" i="1"/>
  <c r="O83" i="1"/>
  <c r="N83" i="1"/>
  <c r="R82" i="1"/>
  <c r="Q82" i="1"/>
  <c r="O82" i="1"/>
  <c r="N82" i="1"/>
  <c r="R81" i="1"/>
  <c r="Q81" i="1"/>
  <c r="O81" i="1"/>
  <c r="N81" i="1"/>
  <c r="R80" i="1"/>
  <c r="Q80" i="1"/>
  <c r="O80" i="1"/>
  <c r="N80" i="1"/>
  <c r="R79" i="1"/>
  <c r="Q79" i="1"/>
  <c r="O79" i="1"/>
  <c r="N79" i="1"/>
  <c r="R78" i="1"/>
  <c r="Q78" i="1"/>
  <c r="O78" i="1"/>
  <c r="N78" i="1"/>
  <c r="R77" i="1"/>
  <c r="Q77" i="1"/>
  <c r="O77" i="1"/>
  <c r="N77" i="1"/>
  <c r="R76" i="1"/>
  <c r="Q76" i="1"/>
  <c r="O76" i="1"/>
  <c r="N76" i="1"/>
  <c r="R73" i="1"/>
  <c r="Q73" i="1"/>
  <c r="O73" i="1"/>
  <c r="N73" i="1"/>
  <c r="R72" i="1"/>
  <c r="Q72" i="1"/>
  <c r="O72" i="1"/>
  <c r="N72" i="1"/>
  <c r="R71" i="1"/>
  <c r="Q71" i="1"/>
  <c r="O71" i="1"/>
  <c r="N71" i="1"/>
  <c r="R70" i="1"/>
  <c r="Q70" i="1"/>
  <c r="O70" i="1"/>
  <c r="N70" i="1"/>
  <c r="R69" i="1"/>
  <c r="Q69" i="1"/>
  <c r="O69" i="1"/>
  <c r="N69" i="1"/>
  <c r="R68" i="1"/>
  <c r="Q68" i="1"/>
  <c r="O68" i="1"/>
  <c r="N68" i="1"/>
  <c r="R67" i="1"/>
  <c r="Q67" i="1"/>
  <c r="O67" i="1"/>
  <c r="N67" i="1"/>
  <c r="R66" i="1"/>
  <c r="Q66" i="1"/>
  <c r="O66" i="1"/>
  <c r="N66" i="1"/>
  <c r="R65" i="1"/>
  <c r="Q65" i="1"/>
  <c r="O65" i="1"/>
  <c r="N65" i="1"/>
  <c r="R64" i="1"/>
  <c r="Q64" i="1"/>
  <c r="O64" i="1"/>
  <c r="N64" i="1"/>
  <c r="R63" i="1"/>
  <c r="Q63" i="1"/>
  <c r="O63" i="1"/>
  <c r="N63" i="1"/>
  <c r="R62" i="1"/>
  <c r="Q62" i="1"/>
  <c r="O62" i="1"/>
  <c r="N62" i="1"/>
  <c r="R61" i="1"/>
  <c r="Q61" i="1"/>
  <c r="O61" i="1"/>
  <c r="N61" i="1"/>
  <c r="R60" i="1"/>
  <c r="Q60" i="1"/>
  <c r="O60" i="1"/>
  <c r="N60" i="1"/>
  <c r="R59" i="1"/>
  <c r="Q59" i="1"/>
  <c r="O59" i="1"/>
  <c r="N59" i="1"/>
  <c r="R58" i="1"/>
  <c r="Q58" i="1"/>
  <c r="O58" i="1"/>
  <c r="N58" i="1"/>
  <c r="R56" i="1"/>
  <c r="Q56" i="1"/>
  <c r="O56" i="1"/>
  <c r="N56" i="1"/>
  <c r="R55" i="1"/>
  <c r="Q55" i="1"/>
  <c r="O55" i="1"/>
  <c r="N55" i="1"/>
  <c r="R54" i="1"/>
  <c r="Q54" i="1"/>
  <c r="O54" i="1"/>
  <c r="N54" i="1"/>
  <c r="R53" i="1"/>
  <c r="Q53" i="1"/>
  <c r="O53" i="1"/>
  <c r="N53" i="1"/>
  <c r="R51" i="1"/>
  <c r="Q51" i="1"/>
  <c r="O51" i="1"/>
  <c r="N51" i="1"/>
  <c r="R50" i="1"/>
  <c r="Q50" i="1"/>
  <c r="O50" i="1"/>
  <c r="N50" i="1"/>
  <c r="R49" i="1"/>
  <c r="Q49" i="1"/>
  <c r="O49" i="1"/>
  <c r="N49" i="1"/>
  <c r="R48" i="1"/>
  <c r="Q48" i="1"/>
  <c r="O48" i="1"/>
  <c r="N48" i="1"/>
  <c r="R47" i="1"/>
  <c r="Q47" i="1"/>
  <c r="O47" i="1"/>
  <c r="N47" i="1"/>
  <c r="R46" i="1"/>
  <c r="Q46" i="1"/>
  <c r="O46" i="1"/>
  <c r="N46" i="1"/>
  <c r="R45" i="1"/>
  <c r="O45" i="1"/>
  <c r="N45" i="1"/>
  <c r="R44" i="1"/>
  <c r="Q44" i="1"/>
  <c r="O44" i="1"/>
  <c r="N44" i="1"/>
  <c r="R43" i="1"/>
  <c r="O43" i="1"/>
  <c r="N43" i="1"/>
  <c r="R41" i="1"/>
  <c r="Q41" i="1"/>
  <c r="O41" i="1"/>
  <c r="N41" i="1"/>
  <c r="R40" i="1"/>
  <c r="Q40" i="1"/>
  <c r="O40" i="1"/>
  <c r="N40" i="1"/>
  <c r="R39" i="1"/>
  <c r="Q39" i="1"/>
  <c r="O39" i="1"/>
  <c r="N39" i="1"/>
  <c r="R14" i="1"/>
  <c r="R13" i="1" s="1"/>
  <c r="Q14" i="1"/>
  <c r="Q13" i="1" s="1"/>
  <c r="O14" i="1"/>
  <c r="O13" i="1" s="1"/>
  <c r="N14" i="1"/>
  <c r="N13" i="1" s="1"/>
  <c r="R37" i="1"/>
  <c r="Q37" i="1"/>
  <c r="O37" i="1"/>
  <c r="N37" i="1"/>
  <c r="R36" i="1"/>
  <c r="Q36" i="1"/>
  <c r="O36" i="1"/>
  <c r="N36" i="1"/>
  <c r="R35" i="1"/>
  <c r="Q35" i="1"/>
  <c r="O35" i="1"/>
  <c r="N35" i="1"/>
  <c r="R33" i="1"/>
  <c r="Q33" i="1"/>
  <c r="O33" i="1"/>
  <c r="N33" i="1"/>
  <c r="R31" i="1"/>
  <c r="Q31" i="1"/>
  <c r="O31" i="1"/>
  <c r="N31" i="1"/>
  <c r="R30" i="1"/>
  <c r="Q30" i="1"/>
  <c r="O30" i="1"/>
  <c r="N30" i="1"/>
  <c r="R29" i="1"/>
  <c r="Q29" i="1"/>
  <c r="O29" i="1"/>
  <c r="N29" i="1"/>
  <c r="R28" i="1"/>
  <c r="Q28" i="1"/>
  <c r="O28" i="1"/>
  <c r="N28" i="1"/>
  <c r="R27" i="1"/>
  <c r="Q27" i="1"/>
  <c r="O27" i="1"/>
  <c r="N27" i="1"/>
  <c r="R26" i="1"/>
  <c r="Q26" i="1"/>
  <c r="O26" i="1"/>
  <c r="N26" i="1"/>
  <c r="R25" i="1"/>
  <c r="Q25" i="1"/>
  <c r="O25" i="1"/>
  <c r="N25" i="1"/>
  <c r="R23" i="1"/>
  <c r="Q23" i="1"/>
  <c r="O23" i="1"/>
  <c r="N23" i="1"/>
  <c r="R22" i="1"/>
  <c r="Q22" i="1"/>
  <c r="O22" i="1"/>
  <c r="N22" i="1"/>
  <c r="R21" i="1"/>
  <c r="Q21" i="1"/>
  <c r="O21" i="1"/>
  <c r="N21" i="1"/>
  <c r="R20" i="1"/>
  <c r="Q20" i="1"/>
  <c r="O20" i="1"/>
  <c r="N20" i="1"/>
  <c r="R19" i="1"/>
  <c r="Q19" i="1"/>
  <c r="O19" i="1"/>
  <c r="N19" i="1"/>
  <c r="R18" i="1"/>
  <c r="Q18" i="1"/>
  <c r="O18" i="1"/>
  <c r="N18" i="1"/>
  <c r="R17" i="1"/>
  <c r="Q17" i="1"/>
  <c r="O17" i="1"/>
  <c r="N17" i="1"/>
  <c r="R16" i="1"/>
  <c r="Q16" i="1"/>
  <c r="O16" i="1"/>
  <c r="N16" i="1"/>
  <c r="R12" i="1"/>
  <c r="Q12" i="1"/>
  <c r="O12" i="1"/>
  <c r="N12" i="1"/>
  <c r="R11" i="1"/>
  <c r="Q11" i="1"/>
  <c r="O11" i="1"/>
  <c r="N11" i="1"/>
  <c r="R10" i="1"/>
  <c r="Q10" i="1"/>
  <c r="O10" i="1"/>
  <c r="N10" i="1"/>
  <c r="R9" i="1"/>
  <c r="Q9" i="1"/>
  <c r="O9" i="1"/>
  <c r="N9" i="1"/>
  <c r="U12" i="1"/>
  <c r="S12" i="1"/>
  <c r="U11" i="1"/>
  <c r="S11" i="1"/>
  <c r="U10" i="1"/>
  <c r="S10" i="1"/>
  <c r="P10" i="1"/>
  <c r="U9" i="1"/>
  <c r="S9" i="1"/>
  <c r="P9" i="1"/>
  <c r="O38" i="1" l="1"/>
  <c r="N38" i="1"/>
  <c r="Q38" i="1"/>
  <c r="R38" i="1"/>
  <c r="O226" i="1"/>
  <c r="N226" i="1"/>
  <c r="Q226" i="1"/>
  <c r="R226" i="1"/>
  <c r="N174" i="1"/>
  <c r="O174" i="1"/>
  <c r="R174" i="1"/>
  <c r="Q174" i="1"/>
  <c r="R126" i="3"/>
  <c r="E33" i="24"/>
  <c r="R53" i="3"/>
  <c r="E32" i="24"/>
  <c r="U142" i="1"/>
  <c r="S142" i="1"/>
  <c r="P142" i="1"/>
  <c r="L142" i="1"/>
  <c r="U19" i="10" l="1"/>
  <c r="DP27" i="11"/>
  <c r="DO27" i="11"/>
  <c r="DN27" i="11"/>
  <c r="DK17" i="11"/>
  <c r="R225" i="1"/>
  <c r="V46" i="8"/>
  <c r="V47" i="8" s="1"/>
  <c r="V4" i="5"/>
  <c r="R108" i="3" l="1"/>
  <c r="E34" i="24"/>
  <c r="V50" i="8"/>
  <c r="V51" i="8" s="1"/>
  <c r="R140" i="1"/>
  <c r="N253" i="1"/>
  <c r="N240" i="1"/>
  <c r="N134" i="1"/>
  <c r="N252" i="1" l="1"/>
  <c r="L64" i="31"/>
  <c r="P64" i="31" s="1"/>
  <c r="N26" i="4" l="1"/>
  <c r="N27" i="4" s="1"/>
  <c r="N28" i="4" s="1"/>
  <c r="U52" i="3" l="1"/>
  <c r="S52" i="3"/>
  <c r="P52" i="3"/>
  <c r="U117" i="1"/>
  <c r="S117" i="1"/>
  <c r="P117" i="1"/>
  <c r="U116" i="1"/>
  <c r="S116" i="1"/>
  <c r="P116" i="1"/>
  <c r="V52" i="3" l="1"/>
  <c r="V116" i="1"/>
  <c r="V117" i="1"/>
  <c r="Y10" i="12" l="1"/>
  <c r="Z10" i="12"/>
  <c r="L4" i="22" l="1"/>
  <c r="G82" i="30" l="1"/>
  <c r="H76" i="30"/>
  <c r="H74" i="30"/>
  <c r="H60" i="30"/>
  <c r="H54" i="30"/>
  <c r="F52" i="30"/>
  <c r="F51" i="30"/>
  <c r="F50" i="30"/>
  <c r="F44" i="30"/>
  <c r="H39" i="30"/>
  <c r="F37" i="30"/>
  <c r="F19" i="30"/>
  <c r="H8" i="30"/>
  <c r="O29" i="19"/>
  <c r="N29" i="19"/>
  <c r="M29" i="19"/>
  <c r="L29" i="19"/>
  <c r="K29" i="19"/>
  <c r="J29" i="19"/>
  <c r="I29" i="19"/>
  <c r="H29" i="19"/>
  <c r="F29" i="19"/>
  <c r="L17" i="19"/>
  <c r="I15" i="19"/>
  <c r="H15" i="19"/>
  <c r="J14" i="19"/>
  <c r="G15" i="19"/>
  <c r="J11" i="19"/>
  <c r="J10" i="19"/>
  <c r="K7" i="19"/>
  <c r="N12" i="15"/>
  <c r="J12" i="15"/>
  <c r="I12" i="15"/>
  <c r="H12" i="15"/>
  <c r="G12" i="15"/>
  <c r="Q11" i="15"/>
  <c r="P11" i="15"/>
  <c r="L11" i="15"/>
  <c r="K14" i="19" s="1"/>
  <c r="K11" i="15"/>
  <c r="Q10" i="15"/>
  <c r="P10" i="15"/>
  <c r="L10" i="15"/>
  <c r="K10" i="15"/>
  <c r="Q9" i="15"/>
  <c r="O9" i="15"/>
  <c r="P9" i="15" s="1"/>
  <c r="L9" i="15"/>
  <c r="K12" i="19" s="1"/>
  <c r="Q8" i="15"/>
  <c r="P8" i="15"/>
  <c r="L8" i="15"/>
  <c r="K11" i="19" s="1"/>
  <c r="K8" i="15"/>
  <c r="Q7" i="15"/>
  <c r="P7" i="15"/>
  <c r="L7" i="15"/>
  <c r="K10" i="19" s="1"/>
  <c r="K7" i="15"/>
  <c r="Q6" i="15"/>
  <c r="P6" i="15"/>
  <c r="L6" i="15"/>
  <c r="P5" i="15"/>
  <c r="R5" i="15" s="1"/>
  <c r="Q14" i="16"/>
  <c r="Q15" i="16" s="1"/>
  <c r="AC12" i="16"/>
  <c r="AD11" i="16"/>
  <c r="AE11" i="16" s="1"/>
  <c r="AF11" i="16" s="1"/>
  <c r="W11" i="16"/>
  <c r="AD10" i="16"/>
  <c r="W10" i="16"/>
  <c r="X10" i="16" s="1"/>
  <c r="Y10" i="16" s="1"/>
  <c r="AD8" i="16"/>
  <c r="W8" i="16"/>
  <c r="AD7" i="16"/>
  <c r="AE7" i="16" s="1"/>
  <c r="AF7" i="16" s="1"/>
  <c r="W7" i="16"/>
  <c r="AB12" i="21"/>
  <c r="AA12" i="21"/>
  <c r="Z12" i="21"/>
  <c r="Y12" i="21"/>
  <c r="X12" i="21"/>
  <c r="W12" i="21"/>
  <c r="V12" i="21"/>
  <c r="U12" i="21"/>
  <c r="T12" i="21"/>
  <c r="S12" i="21"/>
  <c r="P12" i="21"/>
  <c r="N12" i="21"/>
  <c r="K12" i="21"/>
  <c r="J12" i="21"/>
  <c r="I12" i="21"/>
  <c r="H12" i="21"/>
  <c r="G12" i="21"/>
  <c r="M11" i="21"/>
  <c r="M10" i="21"/>
  <c r="Q10" i="21" s="1"/>
  <c r="AC10" i="21" s="1"/>
  <c r="M9" i="21"/>
  <c r="M8" i="21"/>
  <c r="Q8" i="21" s="1"/>
  <c r="AC8" i="21" s="1"/>
  <c r="M7" i="21"/>
  <c r="Q6" i="21"/>
  <c r="E31" i="14"/>
  <c r="J17" i="14" s="1"/>
  <c r="G17" i="14" s="1"/>
  <c r="H2" i="14"/>
  <c r="K4" i="13"/>
  <c r="J4" i="13"/>
  <c r="I4" i="13"/>
  <c r="H4" i="13"/>
  <c r="G4" i="13"/>
  <c r="AG43" i="12"/>
  <c r="AH38" i="12"/>
  <c r="AM15" i="12" s="1"/>
  <c r="AG36" i="12"/>
  <c r="AG32" i="12"/>
  <c r="AH33" i="12" s="1"/>
  <c r="AG29" i="12"/>
  <c r="AH30" i="12" s="1"/>
  <c r="AB28" i="12"/>
  <c r="AG27" i="12"/>
  <c r="AB27" i="12"/>
  <c r="AB26" i="12"/>
  <c r="AB25" i="12"/>
  <c r="AB24" i="12"/>
  <c r="AG22" i="12"/>
  <c r="AG25" i="12" s="1"/>
  <c r="AH21" i="12"/>
  <c r="Z20" i="12"/>
  <c r="Y20" i="12"/>
  <c r="V20" i="12"/>
  <c r="AB20" i="12" s="1"/>
  <c r="J20" i="12"/>
  <c r="Z19" i="12"/>
  <c r="Y19" i="12"/>
  <c r="Z18" i="12"/>
  <c r="Y18" i="12"/>
  <c r="J18" i="12"/>
  <c r="Z17" i="12"/>
  <c r="Y17" i="12"/>
  <c r="AM14" i="12"/>
  <c r="W10" i="12"/>
  <c r="Z9" i="12"/>
  <c r="Y9" i="12"/>
  <c r="Z8" i="12"/>
  <c r="Y8" i="12"/>
  <c r="Z7" i="12"/>
  <c r="Y7" i="12"/>
  <c r="Y6" i="12"/>
  <c r="M4" i="12"/>
  <c r="L4" i="12"/>
  <c r="K4" i="12"/>
  <c r="E18" i="43"/>
  <c r="V21" i="35"/>
  <c r="U21" i="35"/>
  <c r="T21" i="35"/>
  <c r="Q21" i="35"/>
  <c r="L21" i="35"/>
  <c r="K21" i="35"/>
  <c r="J21" i="35"/>
  <c r="I21" i="35"/>
  <c r="G21" i="35"/>
  <c r="AF20" i="35"/>
  <c r="AE20" i="35"/>
  <c r="AD20" i="35"/>
  <c r="AC20" i="35"/>
  <c r="AA20" i="35"/>
  <c r="M20" i="35"/>
  <c r="O20" i="35" s="1"/>
  <c r="AF19" i="35"/>
  <c r="AE19" i="35"/>
  <c r="AD19" i="35"/>
  <c r="AA19" i="35"/>
  <c r="M19" i="35"/>
  <c r="R19" i="35" s="1"/>
  <c r="AF18" i="35"/>
  <c r="AE18" i="35"/>
  <c r="AD18" i="35"/>
  <c r="AC18" i="35"/>
  <c r="AA18" i="35"/>
  <c r="H18" i="35"/>
  <c r="H21" i="35" s="1"/>
  <c r="AF17" i="35"/>
  <c r="AE17" i="35"/>
  <c r="AD17" i="35"/>
  <c r="AC17" i="35"/>
  <c r="AA17" i="35"/>
  <c r="M17" i="35"/>
  <c r="O17" i="35" s="1"/>
  <c r="AE16" i="35"/>
  <c r="AD16" i="35"/>
  <c r="AC16" i="35"/>
  <c r="AA16" i="35"/>
  <c r="M16" i="35"/>
  <c r="O16" i="35" s="1"/>
  <c r="AG15" i="35"/>
  <c r="W15" i="35"/>
  <c r="M15" i="35"/>
  <c r="M10" i="35"/>
  <c r="O10" i="35" s="1"/>
  <c r="M9" i="35"/>
  <c r="O9" i="35" s="1"/>
  <c r="M8" i="35"/>
  <c r="O8" i="35" s="1"/>
  <c r="AA7" i="35"/>
  <c r="Q7" i="35"/>
  <c r="M7" i="35"/>
  <c r="O7" i="35" s="1"/>
  <c r="G7" i="35"/>
  <c r="M6" i="35"/>
  <c r="R6" i="35" s="1"/>
  <c r="W6" i="35" s="1"/>
  <c r="BT51" i="11"/>
  <c r="BS51" i="11"/>
  <c r="BR51" i="11"/>
  <c r="BU50" i="11"/>
  <c r="BU51" i="11" s="1"/>
  <c r="BY48" i="11"/>
  <c r="BY50" i="11" s="1"/>
  <c r="BX48" i="11"/>
  <c r="BZ44" i="11"/>
  <c r="BY44" i="11"/>
  <c r="BZ43" i="11"/>
  <c r="CB39" i="11"/>
  <c r="CB38" i="11"/>
  <c r="BY37" i="11"/>
  <c r="BY40" i="11" s="1"/>
  <c r="BX31" i="11"/>
  <c r="CL30" i="11"/>
  <c r="BX30" i="11"/>
  <c r="BY20" i="11" s="1"/>
  <c r="CN27" i="11"/>
  <c r="CM27" i="11"/>
  <c r="CL27" i="11"/>
  <c r="W27" i="11"/>
  <c r="V27" i="11"/>
  <c r="U27" i="11"/>
  <c r="R27" i="11"/>
  <c r="L27" i="11"/>
  <c r="K27" i="11"/>
  <c r="J27" i="11"/>
  <c r="I27" i="11"/>
  <c r="G27" i="11"/>
  <c r="CO26" i="11"/>
  <c r="CA26" i="11"/>
  <c r="BZ26" i="11"/>
  <c r="BY26" i="11"/>
  <c r="BX26" i="11"/>
  <c r="BV26" i="11"/>
  <c r="CJ26" i="11" s="1"/>
  <c r="BU26" i="11"/>
  <c r="CK25" i="11"/>
  <c r="CJ25" i="11"/>
  <c r="BW25" i="11"/>
  <c r="BU25" i="11" s="1"/>
  <c r="AH25" i="11"/>
  <c r="BD25" i="11" s="1"/>
  <c r="AG25" i="11"/>
  <c r="BC25" i="11" s="1"/>
  <c r="AF25" i="11"/>
  <c r="BB25" i="11" s="1"/>
  <c r="AC25" i="11"/>
  <c r="AY25" i="11" s="1"/>
  <c r="M25" i="11"/>
  <c r="S25" i="11" s="1"/>
  <c r="AH24" i="11"/>
  <c r="AS24" i="11" s="1"/>
  <c r="CA24" i="11" s="1"/>
  <c r="AG24" i="11"/>
  <c r="BC24" i="11" s="1"/>
  <c r="AF24" i="11"/>
  <c r="BB24" i="11" s="1"/>
  <c r="AE24" i="11"/>
  <c r="AP24" i="11" s="1"/>
  <c r="BX24" i="11" s="1"/>
  <c r="AC24" i="11"/>
  <c r="AY24" i="11" s="1"/>
  <c r="H24" i="11"/>
  <c r="H27" i="11" s="1"/>
  <c r="AH22" i="11"/>
  <c r="AS22" i="11" s="1"/>
  <c r="CA22" i="11" s="1"/>
  <c r="AG22" i="11"/>
  <c r="BC22" i="11" s="1"/>
  <c r="AF22" i="11"/>
  <c r="BB22" i="11" s="1"/>
  <c r="AE22" i="11"/>
  <c r="AP22" i="11" s="1"/>
  <c r="BX22" i="11" s="1"/>
  <c r="AC22" i="11"/>
  <c r="AN22" i="11" s="1"/>
  <c r="M22" i="11"/>
  <c r="S22" i="11" s="1"/>
  <c r="AH21" i="11"/>
  <c r="AG21" i="11"/>
  <c r="AR21" i="11" s="1"/>
  <c r="BZ21" i="11" s="1"/>
  <c r="AF21" i="11"/>
  <c r="BB21" i="11" s="1"/>
  <c r="AE21" i="11"/>
  <c r="AP21" i="11" s="1"/>
  <c r="BX21" i="11" s="1"/>
  <c r="AC21" i="11"/>
  <c r="M21" i="11"/>
  <c r="O21" i="11" s="1"/>
  <c r="BB20" i="11"/>
  <c r="AQ20" i="11"/>
  <c r="AG20" i="11"/>
  <c r="BC20" i="11" s="1"/>
  <c r="AF20" i="11"/>
  <c r="AE20" i="11"/>
  <c r="BA20" i="11" s="1"/>
  <c r="AC20" i="11"/>
  <c r="AY20" i="11" s="1"/>
  <c r="M20" i="11"/>
  <c r="AO20" i="11" s="1"/>
  <c r="BP18" i="11"/>
  <c r="BE18" i="11"/>
  <c r="AT18" i="11"/>
  <c r="AI18" i="11"/>
  <c r="CI17" i="11"/>
  <c r="BU17" i="11"/>
  <c r="BJ17" i="11"/>
  <c r="CJ13" i="11"/>
  <c r="CI13" i="11"/>
  <c r="BW13" i="11"/>
  <c r="BW26" i="11" s="1"/>
  <c r="CR12" i="11"/>
  <c r="CD12" i="11"/>
  <c r="CD25" i="11" s="1"/>
  <c r="BU12" i="11"/>
  <c r="CB12" i="11" s="1"/>
  <c r="BJ12" i="11"/>
  <c r="M12" i="11"/>
  <c r="O12" i="11" s="1"/>
  <c r="BU11" i="11"/>
  <c r="CI11" i="11" s="1"/>
  <c r="BJ11" i="11"/>
  <c r="Q11" i="11"/>
  <c r="M11" i="11"/>
  <c r="AO11" i="11" s="1"/>
  <c r="AT11" i="11" s="1"/>
  <c r="BU9" i="11"/>
  <c r="CI9" i="11" s="1"/>
  <c r="BJ9" i="11"/>
  <c r="M9" i="11"/>
  <c r="S9" i="11" s="1"/>
  <c r="X9" i="11" s="1"/>
  <c r="BU8" i="11"/>
  <c r="CI8" i="11" s="1"/>
  <c r="BJ8" i="11"/>
  <c r="Q8" i="11"/>
  <c r="M8" i="11"/>
  <c r="S8" i="11" s="1"/>
  <c r="X8" i="11" s="1"/>
  <c r="BU7" i="11"/>
  <c r="CI7" i="11" s="1"/>
  <c r="BJ7" i="11"/>
  <c r="M7" i="11"/>
  <c r="H20" i="34"/>
  <c r="H19" i="34"/>
  <c r="F12" i="34"/>
  <c r="H12" i="34" s="1"/>
  <c r="I10" i="34"/>
  <c r="J10" i="34" s="1"/>
  <c r="H9" i="34"/>
  <c r="H18" i="34" s="1"/>
  <c r="H31" i="10"/>
  <c r="H30" i="10"/>
  <c r="H25" i="10"/>
  <c r="H24" i="10"/>
  <c r="T19" i="10"/>
  <c r="N7" i="9" s="1"/>
  <c r="S19" i="10"/>
  <c r="R19" i="10"/>
  <c r="F13" i="10"/>
  <c r="I12" i="10" s="1"/>
  <c r="I11" i="10"/>
  <c r="H10" i="10"/>
  <c r="H23" i="10" s="1"/>
  <c r="F26" i="9"/>
  <c r="F27" i="9" s="1"/>
  <c r="J24" i="9"/>
  <c r="I24" i="9"/>
  <c r="G24" i="9"/>
  <c r="F24" i="9"/>
  <c r="M4" i="9"/>
  <c r="L4" i="9"/>
  <c r="H86" i="8"/>
  <c r="H87" i="8" s="1"/>
  <c r="H85" i="8"/>
  <c r="J85" i="8" s="1"/>
  <c r="J84" i="8"/>
  <c r="I84" i="8"/>
  <c r="H76" i="8"/>
  <c r="H80" i="8" s="1"/>
  <c r="G76" i="8"/>
  <c r="G80" i="8" s="1"/>
  <c r="F76" i="8"/>
  <c r="F80" i="8" s="1"/>
  <c r="J14" i="8"/>
  <c r="J19" i="8" s="1"/>
  <c r="J18" i="8" s="1"/>
  <c r="I14" i="8"/>
  <c r="I19" i="8" s="1"/>
  <c r="I18" i="8" s="1"/>
  <c r="I25" i="8" s="1"/>
  <c r="I26" i="8" s="1"/>
  <c r="H14" i="8"/>
  <c r="H19" i="8" s="1"/>
  <c r="H18" i="8" s="1"/>
  <c r="G14" i="8"/>
  <c r="G19" i="8" s="1"/>
  <c r="G18" i="8" s="1"/>
  <c r="F14" i="8"/>
  <c r="F19" i="8" s="1"/>
  <c r="F69" i="8"/>
  <c r="H64" i="8"/>
  <c r="G64" i="8"/>
  <c r="F64" i="8"/>
  <c r="H63" i="8"/>
  <c r="H66" i="8" s="1"/>
  <c r="H67" i="8" s="1"/>
  <c r="G63" i="8"/>
  <c r="G66" i="8" s="1"/>
  <c r="G67" i="8" s="1"/>
  <c r="F63" i="8"/>
  <c r="F66" i="8" s="1"/>
  <c r="H62" i="8"/>
  <c r="G62" i="8"/>
  <c r="F62" i="8"/>
  <c r="F49" i="8"/>
  <c r="N46" i="8"/>
  <c r="N47" i="8" s="1"/>
  <c r="N50" i="8" s="1"/>
  <c r="N51" i="8" s="1"/>
  <c r="J46" i="8"/>
  <c r="J47" i="8" s="1"/>
  <c r="I46" i="8"/>
  <c r="I47" i="8" s="1"/>
  <c r="H46" i="8"/>
  <c r="H47" i="8" s="1"/>
  <c r="G44" i="8"/>
  <c r="G46" i="8" s="1"/>
  <c r="G47" i="8" s="1"/>
  <c r="F44" i="8"/>
  <c r="F46" i="8" s="1"/>
  <c r="J42" i="8"/>
  <c r="H40" i="8"/>
  <c r="J40" i="8" s="1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E57" i="42"/>
  <c r="G57" i="42" s="1"/>
  <c r="G53" i="42"/>
  <c r="N48" i="42"/>
  <c r="M48" i="42"/>
  <c r="J47" i="42"/>
  <c r="N47" i="42" s="1"/>
  <c r="N39" i="42"/>
  <c r="N38" i="42"/>
  <c r="G29" i="42"/>
  <c r="E25" i="42"/>
  <c r="G25" i="42" s="1"/>
  <c r="G31" i="42" s="1"/>
  <c r="E17" i="42"/>
  <c r="G18" i="42" s="1"/>
  <c r="G19" i="42" s="1"/>
  <c r="E9" i="42"/>
  <c r="E27" i="42" s="1"/>
  <c r="G27" i="42" s="1"/>
  <c r="F4" i="5"/>
  <c r="N4" i="5"/>
  <c r="M4" i="5"/>
  <c r="L4" i="5"/>
  <c r="K4" i="5"/>
  <c r="J4" i="5"/>
  <c r="I4" i="5"/>
  <c r="H4" i="5"/>
  <c r="G4" i="5"/>
  <c r="F27" i="4"/>
  <c r="F28" i="4" s="1"/>
  <c r="F26" i="4"/>
  <c r="G23" i="4"/>
  <c r="H23" i="4" s="1"/>
  <c r="G22" i="4"/>
  <c r="H22" i="4" s="1"/>
  <c r="K22" i="4" s="1"/>
  <c r="G21" i="4"/>
  <c r="H21" i="4" s="1"/>
  <c r="G20" i="4"/>
  <c r="H20" i="4" s="1"/>
  <c r="G19" i="4"/>
  <c r="H19" i="4" s="1"/>
  <c r="I19" i="4" s="1"/>
  <c r="G18" i="4"/>
  <c r="F16" i="4"/>
  <c r="G15" i="4"/>
  <c r="F13" i="4"/>
  <c r="G13" i="4" s="1"/>
  <c r="H13" i="4" s="1"/>
  <c r="G12" i="4"/>
  <c r="H12" i="4" s="1"/>
  <c r="K12" i="4" s="1"/>
  <c r="F11" i="4"/>
  <c r="G10" i="4"/>
  <c r="F8" i="4"/>
  <c r="G7" i="4"/>
  <c r="M4" i="4"/>
  <c r="L167" i="44"/>
  <c r="I166" i="44"/>
  <c r="L164" i="44"/>
  <c r="I163" i="44"/>
  <c r="G161" i="44"/>
  <c r="G4" i="44" s="1"/>
  <c r="I160" i="44"/>
  <c r="K158" i="44"/>
  <c r="I157" i="44"/>
  <c r="K155" i="44"/>
  <c r="J154" i="44"/>
  <c r="L153" i="44"/>
  <c r="L152" i="44"/>
  <c r="I151" i="44"/>
  <c r="K149" i="44"/>
  <c r="J148" i="44"/>
  <c r="K147" i="44"/>
  <c r="K146" i="44"/>
  <c r="I145" i="44"/>
  <c r="J143" i="44"/>
  <c r="K142" i="44"/>
  <c r="K141" i="44"/>
  <c r="I140" i="44"/>
  <c r="J138" i="44"/>
  <c r="I137" i="44"/>
  <c r="K136" i="44"/>
  <c r="I135" i="44"/>
  <c r="I134" i="44"/>
  <c r="K133" i="44"/>
  <c r="K130" i="44"/>
  <c r="L129" i="44"/>
  <c r="I128" i="44"/>
  <c r="K127" i="44"/>
  <c r="E124" i="44"/>
  <c r="D124" i="44"/>
  <c r="E123" i="44"/>
  <c r="D123" i="44"/>
  <c r="E122" i="44"/>
  <c r="D122" i="44"/>
  <c r="E121" i="44"/>
  <c r="D121" i="44"/>
  <c r="E119" i="44"/>
  <c r="D119" i="44"/>
  <c r="E118" i="44"/>
  <c r="D118" i="44"/>
  <c r="D117" i="44"/>
  <c r="E116" i="44"/>
  <c r="D116" i="44"/>
  <c r="E115" i="44"/>
  <c r="D115" i="44"/>
  <c r="E114" i="44"/>
  <c r="D114" i="44"/>
  <c r="E113" i="44"/>
  <c r="D113" i="44"/>
  <c r="D112" i="44"/>
  <c r="K110" i="44"/>
  <c r="E110" i="44"/>
  <c r="D110" i="44"/>
  <c r="L109" i="44"/>
  <c r="E109" i="44"/>
  <c r="D109" i="44"/>
  <c r="C109" i="44"/>
  <c r="C110" i="44" s="1"/>
  <c r="D108" i="44"/>
  <c r="L106" i="44"/>
  <c r="E106" i="44"/>
  <c r="D106" i="44"/>
  <c r="K105" i="44"/>
  <c r="E105" i="44"/>
  <c r="D105" i="44"/>
  <c r="L104" i="44"/>
  <c r="E104" i="44"/>
  <c r="D104" i="44"/>
  <c r="I103" i="44"/>
  <c r="E103" i="44"/>
  <c r="D103" i="44"/>
  <c r="C103" i="44"/>
  <c r="C104" i="44" s="1"/>
  <c r="C105" i="44" s="1"/>
  <c r="C106" i="44" s="1"/>
  <c r="D102" i="44"/>
  <c r="L100" i="44"/>
  <c r="E100" i="44"/>
  <c r="D100" i="44"/>
  <c r="K99" i="44"/>
  <c r="E99" i="44"/>
  <c r="D99" i="44"/>
  <c r="L98" i="44"/>
  <c r="E98" i="44"/>
  <c r="D98" i="44"/>
  <c r="I97" i="44"/>
  <c r="E97" i="44"/>
  <c r="D97" i="44"/>
  <c r="C97" i="44"/>
  <c r="C98" i="44" s="1"/>
  <c r="C99" i="44" s="1"/>
  <c r="C100" i="44" s="1"/>
  <c r="D96" i="44"/>
  <c r="L94" i="44"/>
  <c r="E94" i="44"/>
  <c r="D94" i="44"/>
  <c r="K93" i="44"/>
  <c r="E93" i="44"/>
  <c r="D93" i="44"/>
  <c r="L92" i="44"/>
  <c r="E92" i="44"/>
  <c r="D92" i="44"/>
  <c r="I91" i="44"/>
  <c r="E91" i="44"/>
  <c r="D91" i="44"/>
  <c r="C91" i="44"/>
  <c r="C92" i="44" s="1"/>
  <c r="C93" i="44" s="1"/>
  <c r="C94" i="44" s="1"/>
  <c r="D90" i="44"/>
  <c r="H88" i="44"/>
  <c r="E88" i="44"/>
  <c r="D88" i="44"/>
  <c r="H87" i="44"/>
  <c r="E87" i="44"/>
  <c r="D87" i="44"/>
  <c r="H77" i="44"/>
  <c r="E77" i="44"/>
  <c r="D77" i="44"/>
  <c r="H76" i="44"/>
  <c r="E76" i="44"/>
  <c r="D76" i="44"/>
  <c r="H75" i="44"/>
  <c r="E75" i="44"/>
  <c r="D75" i="44"/>
  <c r="H74" i="44"/>
  <c r="E74" i="44"/>
  <c r="D74" i="44"/>
  <c r="I61" i="44"/>
  <c r="I59" i="44"/>
  <c r="H57" i="44"/>
  <c r="E57" i="44"/>
  <c r="D57" i="44"/>
  <c r="H56" i="44"/>
  <c r="E56" i="44"/>
  <c r="D56" i="44"/>
  <c r="I55" i="44"/>
  <c r="H55" i="44"/>
  <c r="E55" i="44"/>
  <c r="D55" i="44"/>
  <c r="H54" i="44"/>
  <c r="E54" i="44"/>
  <c r="D54" i="44"/>
  <c r="H53" i="44"/>
  <c r="E53" i="44"/>
  <c r="D53" i="44"/>
  <c r="H52" i="44"/>
  <c r="E52" i="44"/>
  <c r="D52" i="44"/>
  <c r="I51" i="44"/>
  <c r="H51" i="44"/>
  <c r="E51" i="44"/>
  <c r="D51" i="44"/>
  <c r="H50" i="44"/>
  <c r="E50" i="44"/>
  <c r="D50" i="44"/>
  <c r="I49" i="44"/>
  <c r="H49" i="44"/>
  <c r="E49" i="44"/>
  <c r="D49" i="44"/>
  <c r="I47" i="44"/>
  <c r="I43" i="44"/>
  <c r="H42" i="44"/>
  <c r="E42" i="44"/>
  <c r="D42" i="44"/>
  <c r="I41" i="44"/>
  <c r="H41" i="44"/>
  <c r="E41" i="44"/>
  <c r="D41" i="44"/>
  <c r="H40" i="44"/>
  <c r="E40" i="44"/>
  <c r="D40" i="44"/>
  <c r="I39" i="44"/>
  <c r="H39" i="44"/>
  <c r="E39" i="44"/>
  <c r="D39" i="44"/>
  <c r="C39" i="44"/>
  <c r="C40" i="44" s="1"/>
  <c r="C41" i="44" s="1"/>
  <c r="C42" i="44" s="1"/>
  <c r="C43" i="44" s="1"/>
  <c r="C44" i="44" s="1"/>
  <c r="C45" i="44" s="1"/>
  <c r="C46" i="44" s="1"/>
  <c r="C47" i="44" s="1"/>
  <c r="C48" i="44" s="1"/>
  <c r="C49" i="44" s="1"/>
  <c r="C50" i="44" s="1"/>
  <c r="C51" i="44" s="1"/>
  <c r="C52" i="44" s="1"/>
  <c r="C53" i="44" s="1"/>
  <c r="C54" i="44" s="1"/>
  <c r="C55" i="44" s="1"/>
  <c r="C56" i="44" s="1"/>
  <c r="C57" i="44" s="1"/>
  <c r="C58" i="44" s="1"/>
  <c r="C59" i="44" s="1"/>
  <c r="C60" i="44" s="1"/>
  <c r="C61" i="44" s="1"/>
  <c r="C62" i="44" s="1"/>
  <c r="C64" i="44" s="1"/>
  <c r="C65" i="44" s="1"/>
  <c r="C66" i="44" s="1"/>
  <c r="C67" i="44" s="1"/>
  <c r="C68" i="44" s="1"/>
  <c r="C69" i="44" s="1"/>
  <c r="C70" i="44" s="1"/>
  <c r="C71" i="44" s="1"/>
  <c r="C72" i="44" s="1"/>
  <c r="C73" i="44" s="1"/>
  <c r="C74" i="44" s="1"/>
  <c r="C75" i="44" s="1"/>
  <c r="C76" i="44" s="1"/>
  <c r="C77" i="44" s="1"/>
  <c r="C78" i="44" s="1"/>
  <c r="C79" i="44" s="1"/>
  <c r="C80" i="44" s="1"/>
  <c r="C81" i="44" s="1"/>
  <c r="C83" i="44" s="1"/>
  <c r="C84" i="44" s="1"/>
  <c r="C85" i="44" s="1"/>
  <c r="C86" i="44" s="1"/>
  <c r="C87" i="44" s="1"/>
  <c r="C88" i="44" s="1"/>
  <c r="L35" i="44"/>
  <c r="E35" i="44"/>
  <c r="D35" i="44"/>
  <c r="L34" i="44"/>
  <c r="E34" i="44"/>
  <c r="D34" i="44"/>
  <c r="L33" i="44"/>
  <c r="E33" i="44"/>
  <c r="D33" i="44"/>
  <c r="L32" i="44"/>
  <c r="E32" i="44"/>
  <c r="D32" i="44"/>
  <c r="L31" i="44"/>
  <c r="E31" i="44"/>
  <c r="D31" i="44"/>
  <c r="L30" i="44"/>
  <c r="E30" i="44"/>
  <c r="D30" i="44"/>
  <c r="L29" i="44"/>
  <c r="E29" i="44"/>
  <c r="D29" i="44"/>
  <c r="L28" i="44"/>
  <c r="E28" i="44"/>
  <c r="D28" i="44"/>
  <c r="L27" i="44"/>
  <c r="E27" i="44"/>
  <c r="D27" i="44"/>
  <c r="K26" i="44"/>
  <c r="E26" i="44"/>
  <c r="D26" i="44"/>
  <c r="D25" i="44"/>
  <c r="K23" i="44"/>
  <c r="E23" i="44"/>
  <c r="D23" i="44"/>
  <c r="K22" i="44"/>
  <c r="E22" i="44"/>
  <c r="D22" i="44"/>
  <c r="K21" i="44"/>
  <c r="E21" i="44"/>
  <c r="D21" i="44"/>
  <c r="K20" i="44"/>
  <c r="E20" i="44"/>
  <c r="D20" i="44"/>
  <c r="K19" i="44"/>
  <c r="E19" i="44"/>
  <c r="D19" i="44"/>
  <c r="K18" i="44"/>
  <c r="E18" i="44"/>
  <c r="D18" i="44"/>
  <c r="D17" i="44"/>
  <c r="K16" i="44"/>
  <c r="E16" i="44"/>
  <c r="D16" i="44"/>
  <c r="K15" i="44"/>
  <c r="E15" i="44"/>
  <c r="D15" i="44"/>
  <c r="D14" i="44"/>
  <c r="K13" i="44"/>
  <c r="E13" i="44"/>
  <c r="D13" i="44"/>
  <c r="K12" i="44"/>
  <c r="E12" i="44"/>
  <c r="D12" i="44"/>
  <c r="K11" i="44"/>
  <c r="E11" i="44"/>
  <c r="D11" i="44"/>
  <c r="K10" i="44"/>
  <c r="E10" i="44"/>
  <c r="D10" i="44"/>
  <c r="D9" i="44"/>
  <c r="K8" i="44"/>
  <c r="E8" i="44"/>
  <c r="D8" i="44"/>
  <c r="I7" i="44"/>
  <c r="E7" i="44"/>
  <c r="D7" i="44"/>
  <c r="D6" i="44"/>
  <c r="F4" i="44"/>
  <c r="L1" i="44"/>
  <c r="K1" i="44"/>
  <c r="J1" i="44"/>
  <c r="I1" i="44"/>
  <c r="M313" i="31"/>
  <c r="M312" i="31"/>
  <c r="K240" i="31"/>
  <c r="K126" i="31"/>
  <c r="M126" i="31" s="1"/>
  <c r="K124" i="31"/>
  <c r="M124" i="31" s="1"/>
  <c r="K67" i="31"/>
  <c r="L67" i="31" s="1"/>
  <c r="P67" i="31" s="1"/>
  <c r="M64" i="31"/>
  <c r="M3" i="31"/>
  <c r="F98" i="25"/>
  <c r="F77" i="30" s="1"/>
  <c r="L97" i="25"/>
  <c r="F83" i="25"/>
  <c r="F77" i="25"/>
  <c r="L76" i="25"/>
  <c r="F75" i="25"/>
  <c r="L67" i="25"/>
  <c r="F55" i="25"/>
  <c r="L50" i="25"/>
  <c r="F32" i="25"/>
  <c r="J17" i="39"/>
  <c r="I14" i="39"/>
  <c r="K14" i="39" s="1"/>
  <c r="H11" i="39"/>
  <c r="G11" i="39"/>
  <c r="F11" i="39"/>
  <c r="E11" i="39"/>
  <c r="K10" i="39"/>
  <c r="G7" i="39"/>
  <c r="F7" i="39"/>
  <c r="E7" i="39"/>
  <c r="AD27" i="33"/>
  <c r="AD18" i="33"/>
  <c r="AD10" i="33"/>
  <c r="AD8" i="33"/>
  <c r="Q8" i="33"/>
  <c r="Q10" i="33" s="1"/>
  <c r="W46" i="26"/>
  <c r="Y45" i="26"/>
  <c r="Y44" i="26"/>
  <c r="N38" i="26"/>
  <c r="N43" i="26" s="1"/>
  <c r="Y38" i="26"/>
  <c r="Y36" i="26"/>
  <c r="Y30" i="26"/>
  <c r="N30" i="26"/>
  <c r="Y24" i="26"/>
  <c r="N24" i="26"/>
  <c r="Y22" i="26"/>
  <c r="N7" i="26"/>
  <c r="F134" i="24"/>
  <c r="M133" i="24"/>
  <c r="G133" i="24"/>
  <c r="G131" i="24"/>
  <c r="J131" i="24" s="1"/>
  <c r="M131" i="24" s="1"/>
  <c r="E126" i="24"/>
  <c r="G126" i="24" s="1"/>
  <c r="J126" i="24" s="1"/>
  <c r="AB72" i="48" s="1"/>
  <c r="E124" i="24"/>
  <c r="G124" i="24" s="1"/>
  <c r="J124" i="24" s="1"/>
  <c r="F119" i="24"/>
  <c r="M118" i="24"/>
  <c r="G118" i="24"/>
  <c r="E117" i="24"/>
  <c r="G117" i="24" s="1"/>
  <c r="G116" i="24"/>
  <c r="G115" i="24"/>
  <c r="E114" i="24"/>
  <c r="G114" i="24" s="1"/>
  <c r="J114" i="24" s="1"/>
  <c r="J113" i="24"/>
  <c r="M113" i="24" s="1"/>
  <c r="E113" i="24"/>
  <c r="J112" i="24"/>
  <c r="M112" i="24" s="1"/>
  <c r="Q258" i="23" s="1"/>
  <c r="E112" i="24"/>
  <c r="E108" i="24"/>
  <c r="G107" i="24"/>
  <c r="F104" i="24"/>
  <c r="G104" i="24" s="1"/>
  <c r="G103" i="24"/>
  <c r="F95" i="24"/>
  <c r="G94" i="24"/>
  <c r="G93" i="24"/>
  <c r="F60" i="24"/>
  <c r="G59" i="24"/>
  <c r="J59" i="24" s="1"/>
  <c r="M59" i="24" s="1"/>
  <c r="E58" i="24"/>
  <c r="G58" i="24" s="1"/>
  <c r="J58" i="24" s="1"/>
  <c r="M58" i="24" s="1"/>
  <c r="G57" i="24"/>
  <c r="J57" i="24" s="1"/>
  <c r="M57" i="24" s="1"/>
  <c r="O22" i="23" s="1"/>
  <c r="E55" i="24"/>
  <c r="G55" i="24" s="1"/>
  <c r="J55" i="24" s="1"/>
  <c r="M55" i="24" s="1"/>
  <c r="E54" i="24"/>
  <c r="G54" i="24" s="1"/>
  <c r="J54" i="24" s="1"/>
  <c r="M54" i="24" s="1"/>
  <c r="E53" i="24"/>
  <c r="G53" i="24" s="1"/>
  <c r="J53" i="24" s="1"/>
  <c r="M53" i="24" s="1"/>
  <c r="F49" i="24"/>
  <c r="G48" i="24"/>
  <c r="G47" i="24"/>
  <c r="G46" i="24"/>
  <c r="M45" i="24"/>
  <c r="G45" i="24"/>
  <c r="G44" i="24"/>
  <c r="J44" i="24" s="1"/>
  <c r="O15" i="23"/>
  <c r="F38" i="24"/>
  <c r="G37" i="24"/>
  <c r="G36" i="24"/>
  <c r="G35" i="24"/>
  <c r="G31" i="24"/>
  <c r="J31" i="24" s="1"/>
  <c r="M31" i="24" s="1"/>
  <c r="O11" i="23" s="1"/>
  <c r="G25" i="24"/>
  <c r="J25" i="24" s="1"/>
  <c r="M25" i="24" s="1"/>
  <c r="G24" i="24"/>
  <c r="J24" i="24" s="1"/>
  <c r="M24" i="24" s="1"/>
  <c r="J22" i="24"/>
  <c r="N345" i="23" s="1"/>
  <c r="G21" i="24"/>
  <c r="J21" i="24" s="1"/>
  <c r="M21" i="24" s="1"/>
  <c r="N299" i="23" s="1"/>
  <c r="G20" i="24"/>
  <c r="J20" i="24" s="1"/>
  <c r="M20" i="24" s="1"/>
  <c r="N200" i="23" s="1"/>
  <c r="E14" i="24"/>
  <c r="J13" i="24"/>
  <c r="M13" i="24" s="1"/>
  <c r="N258" i="23" s="1"/>
  <c r="J11" i="24"/>
  <c r="F10" i="24"/>
  <c r="G10" i="24" s="1"/>
  <c r="J10" i="24" s="1"/>
  <c r="J9" i="24"/>
  <c r="J8" i="24"/>
  <c r="F7" i="24"/>
  <c r="G7" i="24" s="1"/>
  <c r="F6" i="24"/>
  <c r="G6" i="24" s="1"/>
  <c r="J6" i="24" s="1"/>
  <c r="K365" i="23"/>
  <c r="T362" i="23"/>
  <c r="M362" i="23"/>
  <c r="T361" i="23"/>
  <c r="M361" i="23"/>
  <c r="T360" i="23"/>
  <c r="M360" i="23"/>
  <c r="R358" i="23"/>
  <c r="Q358" i="23"/>
  <c r="P358" i="23"/>
  <c r="R355" i="23"/>
  <c r="R354" i="23" s="1"/>
  <c r="R353" i="23" s="1"/>
  <c r="Q355" i="23"/>
  <c r="Q354" i="23" s="1"/>
  <c r="Q353" i="23" s="1"/>
  <c r="P355" i="23"/>
  <c r="P354" i="23" s="1"/>
  <c r="P353" i="23" s="1"/>
  <c r="O355" i="23"/>
  <c r="O354" i="23" s="1"/>
  <c r="O353" i="23" s="1"/>
  <c r="R352" i="23"/>
  <c r="Q352" i="23"/>
  <c r="Q351" i="23" s="1"/>
  <c r="Q350" i="23" s="1"/>
  <c r="P352" i="23"/>
  <c r="O352" i="23"/>
  <c r="R348" i="23"/>
  <c r="Q348" i="23"/>
  <c r="P348" i="23"/>
  <c r="O348" i="23"/>
  <c r="N348" i="23"/>
  <c r="R345" i="23"/>
  <c r="Q345" i="23"/>
  <c r="O345" i="23"/>
  <c r="R342" i="23"/>
  <c r="Q342" i="23"/>
  <c r="P342" i="23"/>
  <c r="O342" i="23"/>
  <c r="N342" i="23"/>
  <c r="R341" i="23"/>
  <c r="Q341" i="23"/>
  <c r="P341" i="23"/>
  <c r="O341" i="23"/>
  <c r="N341" i="23"/>
  <c r="R340" i="23"/>
  <c r="Q340" i="23"/>
  <c r="P340" i="23"/>
  <c r="O340" i="23"/>
  <c r="N340" i="23"/>
  <c r="R339" i="23"/>
  <c r="Q339" i="23"/>
  <c r="P339" i="23"/>
  <c r="O339" i="23"/>
  <c r="N339" i="23"/>
  <c r="R338" i="23"/>
  <c r="Q338" i="23"/>
  <c r="P338" i="23"/>
  <c r="O338" i="23"/>
  <c r="N338" i="23"/>
  <c r="R337" i="23"/>
  <c r="Q337" i="23"/>
  <c r="P337" i="23"/>
  <c r="O337" i="23"/>
  <c r="N337" i="23"/>
  <c r="R336" i="23"/>
  <c r="Q336" i="23"/>
  <c r="P336" i="23"/>
  <c r="O336" i="23"/>
  <c r="N336" i="23"/>
  <c r="R335" i="23"/>
  <c r="Q335" i="23"/>
  <c r="P335" i="23"/>
  <c r="O335" i="23"/>
  <c r="N335" i="23"/>
  <c r="R334" i="23"/>
  <c r="Q334" i="23"/>
  <c r="P334" i="23"/>
  <c r="O334" i="23"/>
  <c r="N334" i="23"/>
  <c r="R333" i="23"/>
  <c r="Q333" i="23"/>
  <c r="P333" i="23"/>
  <c r="O333" i="23"/>
  <c r="N333" i="23"/>
  <c r="R332" i="23"/>
  <c r="Q332" i="23"/>
  <c r="P332" i="23"/>
  <c r="O332" i="23"/>
  <c r="N332" i="23"/>
  <c r="R331" i="23"/>
  <c r="Q331" i="23"/>
  <c r="P331" i="23"/>
  <c r="O331" i="23"/>
  <c r="N331" i="23"/>
  <c r="R330" i="23"/>
  <c r="Q330" i="23"/>
  <c r="P330" i="23"/>
  <c r="O330" i="23"/>
  <c r="N330" i="23"/>
  <c r="R329" i="23"/>
  <c r="Q329" i="23"/>
  <c r="P329" i="23"/>
  <c r="O329" i="23"/>
  <c r="N329" i="23"/>
  <c r="R328" i="23"/>
  <c r="Q328" i="23"/>
  <c r="P328" i="23"/>
  <c r="O328" i="23"/>
  <c r="N328" i="23"/>
  <c r="R327" i="23"/>
  <c r="P327" i="23"/>
  <c r="O327" i="23"/>
  <c r="N327" i="23"/>
  <c r="R326" i="23"/>
  <c r="Q326" i="23"/>
  <c r="P326" i="23"/>
  <c r="O326" i="23"/>
  <c r="N326" i="23"/>
  <c r="R325" i="23"/>
  <c r="Q325" i="23"/>
  <c r="P325" i="23"/>
  <c r="O325" i="23"/>
  <c r="N325" i="23"/>
  <c r="R324" i="23"/>
  <c r="Q324" i="23"/>
  <c r="O324" i="23"/>
  <c r="N324" i="23"/>
  <c r="R322" i="23"/>
  <c r="Q322" i="23"/>
  <c r="P322" i="23"/>
  <c r="O322" i="23"/>
  <c r="N322" i="23"/>
  <c r="R321" i="23"/>
  <c r="Q321" i="23"/>
  <c r="P321" i="23"/>
  <c r="O321" i="23"/>
  <c r="N321" i="23"/>
  <c r="R320" i="23"/>
  <c r="Q320" i="23"/>
  <c r="P320" i="23"/>
  <c r="O320" i="23"/>
  <c r="N320" i="23"/>
  <c r="R319" i="23"/>
  <c r="Q319" i="23"/>
  <c r="P319" i="23"/>
  <c r="O319" i="23"/>
  <c r="N319" i="23"/>
  <c r="R318" i="23"/>
  <c r="Q318" i="23"/>
  <c r="P318" i="23"/>
  <c r="O318" i="23"/>
  <c r="N318" i="23"/>
  <c r="R317" i="23"/>
  <c r="Q317" i="23"/>
  <c r="P317" i="23"/>
  <c r="O317" i="23"/>
  <c r="N317" i="23"/>
  <c r="R316" i="23"/>
  <c r="Q316" i="23"/>
  <c r="O316" i="23"/>
  <c r="N316" i="23"/>
  <c r="R315" i="23"/>
  <c r="P315" i="23"/>
  <c r="O315" i="23"/>
  <c r="R314" i="23"/>
  <c r="Q314" i="23"/>
  <c r="P314" i="23"/>
  <c r="O314" i="23"/>
  <c r="N314" i="23"/>
  <c r="R313" i="23"/>
  <c r="Q313" i="23"/>
  <c r="P313" i="23"/>
  <c r="O313" i="23"/>
  <c r="N313" i="23"/>
  <c r="R312" i="23"/>
  <c r="Q312" i="23"/>
  <c r="P312" i="23"/>
  <c r="O312" i="23"/>
  <c r="N312" i="23"/>
  <c r="R311" i="23"/>
  <c r="Q311" i="23"/>
  <c r="P311" i="23"/>
  <c r="O311" i="23"/>
  <c r="N311" i="23"/>
  <c r="R310" i="23"/>
  <c r="Q310" i="23"/>
  <c r="P310" i="23"/>
  <c r="O310" i="23"/>
  <c r="N310" i="23"/>
  <c r="R309" i="23"/>
  <c r="Q309" i="23"/>
  <c r="P309" i="23"/>
  <c r="O309" i="23"/>
  <c r="N309" i="23"/>
  <c r="R308" i="23"/>
  <c r="Q308" i="23"/>
  <c r="P308" i="23"/>
  <c r="O308" i="23"/>
  <c r="N308" i="23"/>
  <c r="R307" i="23"/>
  <c r="Q307" i="23"/>
  <c r="P307" i="23"/>
  <c r="O307" i="23"/>
  <c r="N307" i="23"/>
  <c r="R306" i="23"/>
  <c r="Q306" i="23"/>
  <c r="P306" i="23"/>
  <c r="O306" i="23"/>
  <c r="N306" i="23"/>
  <c r="R305" i="23"/>
  <c r="Q305" i="23"/>
  <c r="P305" i="23"/>
  <c r="O305" i="23"/>
  <c r="N305" i="23"/>
  <c r="R304" i="23"/>
  <c r="Q304" i="23"/>
  <c r="O304" i="23"/>
  <c r="N304" i="23"/>
  <c r="R303" i="23"/>
  <c r="Q303" i="23"/>
  <c r="P303" i="23"/>
  <c r="O303" i="23"/>
  <c r="N303" i="23"/>
  <c r="R302" i="23"/>
  <c r="Q302" i="23"/>
  <c r="P302" i="23"/>
  <c r="O302" i="23"/>
  <c r="N302" i="23"/>
  <c r="R299" i="23"/>
  <c r="Q299" i="23"/>
  <c r="P299" i="23"/>
  <c r="O299" i="23"/>
  <c r="R298" i="23"/>
  <c r="Q298" i="23"/>
  <c r="P298" i="23"/>
  <c r="O298" i="23"/>
  <c r="N298" i="23"/>
  <c r="R297" i="23"/>
  <c r="Q297" i="23"/>
  <c r="P297" i="23"/>
  <c r="O297" i="23"/>
  <c r="N297" i="23"/>
  <c r="R296" i="23"/>
  <c r="Q296" i="23"/>
  <c r="P296" i="23"/>
  <c r="O296" i="23"/>
  <c r="N296" i="23"/>
  <c r="R295" i="23"/>
  <c r="Q295" i="23"/>
  <c r="P295" i="23"/>
  <c r="O295" i="23"/>
  <c r="N295" i="23"/>
  <c r="R294" i="23"/>
  <c r="Q294" i="23"/>
  <c r="P294" i="23"/>
  <c r="O294" i="23"/>
  <c r="N294" i="23"/>
  <c r="R293" i="23"/>
  <c r="Q293" i="23"/>
  <c r="P293" i="23"/>
  <c r="O293" i="23"/>
  <c r="N293" i="23"/>
  <c r="R292" i="23"/>
  <c r="Q292" i="23"/>
  <c r="P292" i="23"/>
  <c r="O292" i="23"/>
  <c r="N292" i="23"/>
  <c r="R291" i="23"/>
  <c r="Q291" i="23"/>
  <c r="P291" i="23"/>
  <c r="O291" i="23"/>
  <c r="N291" i="23"/>
  <c r="R290" i="23"/>
  <c r="Q290" i="23"/>
  <c r="P290" i="23"/>
  <c r="O290" i="23"/>
  <c r="N290" i="23"/>
  <c r="R289" i="23"/>
  <c r="Q289" i="23"/>
  <c r="P289" i="23"/>
  <c r="O289" i="23"/>
  <c r="N289" i="23"/>
  <c r="R288" i="23"/>
  <c r="Q288" i="23"/>
  <c r="P288" i="23"/>
  <c r="O288" i="23"/>
  <c r="N288" i="23"/>
  <c r="R287" i="23"/>
  <c r="Q287" i="23"/>
  <c r="P287" i="23"/>
  <c r="O287" i="23"/>
  <c r="N287" i="23"/>
  <c r="R286" i="23"/>
  <c r="Q286" i="23"/>
  <c r="P286" i="23"/>
  <c r="O286" i="23"/>
  <c r="N286" i="23"/>
  <c r="R285" i="23"/>
  <c r="Q285" i="23"/>
  <c r="P285" i="23"/>
  <c r="O285" i="23"/>
  <c r="N285" i="23"/>
  <c r="R284" i="23"/>
  <c r="Q284" i="23"/>
  <c r="P284" i="23"/>
  <c r="O284" i="23"/>
  <c r="N284" i="23"/>
  <c r="R283" i="23"/>
  <c r="Q283" i="23"/>
  <c r="P283" i="23"/>
  <c r="O283" i="23"/>
  <c r="N283" i="23"/>
  <c r="R282" i="23"/>
  <c r="Q282" i="23"/>
  <c r="P282" i="23"/>
  <c r="O282" i="23"/>
  <c r="N282" i="23"/>
  <c r="R281" i="23"/>
  <c r="Q281" i="23"/>
  <c r="P281" i="23"/>
  <c r="O281" i="23"/>
  <c r="N281" i="23"/>
  <c r="R280" i="23"/>
  <c r="Q280" i="23"/>
  <c r="P280" i="23"/>
  <c r="O280" i="23"/>
  <c r="N280" i="23"/>
  <c r="R279" i="23"/>
  <c r="Q279" i="23"/>
  <c r="P279" i="23"/>
  <c r="O279" i="23"/>
  <c r="N279" i="23"/>
  <c r="R278" i="23"/>
  <c r="Q278" i="23"/>
  <c r="P278" i="23"/>
  <c r="O278" i="23"/>
  <c r="N278" i="23"/>
  <c r="R277" i="23"/>
  <c r="Q277" i="23"/>
  <c r="P277" i="23"/>
  <c r="O277" i="23"/>
  <c r="N277" i="23"/>
  <c r="R276" i="23"/>
  <c r="Q276" i="23"/>
  <c r="P276" i="23"/>
  <c r="O276" i="23"/>
  <c r="N276" i="23"/>
  <c r="R275" i="23"/>
  <c r="Q275" i="23"/>
  <c r="P275" i="23"/>
  <c r="O275" i="23"/>
  <c r="N275" i="23"/>
  <c r="R274" i="23"/>
  <c r="Q274" i="23"/>
  <c r="P274" i="23"/>
  <c r="O274" i="23"/>
  <c r="N274" i="23"/>
  <c r="R273" i="23"/>
  <c r="Q273" i="23"/>
  <c r="P273" i="23"/>
  <c r="O273" i="23"/>
  <c r="N273" i="23"/>
  <c r="R272" i="23"/>
  <c r="Q272" i="23"/>
  <c r="P272" i="23"/>
  <c r="O272" i="23"/>
  <c r="N272" i="23"/>
  <c r="R271" i="23"/>
  <c r="Q271" i="23"/>
  <c r="P271" i="23"/>
  <c r="O271" i="23"/>
  <c r="N271" i="23"/>
  <c r="R270" i="23"/>
  <c r="Q270" i="23"/>
  <c r="P270" i="23"/>
  <c r="O270" i="23"/>
  <c r="N270" i="23"/>
  <c r="R269" i="23"/>
  <c r="Q269" i="23"/>
  <c r="P269" i="23"/>
  <c r="O269" i="23"/>
  <c r="N269" i="23"/>
  <c r="R268" i="23"/>
  <c r="Q268" i="23"/>
  <c r="P268" i="23"/>
  <c r="O268" i="23"/>
  <c r="N268" i="23"/>
  <c r="R267" i="23"/>
  <c r="Q267" i="23"/>
  <c r="P267" i="23"/>
  <c r="O267" i="23"/>
  <c r="N267" i="23"/>
  <c r="R266" i="23"/>
  <c r="Q266" i="23"/>
  <c r="P266" i="23"/>
  <c r="O266" i="23"/>
  <c r="N266" i="23"/>
  <c r="R265" i="23"/>
  <c r="Q265" i="23"/>
  <c r="P265" i="23"/>
  <c r="O265" i="23"/>
  <c r="N265" i="23"/>
  <c r="R264" i="23"/>
  <c r="Q264" i="23"/>
  <c r="P264" i="23"/>
  <c r="O264" i="23"/>
  <c r="N264" i="23"/>
  <c r="R263" i="23"/>
  <c r="Q263" i="23"/>
  <c r="P263" i="23"/>
  <c r="O263" i="23"/>
  <c r="N263" i="23"/>
  <c r="R262" i="23"/>
  <c r="Q262" i="23"/>
  <c r="P262" i="23"/>
  <c r="O262" i="23"/>
  <c r="N262" i="23"/>
  <c r="R261" i="23"/>
  <c r="Q261" i="23"/>
  <c r="P261" i="23"/>
  <c r="O261" i="23"/>
  <c r="N261" i="23"/>
  <c r="R260" i="23"/>
  <c r="Q260" i="23"/>
  <c r="P260" i="23"/>
  <c r="O260" i="23"/>
  <c r="N260" i="23"/>
  <c r="R259" i="23"/>
  <c r="Q259" i="23"/>
  <c r="P259" i="23"/>
  <c r="O259" i="23"/>
  <c r="N259" i="23"/>
  <c r="R258" i="23"/>
  <c r="P258" i="23"/>
  <c r="O258" i="23"/>
  <c r="Q257" i="23"/>
  <c r="P257" i="23"/>
  <c r="O257" i="23"/>
  <c r="N257" i="23"/>
  <c r="R256" i="23"/>
  <c r="O256" i="23"/>
  <c r="N256" i="23"/>
  <c r="R255" i="23"/>
  <c r="Q255" i="23"/>
  <c r="P255" i="23"/>
  <c r="O255" i="23"/>
  <c r="N255" i="23"/>
  <c r="R254" i="23"/>
  <c r="Q254" i="23"/>
  <c r="P254" i="23"/>
  <c r="O254" i="23"/>
  <c r="N254" i="23"/>
  <c r="R253" i="23"/>
  <c r="Q253" i="23"/>
  <c r="P253" i="23"/>
  <c r="O253" i="23"/>
  <c r="N253" i="23"/>
  <c r="R252" i="23"/>
  <c r="Q252" i="23"/>
  <c r="P252" i="23"/>
  <c r="O252" i="23"/>
  <c r="N252" i="23"/>
  <c r="S251" i="23"/>
  <c r="R250" i="23"/>
  <c r="Q250" i="23"/>
  <c r="P250" i="23"/>
  <c r="O250" i="23"/>
  <c r="N250" i="23"/>
  <c r="R249" i="23"/>
  <c r="Q249" i="23"/>
  <c r="P249" i="23"/>
  <c r="O249" i="23"/>
  <c r="N249" i="23"/>
  <c r="R248" i="23"/>
  <c r="Q248" i="23"/>
  <c r="P248" i="23"/>
  <c r="O248" i="23"/>
  <c r="N248" i="23"/>
  <c r="R247" i="23"/>
  <c r="Q247" i="23"/>
  <c r="P247" i="23"/>
  <c r="O247" i="23"/>
  <c r="N247" i="23"/>
  <c r="R246" i="23"/>
  <c r="Q246" i="23"/>
  <c r="P246" i="23"/>
  <c r="O246" i="23"/>
  <c r="N246" i="23"/>
  <c r="R245" i="23"/>
  <c r="Q245" i="23"/>
  <c r="P245" i="23"/>
  <c r="O245" i="23"/>
  <c r="N245" i="23"/>
  <c r="R244" i="23"/>
  <c r="Q244" i="23"/>
  <c r="P244" i="23"/>
  <c r="O244" i="23"/>
  <c r="N244" i="23"/>
  <c r="R243" i="23"/>
  <c r="Q243" i="23"/>
  <c r="O243" i="23"/>
  <c r="N243" i="23"/>
  <c r="R241" i="23"/>
  <c r="P241" i="23"/>
  <c r="O241" i="23"/>
  <c r="N241" i="23"/>
  <c r="R240" i="23"/>
  <c r="Q240" i="23"/>
  <c r="P240" i="23"/>
  <c r="O240" i="23"/>
  <c r="N240" i="23"/>
  <c r="R239" i="23"/>
  <c r="Q239" i="23"/>
  <c r="P239" i="23"/>
  <c r="O239" i="23"/>
  <c r="N239" i="23"/>
  <c r="R238" i="23"/>
  <c r="Q238" i="23"/>
  <c r="P238" i="23"/>
  <c r="O238" i="23"/>
  <c r="N238" i="23"/>
  <c r="R237" i="23"/>
  <c r="Q237" i="23"/>
  <c r="P237" i="23"/>
  <c r="O237" i="23"/>
  <c r="N237" i="23"/>
  <c r="R236" i="23"/>
  <c r="Q236" i="23"/>
  <c r="P236" i="23"/>
  <c r="O236" i="23"/>
  <c r="N236" i="23"/>
  <c r="R235" i="23"/>
  <c r="Q235" i="23"/>
  <c r="P235" i="23"/>
  <c r="O235" i="23"/>
  <c r="N235" i="23"/>
  <c r="R234" i="23"/>
  <c r="Q234" i="23"/>
  <c r="P234" i="23"/>
  <c r="O234" i="23"/>
  <c r="N234" i="23"/>
  <c r="R233" i="23"/>
  <c r="Q233" i="23"/>
  <c r="P233" i="23"/>
  <c r="O233" i="23"/>
  <c r="N233" i="23"/>
  <c r="R232" i="23"/>
  <c r="Q232" i="23"/>
  <c r="P232" i="23"/>
  <c r="O232" i="23"/>
  <c r="N232" i="23"/>
  <c r="R231" i="23"/>
  <c r="Q231" i="23"/>
  <c r="P231" i="23"/>
  <c r="O231" i="23"/>
  <c r="N231" i="23"/>
  <c r="R230" i="23"/>
  <c r="Q230" i="23"/>
  <c r="P230" i="23"/>
  <c r="O230" i="23"/>
  <c r="N230" i="23"/>
  <c r="R229" i="23"/>
  <c r="Q229" i="23"/>
  <c r="P229" i="23"/>
  <c r="O229" i="23"/>
  <c r="N229" i="23"/>
  <c r="R228" i="23"/>
  <c r="Q228" i="23"/>
  <c r="P228" i="23"/>
  <c r="O228" i="23"/>
  <c r="N228" i="23"/>
  <c r="R227" i="23"/>
  <c r="Q227" i="23"/>
  <c r="P227" i="23"/>
  <c r="O227" i="23"/>
  <c r="N227" i="23"/>
  <c r="R226" i="23"/>
  <c r="Q226" i="23"/>
  <c r="P226" i="23"/>
  <c r="O226" i="23"/>
  <c r="N226" i="23"/>
  <c r="R225" i="23"/>
  <c r="Q225" i="23"/>
  <c r="P225" i="23"/>
  <c r="O225" i="23"/>
  <c r="N225" i="23"/>
  <c r="R224" i="23"/>
  <c r="Q224" i="23"/>
  <c r="P224" i="23"/>
  <c r="O224" i="23"/>
  <c r="N224" i="23"/>
  <c r="R223" i="23"/>
  <c r="Q223" i="23"/>
  <c r="P223" i="23"/>
  <c r="O223" i="23"/>
  <c r="N223" i="23"/>
  <c r="R222" i="23"/>
  <c r="Q222" i="23"/>
  <c r="P222" i="23"/>
  <c r="O222" i="23"/>
  <c r="N222" i="23"/>
  <c r="R221" i="23"/>
  <c r="Q221" i="23"/>
  <c r="P221" i="23"/>
  <c r="O221" i="23"/>
  <c r="N221" i="23"/>
  <c r="R220" i="23"/>
  <c r="Q220" i="23"/>
  <c r="P220" i="23"/>
  <c r="O220" i="23"/>
  <c r="N220" i="23"/>
  <c r="R219" i="23"/>
  <c r="Q219" i="23"/>
  <c r="P219" i="23"/>
  <c r="O219" i="23"/>
  <c r="N219" i="23"/>
  <c r="R218" i="23"/>
  <c r="Q218" i="23"/>
  <c r="P218" i="23"/>
  <c r="O218" i="23"/>
  <c r="N218" i="23"/>
  <c r="R217" i="23"/>
  <c r="Q217" i="23"/>
  <c r="P217" i="23"/>
  <c r="O217" i="23"/>
  <c r="N217" i="23"/>
  <c r="R216" i="23"/>
  <c r="Q216" i="23"/>
  <c r="P216" i="23"/>
  <c r="O216" i="23"/>
  <c r="N216" i="23"/>
  <c r="R215" i="23"/>
  <c r="Q215" i="23"/>
  <c r="P215" i="23"/>
  <c r="O215" i="23"/>
  <c r="N215" i="23"/>
  <c r="R214" i="23"/>
  <c r="Q214" i="23"/>
  <c r="P214" i="23"/>
  <c r="O214" i="23"/>
  <c r="N214" i="23"/>
  <c r="R213" i="23"/>
  <c r="Q213" i="23"/>
  <c r="P213" i="23"/>
  <c r="O213" i="23"/>
  <c r="N213" i="23"/>
  <c r="R212" i="23"/>
  <c r="Q212" i="23"/>
  <c r="P212" i="23"/>
  <c r="O212" i="23"/>
  <c r="N212" i="23"/>
  <c r="R211" i="23"/>
  <c r="Q211" i="23"/>
  <c r="P211" i="23"/>
  <c r="O211" i="23"/>
  <c r="N211" i="23"/>
  <c r="R210" i="23"/>
  <c r="Q210" i="23"/>
  <c r="P210" i="23"/>
  <c r="O210" i="23"/>
  <c r="N210" i="23"/>
  <c r="R209" i="23"/>
  <c r="Q209" i="23"/>
  <c r="P209" i="23"/>
  <c r="O209" i="23"/>
  <c r="N209" i="23"/>
  <c r="R208" i="23"/>
  <c r="Q208" i="23"/>
  <c r="P208" i="23"/>
  <c r="O208" i="23"/>
  <c r="N208" i="23"/>
  <c r="R207" i="23"/>
  <c r="Q207" i="23"/>
  <c r="P207" i="23"/>
  <c r="O207" i="23"/>
  <c r="N207" i="23"/>
  <c r="R206" i="23"/>
  <c r="Q206" i="23"/>
  <c r="P206" i="23"/>
  <c r="O206" i="23"/>
  <c r="N206" i="23"/>
  <c r="R205" i="23"/>
  <c r="Q205" i="23"/>
  <c r="P205" i="23"/>
  <c r="O205" i="23"/>
  <c r="N205" i="23"/>
  <c r="R204" i="23"/>
  <c r="Q204" i="23"/>
  <c r="P204" i="23"/>
  <c r="O204" i="23"/>
  <c r="N204" i="23"/>
  <c r="R203" i="23"/>
  <c r="Q203" i="23"/>
  <c r="P203" i="23"/>
  <c r="O203" i="23"/>
  <c r="N203" i="23"/>
  <c r="R202" i="23"/>
  <c r="Q202" i="23"/>
  <c r="P202" i="23"/>
  <c r="O202" i="23"/>
  <c r="N202" i="23"/>
  <c r="R201" i="23"/>
  <c r="Q201" i="23"/>
  <c r="P201" i="23"/>
  <c r="O201" i="23"/>
  <c r="N201" i="23"/>
  <c r="R200" i="23"/>
  <c r="Q200" i="23"/>
  <c r="P200" i="23"/>
  <c r="O200" i="23"/>
  <c r="R199" i="23"/>
  <c r="Q199" i="23"/>
  <c r="P199" i="23"/>
  <c r="O199" i="23"/>
  <c r="N199" i="23"/>
  <c r="R198" i="23"/>
  <c r="Q198" i="23"/>
  <c r="P198" i="23"/>
  <c r="O198" i="23"/>
  <c r="N198" i="23"/>
  <c r="R197" i="23"/>
  <c r="Q197" i="23"/>
  <c r="P197" i="23"/>
  <c r="O197" i="23"/>
  <c r="N197" i="23"/>
  <c r="R196" i="23"/>
  <c r="Q196" i="23"/>
  <c r="P196" i="23"/>
  <c r="O196" i="23"/>
  <c r="N196" i="23"/>
  <c r="R195" i="23"/>
  <c r="Q195" i="23"/>
  <c r="P195" i="23"/>
  <c r="O195" i="23"/>
  <c r="N195" i="23"/>
  <c r="R194" i="23"/>
  <c r="Q194" i="23"/>
  <c r="P194" i="23"/>
  <c r="O194" i="23"/>
  <c r="N194" i="23"/>
  <c r="R193" i="23"/>
  <c r="Q193" i="23"/>
  <c r="P193" i="23"/>
  <c r="O193" i="23"/>
  <c r="N193" i="23"/>
  <c r="R192" i="23"/>
  <c r="Q192" i="23"/>
  <c r="P192" i="23"/>
  <c r="O192" i="23"/>
  <c r="N192" i="23"/>
  <c r="R191" i="23"/>
  <c r="Q191" i="23"/>
  <c r="P191" i="23"/>
  <c r="O191" i="23"/>
  <c r="N191" i="23"/>
  <c r="R190" i="23"/>
  <c r="Q190" i="23"/>
  <c r="P190" i="23"/>
  <c r="O190" i="23"/>
  <c r="N190" i="23"/>
  <c r="R189" i="23"/>
  <c r="Q189" i="23"/>
  <c r="P189" i="23"/>
  <c r="O189" i="23"/>
  <c r="N189" i="23"/>
  <c r="R188" i="23"/>
  <c r="Q188" i="23"/>
  <c r="P188" i="23"/>
  <c r="O188" i="23"/>
  <c r="N188" i="23"/>
  <c r="R187" i="23"/>
  <c r="Q187" i="23"/>
  <c r="P187" i="23"/>
  <c r="O187" i="23"/>
  <c r="N187" i="23"/>
  <c r="R186" i="23"/>
  <c r="Q186" i="23"/>
  <c r="P186" i="23"/>
  <c r="O186" i="23"/>
  <c r="N186" i="23"/>
  <c r="R185" i="23"/>
  <c r="Q185" i="23"/>
  <c r="O185" i="23"/>
  <c r="N185" i="23"/>
  <c r="Q182" i="23"/>
  <c r="P182" i="23"/>
  <c r="O182" i="23"/>
  <c r="N182" i="23"/>
  <c r="Q181" i="23"/>
  <c r="P181" i="23"/>
  <c r="O181" i="23"/>
  <c r="N181" i="23"/>
  <c r="R180" i="23"/>
  <c r="Q180" i="23"/>
  <c r="O180" i="23"/>
  <c r="N180" i="23"/>
  <c r="R179" i="23"/>
  <c r="Q179" i="23"/>
  <c r="O179" i="23"/>
  <c r="N179" i="23"/>
  <c r="R178" i="23"/>
  <c r="Q178" i="23"/>
  <c r="P178" i="23"/>
  <c r="O178" i="23"/>
  <c r="N178" i="23"/>
  <c r="R176" i="23"/>
  <c r="Q176" i="23"/>
  <c r="P176" i="23"/>
  <c r="O176" i="23"/>
  <c r="N176" i="23"/>
  <c r="R175" i="23"/>
  <c r="Q175" i="23"/>
  <c r="O175" i="23"/>
  <c r="N175" i="23"/>
  <c r="R174" i="23"/>
  <c r="Q174" i="23"/>
  <c r="P174" i="23"/>
  <c r="O174" i="23"/>
  <c r="N174" i="23"/>
  <c r="R173" i="23"/>
  <c r="Q173" i="23"/>
  <c r="P173" i="23"/>
  <c r="O173" i="23"/>
  <c r="N173" i="23"/>
  <c r="R172" i="23"/>
  <c r="Q172" i="23"/>
  <c r="P172" i="23"/>
  <c r="O172" i="23"/>
  <c r="N172" i="23"/>
  <c r="R171" i="23"/>
  <c r="Q171" i="23"/>
  <c r="P171" i="23"/>
  <c r="O171" i="23"/>
  <c r="N171" i="23"/>
  <c r="R170" i="23"/>
  <c r="Q170" i="23"/>
  <c r="P170" i="23"/>
  <c r="O170" i="23"/>
  <c r="N170" i="23"/>
  <c r="R169" i="23"/>
  <c r="Q169" i="23"/>
  <c r="P169" i="23"/>
  <c r="O169" i="23"/>
  <c r="N169" i="23"/>
  <c r="R168" i="23"/>
  <c r="Q168" i="23"/>
  <c r="P168" i="23"/>
  <c r="O168" i="23"/>
  <c r="N168" i="23"/>
  <c r="R167" i="23"/>
  <c r="Q167" i="23"/>
  <c r="P167" i="23"/>
  <c r="O167" i="23"/>
  <c r="N167" i="23"/>
  <c r="R166" i="23"/>
  <c r="Q166" i="23"/>
  <c r="P166" i="23"/>
  <c r="O166" i="23"/>
  <c r="N166" i="23"/>
  <c r="R165" i="23"/>
  <c r="Q165" i="23"/>
  <c r="P165" i="23"/>
  <c r="O165" i="23"/>
  <c r="N165" i="23"/>
  <c r="R164" i="23"/>
  <c r="Q164" i="23"/>
  <c r="P164" i="23"/>
  <c r="O164" i="23"/>
  <c r="N164" i="23"/>
  <c r="R163" i="23"/>
  <c r="Q163" i="23"/>
  <c r="P163" i="23"/>
  <c r="O163" i="23"/>
  <c r="N163" i="23"/>
  <c r="R162" i="23"/>
  <c r="Q162" i="23"/>
  <c r="P162" i="23"/>
  <c r="O162" i="23"/>
  <c r="N162" i="23"/>
  <c r="R161" i="23"/>
  <c r="Q161" i="23"/>
  <c r="P161" i="23"/>
  <c r="O161" i="23"/>
  <c r="N161" i="23"/>
  <c r="R160" i="23"/>
  <c r="Q160" i="23"/>
  <c r="P160" i="23"/>
  <c r="O160" i="23"/>
  <c r="N160" i="23"/>
  <c r="R159" i="23"/>
  <c r="Q159" i="23"/>
  <c r="P159" i="23"/>
  <c r="O159" i="23"/>
  <c r="N159" i="23"/>
  <c r="R158" i="23"/>
  <c r="Q158" i="23"/>
  <c r="P158" i="23"/>
  <c r="O158" i="23"/>
  <c r="N158" i="23"/>
  <c r="R157" i="23"/>
  <c r="Q157" i="23"/>
  <c r="P157" i="23"/>
  <c r="O157" i="23"/>
  <c r="N157" i="23"/>
  <c r="R156" i="23"/>
  <c r="Q156" i="23"/>
  <c r="P156" i="23"/>
  <c r="O156" i="23"/>
  <c r="N156" i="23"/>
  <c r="R155" i="23"/>
  <c r="Q155" i="23"/>
  <c r="P155" i="23"/>
  <c r="O155" i="23"/>
  <c r="N155" i="23"/>
  <c r="R154" i="23"/>
  <c r="Q154" i="23"/>
  <c r="P154" i="23"/>
  <c r="O154" i="23"/>
  <c r="N154" i="23"/>
  <c r="R153" i="23"/>
  <c r="Q153" i="23"/>
  <c r="P153" i="23"/>
  <c r="O153" i="23"/>
  <c r="N153" i="23"/>
  <c r="Q152" i="23"/>
  <c r="P152" i="23"/>
  <c r="O152" i="23"/>
  <c r="N152" i="23"/>
  <c r="R151" i="23"/>
  <c r="Q151" i="23"/>
  <c r="O151" i="23"/>
  <c r="N151" i="23"/>
  <c r="R150" i="23"/>
  <c r="Q150" i="23"/>
  <c r="O150" i="23"/>
  <c r="N150" i="23"/>
  <c r="R149" i="23"/>
  <c r="Q149" i="23"/>
  <c r="P149" i="23"/>
  <c r="O149" i="23"/>
  <c r="N149" i="23"/>
  <c r="R148" i="23"/>
  <c r="Q148" i="23"/>
  <c r="P148" i="23"/>
  <c r="O148" i="23"/>
  <c r="N148" i="23"/>
  <c r="R147" i="23"/>
  <c r="Q147" i="23"/>
  <c r="O147" i="23"/>
  <c r="N147" i="23"/>
  <c r="R146" i="23"/>
  <c r="Q146" i="23"/>
  <c r="O146" i="23"/>
  <c r="N146" i="23"/>
  <c r="R145" i="23"/>
  <c r="Q145" i="23"/>
  <c r="P145" i="23"/>
  <c r="O145" i="23"/>
  <c r="N145" i="23"/>
  <c r="R144" i="23"/>
  <c r="Q144" i="23"/>
  <c r="P144" i="23"/>
  <c r="O144" i="23"/>
  <c r="N144" i="23"/>
  <c r="Q143" i="23"/>
  <c r="P143" i="23"/>
  <c r="O143" i="23"/>
  <c r="N143" i="23"/>
  <c r="R142" i="23"/>
  <c r="Q142" i="23"/>
  <c r="P142" i="23"/>
  <c r="O142" i="23"/>
  <c r="N142" i="23"/>
  <c r="R141" i="23"/>
  <c r="Q141" i="23"/>
  <c r="P141" i="23"/>
  <c r="O141" i="23"/>
  <c r="N141" i="23"/>
  <c r="R140" i="23"/>
  <c r="Q140" i="23"/>
  <c r="P140" i="23"/>
  <c r="O140" i="23"/>
  <c r="N140" i="23"/>
  <c r="R139" i="23"/>
  <c r="Q139" i="23"/>
  <c r="P139" i="23"/>
  <c r="O139" i="23"/>
  <c r="N139" i="23"/>
  <c r="R138" i="23"/>
  <c r="Q138" i="23"/>
  <c r="P138" i="23"/>
  <c r="O138" i="23"/>
  <c r="N138" i="23"/>
  <c r="R137" i="23"/>
  <c r="Q137" i="23"/>
  <c r="P137" i="23"/>
  <c r="N137" i="23"/>
  <c r="Q136" i="23"/>
  <c r="P136" i="23"/>
  <c r="O136" i="23"/>
  <c r="N136" i="23"/>
  <c r="R135" i="23"/>
  <c r="Q135" i="23"/>
  <c r="P135" i="23"/>
  <c r="O135" i="23"/>
  <c r="N135" i="23"/>
  <c r="R134" i="23"/>
  <c r="Q134" i="23"/>
  <c r="P134" i="23"/>
  <c r="O134" i="23"/>
  <c r="N134" i="23"/>
  <c r="R133" i="23"/>
  <c r="Q133" i="23"/>
  <c r="P133" i="23"/>
  <c r="O133" i="23"/>
  <c r="N133" i="23"/>
  <c r="R132" i="23"/>
  <c r="Q132" i="23"/>
  <c r="P132" i="23"/>
  <c r="O132" i="23"/>
  <c r="N132" i="23"/>
  <c r="R131" i="23"/>
  <c r="Q131" i="23"/>
  <c r="O131" i="23"/>
  <c r="N131" i="23"/>
  <c r="R130" i="23"/>
  <c r="Q130" i="23"/>
  <c r="O130" i="23"/>
  <c r="N130" i="23"/>
  <c r="Q129" i="23"/>
  <c r="O129" i="23"/>
  <c r="N129" i="23"/>
  <c r="Q128" i="23"/>
  <c r="O128" i="23"/>
  <c r="N128" i="23"/>
  <c r="R126" i="23"/>
  <c r="Q126" i="23"/>
  <c r="P126" i="23"/>
  <c r="O126" i="23"/>
  <c r="N126" i="23"/>
  <c r="R124" i="23"/>
  <c r="Q124" i="23"/>
  <c r="P124" i="23"/>
  <c r="O124" i="23"/>
  <c r="N124" i="23"/>
  <c r="R123" i="23"/>
  <c r="Q123" i="23"/>
  <c r="P123" i="23"/>
  <c r="O123" i="23"/>
  <c r="N123" i="23"/>
  <c r="R122" i="23"/>
  <c r="Q122" i="23"/>
  <c r="P122" i="23"/>
  <c r="O122" i="23"/>
  <c r="N122" i="23"/>
  <c r="R121" i="23"/>
  <c r="Q121" i="23"/>
  <c r="P121" i="23"/>
  <c r="O121" i="23"/>
  <c r="N121" i="23"/>
  <c r="R120" i="23"/>
  <c r="Q120" i="23"/>
  <c r="P120" i="23"/>
  <c r="O120" i="23"/>
  <c r="N120" i="23"/>
  <c r="R119" i="23"/>
  <c r="Q119" i="23"/>
  <c r="P119" i="23"/>
  <c r="O119" i="23"/>
  <c r="N119" i="23"/>
  <c r="R118" i="23"/>
  <c r="Q118" i="23"/>
  <c r="P118" i="23"/>
  <c r="O118" i="23"/>
  <c r="N118" i="23"/>
  <c r="R117" i="23"/>
  <c r="Q117" i="23"/>
  <c r="P117" i="23"/>
  <c r="O117" i="23"/>
  <c r="N117" i="23"/>
  <c r="R116" i="23"/>
  <c r="Q116" i="23"/>
  <c r="P116" i="23"/>
  <c r="O116" i="23"/>
  <c r="N116" i="23"/>
  <c r="R115" i="23"/>
  <c r="Q115" i="23"/>
  <c r="P115" i="23"/>
  <c r="O115" i="23"/>
  <c r="N115" i="23"/>
  <c r="R114" i="23"/>
  <c r="Q114" i="23"/>
  <c r="P114" i="23"/>
  <c r="O114" i="23"/>
  <c r="N114" i="23"/>
  <c r="R113" i="23"/>
  <c r="Q113" i="23"/>
  <c r="P113" i="23"/>
  <c r="O113" i="23"/>
  <c r="N113" i="23"/>
  <c r="R112" i="23"/>
  <c r="Q112" i="23"/>
  <c r="P112" i="23"/>
  <c r="O112" i="23"/>
  <c r="N112" i="23"/>
  <c r="R111" i="23"/>
  <c r="Q111" i="23"/>
  <c r="O111" i="23"/>
  <c r="N111" i="23"/>
  <c r="R110" i="23"/>
  <c r="Q110" i="23"/>
  <c r="P110" i="23"/>
  <c r="O110" i="23"/>
  <c r="N110" i="23"/>
  <c r="R109" i="23"/>
  <c r="Q109" i="23"/>
  <c r="P109" i="23"/>
  <c r="O109" i="23"/>
  <c r="N109" i="23"/>
  <c r="R108" i="23"/>
  <c r="Q108" i="23"/>
  <c r="P108" i="23"/>
  <c r="O108" i="23"/>
  <c r="N108" i="23"/>
  <c r="R107" i="23"/>
  <c r="Q107" i="23"/>
  <c r="P107" i="23"/>
  <c r="O107" i="23"/>
  <c r="N107" i="23"/>
  <c r="R106" i="23"/>
  <c r="Q106" i="23"/>
  <c r="P106" i="23"/>
  <c r="O106" i="23"/>
  <c r="N106" i="23"/>
  <c r="R105" i="23"/>
  <c r="Q105" i="23"/>
  <c r="P105" i="23"/>
  <c r="O105" i="23"/>
  <c r="N105" i="23"/>
  <c r="R104" i="23"/>
  <c r="Q104" i="23"/>
  <c r="P104" i="23"/>
  <c r="O104" i="23"/>
  <c r="N104" i="23"/>
  <c r="R103" i="23"/>
  <c r="Q103" i="23"/>
  <c r="P103" i="23"/>
  <c r="O103" i="23"/>
  <c r="N103" i="23"/>
  <c r="R102" i="23"/>
  <c r="Q102" i="23"/>
  <c r="P102" i="23"/>
  <c r="O102" i="23"/>
  <c r="N102" i="23"/>
  <c r="R101" i="23"/>
  <c r="Q101" i="23"/>
  <c r="P101" i="23"/>
  <c r="O101" i="23"/>
  <c r="N101" i="23"/>
  <c r="R100" i="23"/>
  <c r="Q100" i="23"/>
  <c r="P100" i="23"/>
  <c r="O100" i="23"/>
  <c r="N100" i="23"/>
  <c r="R99" i="23"/>
  <c r="Q99" i="23"/>
  <c r="P99" i="23"/>
  <c r="O99" i="23"/>
  <c r="N99" i="23"/>
  <c r="R98" i="23"/>
  <c r="Q98" i="23"/>
  <c r="P98" i="23"/>
  <c r="O98" i="23"/>
  <c r="N98" i="23"/>
  <c r="R97" i="23"/>
  <c r="Q97" i="23"/>
  <c r="P97" i="23"/>
  <c r="O97" i="23"/>
  <c r="N97" i="23"/>
  <c r="R96" i="23"/>
  <c r="Q96" i="23"/>
  <c r="P96" i="23"/>
  <c r="O96" i="23"/>
  <c r="N96" i="23"/>
  <c r="R95" i="23"/>
  <c r="Q95" i="23"/>
  <c r="P95" i="23"/>
  <c r="O95" i="23"/>
  <c r="N95" i="23"/>
  <c r="R94" i="23"/>
  <c r="Q94" i="23"/>
  <c r="P94" i="23"/>
  <c r="O94" i="23"/>
  <c r="N94" i="23"/>
  <c r="R93" i="23"/>
  <c r="Q93" i="23"/>
  <c r="P93" i="23"/>
  <c r="O93" i="23"/>
  <c r="N93" i="23"/>
  <c r="R92" i="23"/>
  <c r="Q92" i="23"/>
  <c r="P92" i="23"/>
  <c r="O92" i="23"/>
  <c r="N92" i="23"/>
  <c r="R91" i="23"/>
  <c r="Q91" i="23"/>
  <c r="P91" i="23"/>
  <c r="O91" i="23"/>
  <c r="N91" i="23"/>
  <c r="R90" i="23"/>
  <c r="Q90" i="23"/>
  <c r="P90" i="23"/>
  <c r="O90" i="23"/>
  <c r="N90" i="23"/>
  <c r="R89" i="23"/>
  <c r="Q89" i="23"/>
  <c r="P89" i="23"/>
  <c r="O89" i="23"/>
  <c r="N89" i="23"/>
  <c r="R88" i="23"/>
  <c r="Q88" i="23"/>
  <c r="P88" i="23"/>
  <c r="O88" i="23"/>
  <c r="N88" i="23"/>
  <c r="R87" i="23"/>
  <c r="Q87" i="23"/>
  <c r="P87" i="23"/>
  <c r="O87" i="23"/>
  <c r="N87" i="23"/>
  <c r="R86" i="23"/>
  <c r="Q86" i="23"/>
  <c r="P86" i="23"/>
  <c r="O86" i="23"/>
  <c r="N86" i="23"/>
  <c r="R85" i="23"/>
  <c r="Q85" i="23"/>
  <c r="P85" i="23"/>
  <c r="O85" i="23"/>
  <c r="N85" i="23"/>
  <c r="R84" i="23"/>
  <c r="Q84" i="23"/>
  <c r="P84" i="23"/>
  <c r="O84" i="23"/>
  <c r="N84" i="23"/>
  <c r="R83" i="23"/>
  <c r="Q83" i="23"/>
  <c r="P83" i="23"/>
  <c r="N83" i="23"/>
  <c r="R82" i="23"/>
  <c r="Q82" i="23"/>
  <c r="P82" i="23"/>
  <c r="N82" i="23"/>
  <c r="P81" i="23"/>
  <c r="N81" i="23"/>
  <c r="R80" i="23"/>
  <c r="Q80" i="23"/>
  <c r="P80" i="23"/>
  <c r="O80" i="23"/>
  <c r="N80" i="23"/>
  <c r="R79" i="23"/>
  <c r="Q79" i="23"/>
  <c r="P79" i="23"/>
  <c r="O79" i="23"/>
  <c r="N79" i="23"/>
  <c r="R78" i="23"/>
  <c r="Q78" i="23"/>
  <c r="P78" i="23"/>
  <c r="O78" i="23"/>
  <c r="N78" i="23"/>
  <c r="R77" i="23"/>
  <c r="Q77" i="23"/>
  <c r="P77" i="23"/>
  <c r="O77" i="23"/>
  <c r="N77" i="23"/>
  <c r="R76" i="23"/>
  <c r="Q76" i="23"/>
  <c r="P76" i="23"/>
  <c r="O76" i="23"/>
  <c r="N76" i="23"/>
  <c r="R74" i="23"/>
  <c r="Q74" i="23"/>
  <c r="P74" i="23"/>
  <c r="O74" i="23"/>
  <c r="N74" i="23"/>
  <c r="Q73" i="23"/>
  <c r="P73" i="23"/>
  <c r="O73" i="23"/>
  <c r="N73" i="23"/>
  <c r="R72" i="23"/>
  <c r="Q72" i="23"/>
  <c r="P72" i="23"/>
  <c r="O72" i="23"/>
  <c r="N72" i="23"/>
  <c r="R71" i="23"/>
  <c r="Q71" i="23"/>
  <c r="P71" i="23"/>
  <c r="O71" i="23"/>
  <c r="N71" i="23"/>
  <c r="R70" i="23"/>
  <c r="Q70" i="23"/>
  <c r="P70" i="23"/>
  <c r="O70" i="23"/>
  <c r="N70" i="23"/>
  <c r="R69" i="23"/>
  <c r="Q69" i="23"/>
  <c r="P69" i="23"/>
  <c r="O69" i="23"/>
  <c r="N69" i="23"/>
  <c r="R68" i="23"/>
  <c r="Q68" i="23"/>
  <c r="P68" i="23"/>
  <c r="O68" i="23"/>
  <c r="N68" i="23"/>
  <c r="R67" i="23"/>
  <c r="Q67" i="23"/>
  <c r="P67" i="23"/>
  <c r="O67" i="23"/>
  <c r="N67" i="23"/>
  <c r="R66" i="23"/>
  <c r="Q66" i="23"/>
  <c r="P66" i="23"/>
  <c r="O66" i="23"/>
  <c r="N66" i="23"/>
  <c r="R65" i="23"/>
  <c r="Q65" i="23"/>
  <c r="P65" i="23"/>
  <c r="O65" i="23"/>
  <c r="N65" i="23"/>
  <c r="R64" i="23"/>
  <c r="Q64" i="23"/>
  <c r="P64" i="23"/>
  <c r="O64" i="23"/>
  <c r="N64" i="23"/>
  <c r="R63" i="23"/>
  <c r="Q63" i="23"/>
  <c r="P63" i="23"/>
  <c r="N63" i="23"/>
  <c r="R62" i="23"/>
  <c r="Q62" i="23"/>
  <c r="O62" i="23"/>
  <c r="N62" i="23"/>
  <c r="R61" i="23"/>
  <c r="Q61" i="23"/>
  <c r="P61" i="23"/>
  <c r="O61" i="23"/>
  <c r="N61" i="23"/>
  <c r="R60" i="23"/>
  <c r="Q60" i="23"/>
  <c r="P60" i="23"/>
  <c r="O60" i="23"/>
  <c r="N60" i="23"/>
  <c r="R59" i="23"/>
  <c r="Q59" i="23"/>
  <c r="P59" i="23"/>
  <c r="O59" i="23"/>
  <c r="N59" i="23"/>
  <c r="R58" i="23"/>
  <c r="Q58" i="23"/>
  <c r="P58" i="23"/>
  <c r="O58" i="23"/>
  <c r="N58" i="23"/>
  <c r="R57" i="23"/>
  <c r="Q57" i="23"/>
  <c r="P57" i="23"/>
  <c r="O57" i="23"/>
  <c r="N57" i="23"/>
  <c r="R56" i="23"/>
  <c r="Q56" i="23"/>
  <c r="P56" i="23"/>
  <c r="O56" i="23"/>
  <c r="N56" i="23"/>
  <c r="R55" i="23"/>
  <c r="Q55" i="23"/>
  <c r="P55" i="23"/>
  <c r="O55" i="23"/>
  <c r="N55" i="23"/>
  <c r="R54" i="23"/>
  <c r="Q54" i="23"/>
  <c r="P54" i="23"/>
  <c r="O54" i="23"/>
  <c r="N54" i="23"/>
  <c r="R53" i="23"/>
  <c r="Q53" i="23"/>
  <c r="P53" i="23"/>
  <c r="O53" i="23"/>
  <c r="N53" i="23"/>
  <c r="R52" i="23"/>
  <c r="Q52" i="23"/>
  <c r="P52" i="23"/>
  <c r="O52" i="23"/>
  <c r="N52" i="23"/>
  <c r="R51" i="23"/>
  <c r="Q51" i="23"/>
  <c r="P51" i="23"/>
  <c r="O51" i="23"/>
  <c r="N51" i="23"/>
  <c r="R50" i="23"/>
  <c r="Q50" i="23"/>
  <c r="P50" i="23"/>
  <c r="O50" i="23"/>
  <c r="N50" i="23"/>
  <c r="R49" i="23"/>
  <c r="Q49" i="23"/>
  <c r="P49" i="23"/>
  <c r="O49" i="23"/>
  <c r="N49" i="23"/>
  <c r="R48" i="23"/>
  <c r="Q48" i="23"/>
  <c r="P48" i="23"/>
  <c r="O48" i="23"/>
  <c r="N48" i="23"/>
  <c r="R47" i="23"/>
  <c r="Q47" i="23"/>
  <c r="O47" i="23"/>
  <c r="N47" i="23"/>
  <c r="R46" i="23"/>
  <c r="Q46" i="23"/>
  <c r="P46" i="23"/>
  <c r="O46" i="23"/>
  <c r="N46" i="23"/>
  <c r="R45" i="23"/>
  <c r="Q45" i="23"/>
  <c r="P45" i="23"/>
  <c r="O45" i="23"/>
  <c r="N45" i="23"/>
  <c r="R44" i="23"/>
  <c r="Q44" i="23"/>
  <c r="P44" i="23"/>
  <c r="O44" i="23"/>
  <c r="N44" i="23"/>
  <c r="R43" i="23"/>
  <c r="Q43" i="23"/>
  <c r="P43" i="23"/>
  <c r="O43" i="23"/>
  <c r="N43" i="23"/>
  <c r="R42" i="23"/>
  <c r="Q42" i="23"/>
  <c r="P42" i="23"/>
  <c r="O42" i="23"/>
  <c r="N42" i="23"/>
  <c r="R41" i="23"/>
  <c r="Q41" i="23"/>
  <c r="P41" i="23"/>
  <c r="O41" i="23"/>
  <c r="N41" i="23"/>
  <c r="R40" i="23"/>
  <c r="Q40" i="23"/>
  <c r="P40" i="23"/>
  <c r="O40" i="23"/>
  <c r="N40" i="23"/>
  <c r="R39" i="23"/>
  <c r="Q39" i="23"/>
  <c r="P39" i="23"/>
  <c r="O39" i="23"/>
  <c r="N39" i="23"/>
  <c r="R38" i="23"/>
  <c r="Q38" i="23"/>
  <c r="P38" i="23"/>
  <c r="O38" i="23"/>
  <c r="N38" i="23"/>
  <c r="R37" i="23"/>
  <c r="Q37" i="23"/>
  <c r="P37" i="23"/>
  <c r="O37" i="23"/>
  <c r="N37" i="23"/>
  <c r="R36" i="23"/>
  <c r="Q36" i="23"/>
  <c r="P36" i="23"/>
  <c r="O36" i="23"/>
  <c r="N36" i="23"/>
  <c r="R35" i="23"/>
  <c r="Q35" i="23"/>
  <c r="P35" i="23"/>
  <c r="O35" i="23"/>
  <c r="N35" i="23"/>
  <c r="R34" i="23"/>
  <c r="Q34" i="23"/>
  <c r="P34" i="23"/>
  <c r="N34" i="23"/>
  <c r="R33" i="23"/>
  <c r="Q33" i="23"/>
  <c r="P33" i="23"/>
  <c r="O33" i="23"/>
  <c r="N33" i="23"/>
  <c r="R32" i="23"/>
  <c r="Q32" i="23"/>
  <c r="P32" i="23"/>
  <c r="O32" i="23"/>
  <c r="N32" i="23"/>
  <c r="R31" i="23"/>
  <c r="Q31" i="23"/>
  <c r="P31" i="23"/>
  <c r="O31" i="23"/>
  <c r="N31" i="23"/>
  <c r="R30" i="23"/>
  <c r="Q30" i="23"/>
  <c r="P30" i="23"/>
  <c r="O30" i="23"/>
  <c r="N30" i="23"/>
  <c r="R29" i="23"/>
  <c r="Q29" i="23"/>
  <c r="P29" i="23"/>
  <c r="O29" i="23"/>
  <c r="N29" i="23"/>
  <c r="R28" i="23"/>
  <c r="Q28" i="23"/>
  <c r="P28" i="23"/>
  <c r="O28" i="23"/>
  <c r="N28" i="23"/>
  <c r="R27" i="23"/>
  <c r="Q27" i="23"/>
  <c r="P27" i="23"/>
  <c r="O27" i="23"/>
  <c r="N27" i="23"/>
  <c r="R26" i="23"/>
  <c r="Q26" i="23"/>
  <c r="P26" i="23"/>
  <c r="O26" i="23"/>
  <c r="N26" i="23"/>
  <c r="R25" i="23"/>
  <c r="Q25" i="23"/>
  <c r="P25" i="23"/>
  <c r="O25" i="23"/>
  <c r="N25" i="23"/>
  <c r="R24" i="23"/>
  <c r="Q24" i="23"/>
  <c r="P24" i="23"/>
  <c r="O24" i="23"/>
  <c r="N24" i="23"/>
  <c r="Q23" i="23"/>
  <c r="P23" i="23"/>
  <c r="N23" i="23"/>
  <c r="R22" i="23"/>
  <c r="Q22" i="23"/>
  <c r="P22" i="23"/>
  <c r="N22" i="23"/>
  <c r="Q21" i="23"/>
  <c r="P21" i="23"/>
  <c r="N21" i="23"/>
  <c r="R20" i="23"/>
  <c r="Q20" i="23"/>
  <c r="P20" i="23"/>
  <c r="O20" i="23"/>
  <c r="N20" i="23"/>
  <c r="R19" i="23"/>
  <c r="Q19" i="23"/>
  <c r="P19" i="23"/>
  <c r="O19" i="23"/>
  <c r="N19" i="23"/>
  <c r="R18" i="23"/>
  <c r="Q18" i="23"/>
  <c r="P18" i="23"/>
  <c r="O18" i="23"/>
  <c r="N18" i="23"/>
  <c r="R17" i="23"/>
  <c r="Q17" i="23"/>
  <c r="P17" i="23"/>
  <c r="O17" i="23"/>
  <c r="N17" i="23"/>
  <c r="R16" i="23"/>
  <c r="Q16" i="23"/>
  <c r="P16" i="23"/>
  <c r="O16" i="23"/>
  <c r="N16" i="23"/>
  <c r="Q15" i="23"/>
  <c r="P15" i="23"/>
  <c r="N15" i="23"/>
  <c r="R14" i="23"/>
  <c r="Q14" i="23"/>
  <c r="P14" i="23"/>
  <c r="O14" i="23"/>
  <c r="N14" i="23"/>
  <c r="R13" i="23"/>
  <c r="Q13" i="23"/>
  <c r="P13" i="23"/>
  <c r="N13" i="23"/>
  <c r="R11" i="23"/>
  <c r="Q11" i="23"/>
  <c r="P11" i="23"/>
  <c r="N11" i="23"/>
  <c r="N9" i="23"/>
  <c r="H30" i="38"/>
  <c r="I26" i="38"/>
  <c r="H26" i="38"/>
  <c r="I16" i="38"/>
  <c r="H16" i="38"/>
  <c r="I11" i="38"/>
  <c r="H11" i="38"/>
  <c r="I8" i="38"/>
  <c r="H8" i="38"/>
  <c r="L129" i="3"/>
  <c r="U126" i="3"/>
  <c r="S126" i="3"/>
  <c r="U123" i="3"/>
  <c r="S123" i="3"/>
  <c r="P123" i="3"/>
  <c r="U122" i="3"/>
  <c r="S122" i="3"/>
  <c r="U120" i="3"/>
  <c r="S120" i="3"/>
  <c r="U119" i="3"/>
  <c r="S119" i="3"/>
  <c r="L119" i="3"/>
  <c r="L379" i="48" s="1"/>
  <c r="U118" i="3"/>
  <c r="S118" i="3"/>
  <c r="U116" i="3"/>
  <c r="S116" i="3"/>
  <c r="P116" i="3"/>
  <c r="U115" i="3"/>
  <c r="S115" i="3"/>
  <c r="U114" i="3"/>
  <c r="S114" i="3"/>
  <c r="P114" i="3"/>
  <c r="U113" i="3"/>
  <c r="S113" i="3"/>
  <c r="U112" i="3"/>
  <c r="S112" i="3"/>
  <c r="U111" i="3"/>
  <c r="S111" i="3"/>
  <c r="U110" i="3"/>
  <c r="S110" i="3"/>
  <c r="U109" i="3"/>
  <c r="S109" i="3"/>
  <c r="J370" i="23"/>
  <c r="U108" i="3"/>
  <c r="S108" i="3"/>
  <c r="J372" i="23"/>
  <c r="U105" i="3"/>
  <c r="S105" i="3"/>
  <c r="U104" i="3"/>
  <c r="S104" i="3"/>
  <c r="P104" i="3"/>
  <c r="L104" i="3"/>
  <c r="J381" i="23"/>
  <c r="U102" i="3"/>
  <c r="S102" i="3"/>
  <c r="J380" i="23"/>
  <c r="U99" i="3"/>
  <c r="S99" i="3"/>
  <c r="U97" i="3"/>
  <c r="S97" i="3"/>
  <c r="U96" i="3"/>
  <c r="S96" i="3"/>
  <c r="U95" i="3"/>
  <c r="S95" i="3"/>
  <c r="U94" i="3"/>
  <c r="S94" i="3"/>
  <c r="U93" i="3"/>
  <c r="S93" i="3"/>
  <c r="U92" i="3"/>
  <c r="S92" i="3"/>
  <c r="U91" i="3"/>
  <c r="S91" i="3"/>
  <c r="U90" i="3"/>
  <c r="S90" i="3"/>
  <c r="U89" i="3"/>
  <c r="S89" i="3"/>
  <c r="U88" i="3"/>
  <c r="S88" i="3"/>
  <c r="U86" i="3"/>
  <c r="S86" i="3"/>
  <c r="U84" i="3"/>
  <c r="S84" i="3"/>
  <c r="J378" i="23"/>
  <c r="U83" i="3"/>
  <c r="S83" i="3"/>
  <c r="U82" i="3"/>
  <c r="S82" i="3"/>
  <c r="J376" i="23"/>
  <c r="U81" i="3"/>
  <c r="S81" i="3"/>
  <c r="U80" i="3"/>
  <c r="S80" i="3"/>
  <c r="U79" i="3"/>
  <c r="S79" i="3"/>
  <c r="U78" i="3"/>
  <c r="S78" i="3"/>
  <c r="U77" i="3"/>
  <c r="S77" i="3"/>
  <c r="U74" i="3"/>
  <c r="S74" i="3"/>
  <c r="U73" i="3"/>
  <c r="S73" i="3"/>
  <c r="U72" i="3"/>
  <c r="S72" i="3"/>
  <c r="U71" i="3"/>
  <c r="S71" i="3"/>
  <c r="U70" i="3"/>
  <c r="S70" i="3"/>
  <c r="U69" i="3"/>
  <c r="S69" i="3"/>
  <c r="U68" i="3"/>
  <c r="S68" i="3"/>
  <c r="U67" i="3"/>
  <c r="S67" i="3"/>
  <c r="U66" i="3"/>
  <c r="S66" i="3"/>
  <c r="U65" i="3"/>
  <c r="S65" i="3"/>
  <c r="U64" i="3"/>
  <c r="S64" i="3"/>
  <c r="U63" i="3"/>
  <c r="S63" i="3"/>
  <c r="U62" i="3"/>
  <c r="S62" i="3"/>
  <c r="U61" i="3"/>
  <c r="S61" i="3"/>
  <c r="U60" i="3"/>
  <c r="S60" i="3"/>
  <c r="U59" i="3"/>
  <c r="S59" i="3"/>
  <c r="U58" i="3"/>
  <c r="S58" i="3"/>
  <c r="U57" i="3"/>
  <c r="S57" i="3"/>
  <c r="U56" i="3"/>
  <c r="S56" i="3"/>
  <c r="L56" i="3"/>
  <c r="U55" i="3"/>
  <c r="S55" i="3"/>
  <c r="L55" i="3"/>
  <c r="U54" i="3"/>
  <c r="S54" i="3"/>
  <c r="U53" i="3"/>
  <c r="S53" i="3"/>
  <c r="U51" i="3"/>
  <c r="S51" i="3"/>
  <c r="P51" i="3"/>
  <c r="U50" i="3"/>
  <c r="S50" i="3"/>
  <c r="U49" i="3"/>
  <c r="S49" i="3"/>
  <c r="U48" i="3"/>
  <c r="S48" i="3"/>
  <c r="P48" i="3"/>
  <c r="U47" i="3"/>
  <c r="S47" i="3"/>
  <c r="P47" i="3"/>
  <c r="U46" i="3"/>
  <c r="S46" i="3"/>
  <c r="U45" i="3"/>
  <c r="S45" i="3"/>
  <c r="U44" i="3"/>
  <c r="S44" i="3"/>
  <c r="U43" i="3"/>
  <c r="S43" i="3"/>
  <c r="U42" i="3"/>
  <c r="S42" i="3"/>
  <c r="U41" i="3"/>
  <c r="S41" i="3"/>
  <c r="U40" i="3"/>
  <c r="U39" i="3"/>
  <c r="S39" i="3"/>
  <c r="U38" i="3"/>
  <c r="S38" i="3"/>
  <c r="U35" i="3"/>
  <c r="S35" i="3"/>
  <c r="U34" i="3"/>
  <c r="S34" i="3"/>
  <c r="U33" i="3"/>
  <c r="S33" i="3"/>
  <c r="U32" i="3"/>
  <c r="S32" i="3"/>
  <c r="U31" i="3"/>
  <c r="S31" i="3"/>
  <c r="U30" i="3"/>
  <c r="S30" i="3"/>
  <c r="U29" i="3"/>
  <c r="S29" i="3"/>
  <c r="U28" i="3"/>
  <c r="U27" i="3"/>
  <c r="U25" i="3"/>
  <c r="S25" i="3"/>
  <c r="U24" i="3"/>
  <c r="S24" i="3"/>
  <c r="U23" i="3"/>
  <c r="S23" i="3"/>
  <c r="U22" i="3"/>
  <c r="S22" i="3"/>
  <c r="U21" i="3"/>
  <c r="S21" i="3"/>
  <c r="U20" i="3"/>
  <c r="S20" i="3"/>
  <c r="U19" i="3"/>
  <c r="S19" i="3"/>
  <c r="U18" i="3"/>
  <c r="S18" i="3"/>
  <c r="U17" i="3"/>
  <c r="S17" i="3"/>
  <c r="U16" i="3"/>
  <c r="S16" i="3"/>
  <c r="U14" i="3"/>
  <c r="S14" i="3"/>
  <c r="U13" i="3"/>
  <c r="U12" i="3"/>
  <c r="S12" i="3"/>
  <c r="U11" i="3"/>
  <c r="S11" i="3"/>
  <c r="P11" i="3"/>
  <c r="U10" i="3"/>
  <c r="S10" i="3"/>
  <c r="U9" i="3"/>
  <c r="S9" i="3"/>
  <c r="U8" i="3"/>
  <c r="S8" i="3"/>
  <c r="U7" i="3"/>
  <c r="U256" i="1"/>
  <c r="U255" i="1" s="1"/>
  <c r="T256" i="1"/>
  <c r="T255" i="1" s="1"/>
  <c r="R255" i="1"/>
  <c r="Q255" i="1"/>
  <c r="O255" i="1"/>
  <c r="N255" i="1"/>
  <c r="L256" i="1"/>
  <c r="L255" i="1" s="1"/>
  <c r="S255" i="1"/>
  <c r="U253" i="1"/>
  <c r="S253" i="1"/>
  <c r="S252" i="1"/>
  <c r="U250" i="1"/>
  <c r="S250" i="1"/>
  <c r="P250" i="1"/>
  <c r="S249" i="1"/>
  <c r="P249" i="1"/>
  <c r="U248" i="1"/>
  <c r="S248" i="1"/>
  <c r="P248" i="1"/>
  <c r="U247" i="1"/>
  <c r="S247" i="1"/>
  <c r="P247" i="1"/>
  <c r="S246" i="1"/>
  <c r="S245" i="1"/>
  <c r="S244" i="1"/>
  <c r="P244" i="1"/>
  <c r="S243" i="1"/>
  <c r="S242" i="1"/>
  <c r="S240" i="1"/>
  <c r="S239" i="1"/>
  <c r="S237" i="1"/>
  <c r="S234" i="1"/>
  <c r="U229" i="1"/>
  <c r="S229" i="1"/>
  <c r="P229" i="1"/>
  <c r="U228" i="1"/>
  <c r="S228" i="1"/>
  <c r="P228" i="1"/>
  <c r="U227" i="1"/>
  <c r="S227" i="1"/>
  <c r="P227" i="1"/>
  <c r="U225" i="1"/>
  <c r="U224" i="1" s="1"/>
  <c r="T224" i="1"/>
  <c r="S225" i="1"/>
  <c r="S224" i="1" s="1"/>
  <c r="Q224" i="1"/>
  <c r="P225" i="1"/>
  <c r="P224" i="1" s="1"/>
  <c r="O224" i="1"/>
  <c r="U223" i="1"/>
  <c r="U222" i="1" s="1"/>
  <c r="T222" i="1"/>
  <c r="S223" i="1"/>
  <c r="S222" i="1" s="1"/>
  <c r="R222" i="1"/>
  <c r="Q222" i="1"/>
  <c r="O222" i="1"/>
  <c r="N222" i="1"/>
  <c r="U221" i="1"/>
  <c r="U220" i="1" s="1"/>
  <c r="T220" i="1"/>
  <c r="S221" i="1"/>
  <c r="S220" i="1" s="1"/>
  <c r="R220" i="1"/>
  <c r="Q220" i="1"/>
  <c r="O220" i="1"/>
  <c r="U219" i="1"/>
  <c r="S219" i="1"/>
  <c r="U218" i="1"/>
  <c r="S218" i="1"/>
  <c r="U214" i="1"/>
  <c r="U213" i="1" s="1"/>
  <c r="T213" i="1"/>
  <c r="P214" i="1"/>
  <c r="P213" i="1" s="1"/>
  <c r="L214" i="1"/>
  <c r="U212" i="1"/>
  <c r="U211" i="1" s="1"/>
  <c r="T211" i="1"/>
  <c r="S212" i="1"/>
  <c r="S211" i="1" s="1"/>
  <c r="R211" i="1"/>
  <c r="Q211" i="1"/>
  <c r="O211" i="1"/>
  <c r="N211" i="1"/>
  <c r="U210" i="1"/>
  <c r="S210" i="1"/>
  <c r="U208" i="1"/>
  <c r="S208" i="1"/>
  <c r="U207" i="1"/>
  <c r="P207" i="1"/>
  <c r="U206" i="1"/>
  <c r="U205" i="1"/>
  <c r="S205" i="1"/>
  <c r="U204" i="1"/>
  <c r="S204" i="1"/>
  <c r="U203" i="1"/>
  <c r="S203" i="1"/>
  <c r="U202" i="1"/>
  <c r="S202" i="1"/>
  <c r="U201" i="1"/>
  <c r="S201" i="1"/>
  <c r="U200" i="1"/>
  <c r="S200" i="1"/>
  <c r="U199" i="1"/>
  <c r="S199" i="1"/>
  <c r="U198" i="1"/>
  <c r="S198" i="1"/>
  <c r="U197" i="1"/>
  <c r="S197" i="1"/>
  <c r="U196" i="1"/>
  <c r="S196" i="1"/>
  <c r="P196" i="1"/>
  <c r="U195" i="1"/>
  <c r="S195" i="1"/>
  <c r="P195" i="1"/>
  <c r="U194" i="1"/>
  <c r="S194" i="1"/>
  <c r="U193" i="1"/>
  <c r="S193" i="1"/>
  <c r="U192" i="1"/>
  <c r="S192" i="1"/>
  <c r="U191" i="1"/>
  <c r="S191" i="1"/>
  <c r="P191" i="1"/>
  <c r="U190" i="1"/>
  <c r="S190" i="1"/>
  <c r="P190" i="1"/>
  <c r="U189" i="1"/>
  <c r="S189" i="1"/>
  <c r="P189" i="1"/>
  <c r="U188" i="1"/>
  <c r="S188" i="1"/>
  <c r="U187" i="1"/>
  <c r="S187" i="1"/>
  <c r="U186" i="1"/>
  <c r="S186" i="1"/>
  <c r="U185" i="1"/>
  <c r="S185" i="1"/>
  <c r="U184" i="1"/>
  <c r="S184" i="1"/>
  <c r="U183" i="1"/>
  <c r="S183" i="1"/>
  <c r="U180" i="1"/>
  <c r="S180" i="1"/>
  <c r="U179" i="1"/>
  <c r="S179" i="1"/>
  <c r="U178" i="1"/>
  <c r="S178" i="1"/>
  <c r="U177" i="1"/>
  <c r="S177" i="1"/>
  <c r="U176" i="1"/>
  <c r="S176" i="1"/>
  <c r="U175" i="1"/>
  <c r="S175" i="1"/>
  <c r="U173" i="1"/>
  <c r="S173" i="1"/>
  <c r="U172" i="1"/>
  <c r="S172" i="1"/>
  <c r="P172" i="1"/>
  <c r="U171" i="1"/>
  <c r="S171" i="1"/>
  <c r="U170" i="1"/>
  <c r="S170" i="1"/>
  <c r="U169" i="1"/>
  <c r="S169" i="1"/>
  <c r="U168" i="1"/>
  <c r="S168" i="1"/>
  <c r="U166" i="1"/>
  <c r="S166" i="1"/>
  <c r="U165" i="1"/>
  <c r="S165" i="1"/>
  <c r="U164" i="1"/>
  <c r="S164" i="1"/>
  <c r="U163" i="1"/>
  <c r="S163" i="1"/>
  <c r="U162" i="1"/>
  <c r="S162" i="1"/>
  <c r="U161" i="1"/>
  <c r="S161" i="1"/>
  <c r="U160" i="1"/>
  <c r="S160" i="1"/>
  <c r="U159" i="1"/>
  <c r="S159" i="1"/>
  <c r="P159" i="1"/>
  <c r="U158" i="1"/>
  <c r="S158" i="1"/>
  <c r="U157" i="1"/>
  <c r="S157" i="1"/>
  <c r="U156" i="1"/>
  <c r="S156" i="1"/>
  <c r="U155" i="1"/>
  <c r="S155" i="1"/>
  <c r="U154" i="1"/>
  <c r="S154" i="1"/>
  <c r="U153" i="1"/>
  <c r="S153" i="1"/>
  <c r="U146" i="1"/>
  <c r="S146" i="1"/>
  <c r="P146" i="1"/>
  <c r="U145" i="1"/>
  <c r="S145" i="1"/>
  <c r="U143" i="1"/>
  <c r="S143" i="1"/>
  <c r="P143" i="1"/>
  <c r="U141" i="1"/>
  <c r="S141" i="1"/>
  <c r="P141" i="1"/>
  <c r="L141" i="1"/>
  <c r="U140" i="1"/>
  <c r="S140" i="1"/>
  <c r="P140" i="1"/>
  <c r="U139" i="1"/>
  <c r="S139" i="1"/>
  <c r="U138" i="1"/>
  <c r="S138" i="1"/>
  <c r="U137" i="1"/>
  <c r="S137" i="1"/>
  <c r="U136" i="1"/>
  <c r="S136" i="1"/>
  <c r="U135" i="1"/>
  <c r="S135" i="1"/>
  <c r="U134" i="1"/>
  <c r="S134" i="1"/>
  <c r="U133" i="1"/>
  <c r="S133" i="1"/>
  <c r="P133" i="1"/>
  <c r="U132" i="1"/>
  <c r="S132" i="1"/>
  <c r="U131" i="1"/>
  <c r="S131" i="1"/>
  <c r="U130" i="1"/>
  <c r="S130" i="1"/>
  <c r="U129" i="1"/>
  <c r="S129" i="1"/>
  <c r="U128" i="1"/>
  <c r="S128" i="1"/>
  <c r="U127" i="1"/>
  <c r="S127" i="1"/>
  <c r="U126" i="1"/>
  <c r="S126" i="1"/>
  <c r="U125" i="1"/>
  <c r="S125" i="1"/>
  <c r="U124" i="1"/>
  <c r="S124" i="1"/>
  <c r="U123" i="1"/>
  <c r="S123" i="1"/>
  <c r="U122" i="1"/>
  <c r="S122" i="1"/>
  <c r="U121" i="1"/>
  <c r="S121" i="1"/>
  <c r="U120" i="1"/>
  <c r="S120" i="1"/>
  <c r="U118" i="1"/>
  <c r="S118" i="1"/>
  <c r="P118" i="1"/>
  <c r="U115" i="1"/>
  <c r="S115" i="1"/>
  <c r="U114" i="1"/>
  <c r="S114" i="1"/>
  <c r="U113" i="1"/>
  <c r="S113" i="1"/>
  <c r="U112" i="1"/>
  <c r="S112" i="1"/>
  <c r="U111" i="1"/>
  <c r="S111" i="1"/>
  <c r="U110" i="1"/>
  <c r="S110" i="1"/>
  <c r="U109" i="1"/>
  <c r="S109" i="1"/>
  <c r="U108" i="1"/>
  <c r="S108" i="1"/>
  <c r="U107" i="1"/>
  <c r="S107" i="1"/>
  <c r="U106" i="1"/>
  <c r="S106" i="1"/>
  <c r="U105" i="1"/>
  <c r="S105" i="1"/>
  <c r="U104" i="1"/>
  <c r="S104" i="1"/>
  <c r="U103" i="1"/>
  <c r="S103" i="1"/>
  <c r="U102" i="1"/>
  <c r="S102" i="1"/>
  <c r="U101" i="1"/>
  <c r="S101" i="1"/>
  <c r="U100" i="1"/>
  <c r="S100" i="1"/>
  <c r="U99" i="1"/>
  <c r="S99" i="1"/>
  <c r="U98" i="1"/>
  <c r="S98" i="1"/>
  <c r="U97" i="1"/>
  <c r="S97" i="1"/>
  <c r="U96" i="1"/>
  <c r="S96" i="1"/>
  <c r="U95" i="1"/>
  <c r="S95" i="1"/>
  <c r="U93" i="1"/>
  <c r="S93" i="1"/>
  <c r="U92" i="1"/>
  <c r="S92" i="1"/>
  <c r="P92" i="1"/>
  <c r="U91" i="1"/>
  <c r="S91" i="1"/>
  <c r="U89" i="1"/>
  <c r="S89" i="1"/>
  <c r="U88" i="1"/>
  <c r="S88" i="1"/>
  <c r="U87" i="1"/>
  <c r="S87" i="1"/>
  <c r="U85" i="1"/>
  <c r="S85" i="1"/>
  <c r="U83" i="1"/>
  <c r="S83" i="1"/>
  <c r="U82" i="1"/>
  <c r="S82" i="1"/>
  <c r="U81" i="1"/>
  <c r="S81" i="1"/>
  <c r="U80" i="1"/>
  <c r="S80" i="1"/>
  <c r="P80" i="1"/>
  <c r="L80" i="1"/>
  <c r="U79" i="1"/>
  <c r="S79" i="1"/>
  <c r="P79" i="1"/>
  <c r="U78" i="1"/>
  <c r="P78" i="1"/>
  <c r="U77" i="1"/>
  <c r="S77" i="1"/>
  <c r="U76" i="1"/>
  <c r="S76" i="1"/>
  <c r="U73" i="1"/>
  <c r="U72" i="1"/>
  <c r="U71" i="1"/>
  <c r="S71" i="1"/>
  <c r="P71" i="1"/>
  <c r="U70" i="1"/>
  <c r="S70" i="1"/>
  <c r="P70" i="1"/>
  <c r="U69" i="1"/>
  <c r="S69" i="1"/>
  <c r="U68" i="1"/>
  <c r="S68" i="1"/>
  <c r="U67" i="1"/>
  <c r="S67" i="1"/>
  <c r="P67" i="1"/>
  <c r="U66" i="1"/>
  <c r="S66" i="1"/>
  <c r="U65" i="1"/>
  <c r="S65" i="1"/>
  <c r="U64" i="1"/>
  <c r="S64" i="1"/>
  <c r="U63" i="1"/>
  <c r="S63" i="1"/>
  <c r="U62" i="1"/>
  <c r="S62" i="1"/>
  <c r="U61" i="1"/>
  <c r="S61" i="1"/>
  <c r="U60" i="1"/>
  <c r="S60" i="1"/>
  <c r="U59" i="1"/>
  <c r="S59" i="1"/>
  <c r="U58" i="1"/>
  <c r="S58" i="1"/>
  <c r="U56" i="1"/>
  <c r="U55" i="1"/>
  <c r="U54" i="1"/>
  <c r="U53" i="1"/>
  <c r="U51" i="1"/>
  <c r="S51" i="1"/>
  <c r="U50" i="1"/>
  <c r="S50" i="1"/>
  <c r="U49" i="1"/>
  <c r="S49" i="1"/>
  <c r="U48" i="1"/>
  <c r="S48" i="1"/>
  <c r="U47" i="1"/>
  <c r="S47" i="1"/>
  <c r="U46" i="1"/>
  <c r="S46" i="1"/>
  <c r="U45" i="1"/>
  <c r="U44" i="1"/>
  <c r="S44" i="1"/>
  <c r="U43" i="1"/>
  <c r="U41" i="1"/>
  <c r="S41" i="1"/>
  <c r="U40" i="1"/>
  <c r="S40" i="1"/>
  <c r="U39" i="1"/>
  <c r="S39" i="1"/>
  <c r="U14" i="1"/>
  <c r="U13" i="1" s="1"/>
  <c r="S14" i="1"/>
  <c r="S13" i="1" s="1"/>
  <c r="U37" i="1"/>
  <c r="S37" i="1"/>
  <c r="P37" i="1"/>
  <c r="U36" i="1"/>
  <c r="S36" i="1"/>
  <c r="U35" i="1"/>
  <c r="S35" i="1"/>
  <c r="U33" i="1"/>
  <c r="S33" i="1"/>
  <c r="U31" i="1"/>
  <c r="S31" i="1"/>
  <c r="P31" i="1"/>
  <c r="U30" i="1"/>
  <c r="S30" i="1"/>
  <c r="U29" i="1"/>
  <c r="S29" i="1"/>
  <c r="P29" i="1"/>
  <c r="U28" i="1"/>
  <c r="S28" i="1"/>
  <c r="U27" i="1"/>
  <c r="U26" i="1"/>
  <c r="U25" i="1"/>
  <c r="S25" i="1"/>
  <c r="U23" i="1"/>
  <c r="S23" i="1"/>
  <c r="U22" i="1"/>
  <c r="S22" i="1"/>
  <c r="U21" i="1"/>
  <c r="S21" i="1"/>
  <c r="U20" i="1"/>
  <c r="S20" i="1"/>
  <c r="U19" i="1"/>
  <c r="S19" i="1"/>
  <c r="U18" i="1"/>
  <c r="U17" i="1"/>
  <c r="S17" i="1"/>
  <c r="U16" i="1"/>
  <c r="S16" i="1"/>
  <c r="I28" i="17"/>
  <c r="I82" i="17" s="1"/>
  <c r="I81" i="17" s="1"/>
  <c r="H28" i="17"/>
  <c r="H82" i="17" s="1"/>
  <c r="H81" i="17" s="1"/>
  <c r="F28" i="17"/>
  <c r="F27" i="17" s="1"/>
  <c r="I25" i="17"/>
  <c r="I79" i="17" s="1"/>
  <c r="H25" i="17"/>
  <c r="H79" i="17" s="1"/>
  <c r="I24" i="17"/>
  <c r="I78" i="17" s="1"/>
  <c r="H24" i="17"/>
  <c r="H78" i="17" s="1"/>
  <c r="I22" i="17"/>
  <c r="I76" i="17" s="1"/>
  <c r="H76" i="17"/>
  <c r="I21" i="17"/>
  <c r="I75" i="17" s="1"/>
  <c r="H21" i="17"/>
  <c r="H75" i="17" s="1"/>
  <c r="I20" i="17"/>
  <c r="I74" i="17" s="1"/>
  <c r="H20" i="17"/>
  <c r="H74" i="17" s="1"/>
  <c r="I19" i="17"/>
  <c r="H19" i="17"/>
  <c r="H73" i="17" s="1"/>
  <c r="I18" i="17"/>
  <c r="I72" i="17" s="1"/>
  <c r="H18" i="17"/>
  <c r="H72" i="17" s="1"/>
  <c r="I17" i="17"/>
  <c r="I71" i="17" s="1"/>
  <c r="H17" i="17"/>
  <c r="H71" i="17" s="1"/>
  <c r="I16" i="17"/>
  <c r="I70" i="17" s="1"/>
  <c r="H16" i="17"/>
  <c r="H70" i="17" s="1"/>
  <c r="I15" i="17"/>
  <c r="I69" i="17" s="1"/>
  <c r="H15" i="17"/>
  <c r="H69" i="17" s="1"/>
  <c r="I13" i="17"/>
  <c r="I67" i="17" s="1"/>
  <c r="H13" i="17"/>
  <c r="H67" i="17" s="1"/>
  <c r="I12" i="17"/>
  <c r="I66" i="17" s="1"/>
  <c r="H12" i="17"/>
  <c r="H66" i="17" s="1"/>
  <c r="H65" i="17"/>
  <c r="I8" i="17"/>
  <c r="H8" i="17"/>
  <c r="H7" i="17" s="1"/>
  <c r="I62" i="17" l="1"/>
  <c r="I61" i="17" s="1"/>
  <c r="I7" i="17"/>
  <c r="S233" i="1"/>
  <c r="O351" i="23"/>
  <c r="O350" i="23" s="1"/>
  <c r="L213" i="1"/>
  <c r="H6" i="30"/>
  <c r="I5" i="30" s="1"/>
  <c r="I73" i="30"/>
  <c r="S100" i="3"/>
  <c r="U100" i="3"/>
  <c r="R17" i="35"/>
  <c r="AB17" i="35" s="1"/>
  <c r="I53" i="30"/>
  <c r="L379" i="23"/>
  <c r="P351" i="23"/>
  <c r="P350" i="23" s="1"/>
  <c r="R351" i="23"/>
  <c r="R350" i="23" s="1"/>
  <c r="M12" i="21"/>
  <c r="K9" i="19"/>
  <c r="K8" i="19"/>
  <c r="Q9" i="21"/>
  <c r="AC9" i="21" s="1"/>
  <c r="U38" i="1"/>
  <c r="S38" i="1"/>
  <c r="AB240" i="48"/>
  <c r="L207" i="55" s="1"/>
  <c r="P207" i="55" s="1"/>
  <c r="O81" i="23"/>
  <c r="R257" i="23"/>
  <c r="O82" i="23"/>
  <c r="S82" i="23" s="1"/>
  <c r="U82" i="23" s="1"/>
  <c r="AB81" i="48"/>
  <c r="L74" i="55" s="1"/>
  <c r="P74" i="55" s="1"/>
  <c r="O83" i="23"/>
  <c r="S83" i="23" s="1"/>
  <c r="U83" i="23" s="1"/>
  <c r="AB82" i="48"/>
  <c r="L75" i="55" s="1"/>
  <c r="P75" i="55" s="1"/>
  <c r="O23" i="23"/>
  <c r="H4" i="44"/>
  <c r="S7" i="11"/>
  <c r="X7" i="11" s="1"/>
  <c r="AD7" i="11" s="1"/>
  <c r="AI7" i="11" s="1"/>
  <c r="AK7" i="11" s="1"/>
  <c r="M14" i="11"/>
  <c r="L58" i="45"/>
  <c r="M58" i="45" s="1"/>
  <c r="L56" i="45"/>
  <c r="M56" i="45" s="1"/>
  <c r="G11" i="4"/>
  <c r="H11" i="4" s="1"/>
  <c r="K11" i="4" s="1"/>
  <c r="F14" i="4"/>
  <c r="H15" i="4"/>
  <c r="I15" i="4" s="1"/>
  <c r="G26" i="9"/>
  <c r="G27" i="9" s="1"/>
  <c r="G16" i="4"/>
  <c r="H16" i="4" s="1"/>
  <c r="K16" i="4" s="1"/>
  <c r="F17" i="4"/>
  <c r="G8" i="4"/>
  <c r="H8" i="4" s="1"/>
  <c r="I8" i="4" s="1"/>
  <c r="J8" i="4" s="1"/>
  <c r="K8" i="4" s="1"/>
  <c r="L8" i="4" s="1"/>
  <c r="N8" i="4" s="1"/>
  <c r="F9" i="4"/>
  <c r="H18" i="4"/>
  <c r="I18" i="4" s="1"/>
  <c r="G24" i="4"/>
  <c r="H10" i="4"/>
  <c r="U226" i="1"/>
  <c r="P226" i="1"/>
  <c r="S226" i="1"/>
  <c r="T226" i="1"/>
  <c r="I86" i="8"/>
  <c r="M7" i="15"/>
  <c r="AA21" i="35"/>
  <c r="T174" i="1"/>
  <c r="U174" i="1"/>
  <c r="S174" i="1"/>
  <c r="M10" i="34"/>
  <c r="R20" i="35"/>
  <c r="W20" i="35" s="1"/>
  <c r="Y20" i="35" s="1"/>
  <c r="F4" i="13"/>
  <c r="R6" i="15"/>
  <c r="L66" i="25"/>
  <c r="L4" i="44"/>
  <c r="I19" i="34"/>
  <c r="AB16" i="35"/>
  <c r="R11" i="15"/>
  <c r="S11" i="15" s="1"/>
  <c r="U11" i="15" s="1"/>
  <c r="Q28" i="19" s="1"/>
  <c r="N10" i="19"/>
  <c r="G24" i="19" s="1"/>
  <c r="P24" i="19" s="1"/>
  <c r="R7" i="15"/>
  <c r="P345" i="23"/>
  <c r="F15" i="39"/>
  <c r="V11" i="12"/>
  <c r="AA11" i="12" s="1"/>
  <c r="CR25" i="11"/>
  <c r="R10" i="15"/>
  <c r="V10" i="12"/>
  <c r="J86" i="8"/>
  <c r="M11" i="10"/>
  <c r="M30" i="10" s="1"/>
  <c r="S20" i="11"/>
  <c r="S21" i="11"/>
  <c r="AD21" i="11" s="1"/>
  <c r="AO21" i="11" s="1"/>
  <c r="CI25" i="11"/>
  <c r="AO8" i="11"/>
  <c r="AT8" i="11" s="1"/>
  <c r="BV8" i="11" s="1"/>
  <c r="S12" i="11"/>
  <c r="X12" i="11" s="1"/>
  <c r="AD12" i="11" s="1"/>
  <c r="AI12" i="11" s="1"/>
  <c r="AK12" i="11" s="1"/>
  <c r="O20" i="11"/>
  <c r="BZ46" i="11"/>
  <c r="CI26" i="11"/>
  <c r="L240" i="31"/>
  <c r="E15" i="39"/>
  <c r="R16" i="35"/>
  <c r="W16" i="35" s="1"/>
  <c r="M22" i="35"/>
  <c r="P256" i="23"/>
  <c r="M24" i="11"/>
  <c r="S24" i="11" s="1"/>
  <c r="X24" i="11" s="1"/>
  <c r="Z24" i="11" s="1"/>
  <c r="I7" i="38"/>
  <c r="I6" i="38" s="1"/>
  <c r="I4" i="38" s="1"/>
  <c r="AE21" i="35"/>
  <c r="AM13" i="12"/>
  <c r="M10" i="15"/>
  <c r="M8" i="15"/>
  <c r="L6" i="25"/>
  <c r="L5" i="25" s="1"/>
  <c r="I11" i="34"/>
  <c r="J11" i="34" s="1"/>
  <c r="J12" i="34" s="1"/>
  <c r="J21" i="34" s="1"/>
  <c r="N14" i="19"/>
  <c r="G28" i="19" s="1"/>
  <c r="P28" i="19" s="1"/>
  <c r="N36" i="26"/>
  <c r="R8" i="15"/>
  <c r="F108" i="24"/>
  <c r="G15" i="39"/>
  <c r="AG17" i="35"/>
  <c r="AI17" i="35" s="1"/>
  <c r="K13" i="4"/>
  <c r="I13" i="4"/>
  <c r="L19" i="4"/>
  <c r="N19" i="4" s="1"/>
  <c r="J19" i="4"/>
  <c r="P316" i="23"/>
  <c r="S316" i="23" s="1"/>
  <c r="U316" i="23" s="1"/>
  <c r="Q241" i="23"/>
  <c r="M114" i="24"/>
  <c r="Q327" i="23" s="1"/>
  <c r="S327" i="23" s="1"/>
  <c r="U327" i="23" s="1"/>
  <c r="L91" i="25"/>
  <c r="L12" i="15"/>
  <c r="N315" i="23"/>
  <c r="H7" i="4"/>
  <c r="K19" i="4"/>
  <c r="AD20" i="11"/>
  <c r="AX20" i="11" s="1"/>
  <c r="R8" i="35"/>
  <c r="W8" i="35" s="1"/>
  <c r="AB8" i="35" s="1"/>
  <c r="AG8" i="35" s="1"/>
  <c r="AI8" i="35" s="1"/>
  <c r="AF21" i="35"/>
  <c r="AM17" i="12"/>
  <c r="U246" i="1"/>
  <c r="O11" i="21"/>
  <c r="O12" i="21" s="1"/>
  <c r="R9" i="15"/>
  <c r="J13" i="19"/>
  <c r="N13" i="19" s="1"/>
  <c r="G27" i="19" s="1"/>
  <c r="P27" i="19" s="1"/>
  <c r="CC26" i="11"/>
  <c r="CB31" i="11" s="1"/>
  <c r="R9" i="35"/>
  <c r="W9" i="35" s="1"/>
  <c r="AB9" i="35" s="1"/>
  <c r="AG9" i="35" s="1"/>
  <c r="AI9" i="35" s="1"/>
  <c r="W17" i="35"/>
  <c r="Y17" i="35" s="1"/>
  <c r="H7" i="38"/>
  <c r="H6" i="38" s="1"/>
  <c r="BD22" i="11"/>
  <c r="M18" i="35"/>
  <c r="R18" i="35" s="1"/>
  <c r="Q7" i="21"/>
  <c r="AC7" i="21" s="1"/>
  <c r="I3" i="44"/>
  <c r="J3" i="44"/>
  <c r="AH27" i="11"/>
  <c r="O25" i="11"/>
  <c r="R7" i="35"/>
  <c r="W7" i="35" s="1"/>
  <c r="AB7" i="35" s="1"/>
  <c r="AG7" i="35" s="1"/>
  <c r="AI7" i="35" s="1"/>
  <c r="R10" i="35"/>
  <c r="W10" i="35" s="1"/>
  <c r="Y10" i="35" s="1"/>
  <c r="Q12" i="15"/>
  <c r="U251" i="23"/>
  <c r="F81" i="25" s="1"/>
  <c r="F62" i="30" s="1"/>
  <c r="N11" i="19"/>
  <c r="G25" i="19" s="1"/>
  <c r="P25" i="19" s="1"/>
  <c r="L3" i="44"/>
  <c r="I12" i="4"/>
  <c r="AD21" i="35"/>
  <c r="AE8" i="16"/>
  <c r="AF8" i="16" s="1"/>
  <c r="J27" i="39"/>
  <c r="I11" i="39"/>
  <c r="K11" i="39" s="1"/>
  <c r="K12" i="39"/>
  <c r="AE8" i="33"/>
  <c r="R15" i="23"/>
  <c r="S15" i="23" s="1"/>
  <c r="U15" i="23" s="1"/>
  <c r="M124" i="24"/>
  <c r="F16" i="8"/>
  <c r="F18" i="8"/>
  <c r="H23" i="8" s="1"/>
  <c r="H25" i="8" s="1"/>
  <c r="H26" i="8" s="1"/>
  <c r="H21" i="34"/>
  <c r="H22" i="34" s="1"/>
  <c r="AB6" i="35"/>
  <c r="AG6" i="35" s="1"/>
  <c r="AI6" i="35" s="1"/>
  <c r="Y6" i="35"/>
  <c r="M126" i="24"/>
  <c r="R73" i="23"/>
  <c r="S73" i="23" s="1"/>
  <c r="U73" i="23" s="1"/>
  <c r="I20" i="4"/>
  <c r="K20" i="4"/>
  <c r="S19" i="35"/>
  <c r="W19" i="35" s="1"/>
  <c r="Y19" i="35" s="1"/>
  <c r="AB19" i="35"/>
  <c r="I21" i="4"/>
  <c r="K21" i="4"/>
  <c r="J9" i="34"/>
  <c r="J18" i="34" s="1"/>
  <c r="I81" i="30"/>
  <c r="I84" i="30" s="1"/>
  <c r="J87" i="8"/>
  <c r="I87" i="8"/>
  <c r="J19" i="34"/>
  <c r="N10" i="34"/>
  <c r="K10" i="34"/>
  <c r="K23" i="4"/>
  <c r="I23" i="4"/>
  <c r="Q16" i="33"/>
  <c r="I9" i="34"/>
  <c r="I18" i="34" s="1"/>
  <c r="BB27" i="11"/>
  <c r="BA21" i="11"/>
  <c r="BA24" i="11"/>
  <c r="O6" i="35"/>
  <c r="AH23" i="12"/>
  <c r="N22" i="26"/>
  <c r="I4" i="44"/>
  <c r="I85" i="8"/>
  <c r="Q256" i="23"/>
  <c r="K9" i="39"/>
  <c r="J4" i="44"/>
  <c r="K161" i="44"/>
  <c r="K3" i="44" s="1"/>
  <c r="P1" i="44" s="1"/>
  <c r="I10" i="10"/>
  <c r="I23" i="10" s="1"/>
  <c r="X8" i="16"/>
  <c r="Y8" i="16" s="1"/>
  <c r="E119" i="24"/>
  <c r="E23" i="42"/>
  <c r="AE10" i="16"/>
  <c r="AF10" i="16" s="1"/>
  <c r="AG39" i="12"/>
  <c r="AM18" i="12" s="1"/>
  <c r="X7" i="16"/>
  <c r="Y7" i="16" s="1"/>
  <c r="T6" i="15"/>
  <c r="I22" i="4"/>
  <c r="M47" i="42"/>
  <c r="M49" i="42" s="1"/>
  <c r="H57" i="42" s="1"/>
  <c r="I30" i="10"/>
  <c r="O19" i="35"/>
  <c r="AA20" i="12"/>
  <c r="T5" i="15"/>
  <c r="T9" i="15"/>
  <c r="AM16" i="12"/>
  <c r="V19" i="12"/>
  <c r="AA19" i="12" s="1"/>
  <c r="X11" i="16"/>
  <c r="Y11" i="16" s="1"/>
  <c r="AY22" i="11"/>
  <c r="AG16" i="35"/>
  <c r="F14" i="24"/>
  <c r="J7" i="24"/>
  <c r="N352" i="23" s="1"/>
  <c r="T217" i="1"/>
  <c r="AC6" i="21"/>
  <c r="J12" i="10"/>
  <c r="I31" i="10"/>
  <c r="I25" i="10"/>
  <c r="M12" i="10"/>
  <c r="H13" i="10"/>
  <c r="J11" i="10"/>
  <c r="I24" i="10"/>
  <c r="J25" i="8"/>
  <c r="J26" i="8" s="1"/>
  <c r="G79" i="8"/>
  <c r="G78" i="8" s="1"/>
  <c r="G81" i="8" s="1"/>
  <c r="G82" i="8" s="1"/>
  <c r="F78" i="8"/>
  <c r="H79" i="8"/>
  <c r="H78" i="8" s="1"/>
  <c r="H81" i="8" s="1"/>
  <c r="H82" i="8" s="1"/>
  <c r="F47" i="8"/>
  <c r="F67" i="8"/>
  <c r="O8" i="11"/>
  <c r="CC13" i="11"/>
  <c r="AF27" i="11"/>
  <c r="BC21" i="11"/>
  <c r="BC27" i="11" s="1"/>
  <c r="BA22" i="11"/>
  <c r="O12" i="15"/>
  <c r="BV12" i="11"/>
  <c r="CJ12" i="11" s="1"/>
  <c r="CK13" i="11"/>
  <c r="CQ13" i="11" s="1"/>
  <c r="CT13" i="11" s="1"/>
  <c r="AN20" i="11"/>
  <c r="AC27" i="11"/>
  <c r="BD24" i="11"/>
  <c r="BY43" i="11"/>
  <c r="BY45" i="11" s="1"/>
  <c r="BY46" i="11" s="1"/>
  <c r="S11" i="11"/>
  <c r="X11" i="11" s="1"/>
  <c r="AD11" i="11" s="1"/>
  <c r="AI11" i="11" s="1"/>
  <c r="AK11" i="11" s="1"/>
  <c r="CI12" i="11"/>
  <c r="CI14" i="11" s="1"/>
  <c r="AD8" i="11"/>
  <c r="AI8" i="11" s="1"/>
  <c r="Z8" i="11"/>
  <c r="AZ11" i="11"/>
  <c r="BE11" i="11" s="1"/>
  <c r="BG11" i="11" s="1"/>
  <c r="AV11" i="11"/>
  <c r="BV11" i="11"/>
  <c r="CB25" i="11"/>
  <c r="CC12" i="11"/>
  <c r="AD22" i="11"/>
  <c r="X22" i="11"/>
  <c r="Z22" i="11" s="1"/>
  <c r="AD25" i="11"/>
  <c r="T25" i="11"/>
  <c r="X25" i="11" s="1"/>
  <c r="Z25" i="11" s="1"/>
  <c r="Z9" i="11"/>
  <c r="AD9" i="11"/>
  <c r="AI9" i="11" s="1"/>
  <c r="AK9" i="11" s="1"/>
  <c r="AO7" i="11"/>
  <c r="AS21" i="11"/>
  <c r="AQ22" i="11"/>
  <c r="BY22" i="11" s="1"/>
  <c r="AN24" i="11"/>
  <c r="AS25" i="11"/>
  <c r="CA25" i="11" s="1"/>
  <c r="AG27" i="11"/>
  <c r="O7" i="11"/>
  <c r="O11" i="11"/>
  <c r="AR20" i="11"/>
  <c r="BD21" i="11"/>
  <c r="O22" i="11"/>
  <c r="AR22" i="11"/>
  <c r="BZ22" i="11" s="1"/>
  <c r="P12" i="15"/>
  <c r="AO9" i="11"/>
  <c r="AT9" i="11" s="1"/>
  <c r="AN21" i="11"/>
  <c r="AQ24" i="11"/>
  <c r="BY24" i="11" s="1"/>
  <c r="AN25" i="11"/>
  <c r="O9" i="11"/>
  <c r="CD13" i="11"/>
  <c r="CD26" i="11" s="1"/>
  <c r="AY21" i="11"/>
  <c r="AR24" i="11"/>
  <c r="BZ24" i="11" s="1"/>
  <c r="X20" i="11"/>
  <c r="AO12" i="11"/>
  <c r="AT12" i="11" s="1"/>
  <c r="AQ21" i="11"/>
  <c r="BY21" i="11" s="1"/>
  <c r="AQ25" i="11"/>
  <c r="BY25" i="11" s="1"/>
  <c r="AP20" i="11"/>
  <c r="AR25" i="11"/>
  <c r="BZ25" i="11" s="1"/>
  <c r="R217" i="1"/>
  <c r="V140" i="1"/>
  <c r="V8" i="12"/>
  <c r="Q90" i="1"/>
  <c r="Q84" i="1"/>
  <c r="R90" i="1"/>
  <c r="Q144" i="1"/>
  <c r="R236" i="1"/>
  <c r="R8" i="1"/>
  <c r="R144" i="1"/>
  <c r="O236" i="1"/>
  <c r="N52" i="1"/>
  <c r="T241" i="1"/>
  <c r="O52" i="1"/>
  <c r="N144" i="1"/>
  <c r="Q217" i="1"/>
  <c r="Q216" i="1" s="1"/>
  <c r="Q119" i="1"/>
  <c r="O144" i="1"/>
  <c r="S331" i="23"/>
  <c r="U331" i="23" s="1"/>
  <c r="S335" i="23"/>
  <c r="U335" i="23" s="1"/>
  <c r="L116" i="3"/>
  <c r="L371" i="48" s="1"/>
  <c r="S358" i="23"/>
  <c r="S213" i="23"/>
  <c r="U213" i="23" s="1"/>
  <c r="J373" i="23"/>
  <c r="J375" i="23"/>
  <c r="J377" i="23"/>
  <c r="S41" i="23"/>
  <c r="U41" i="23" s="1"/>
  <c r="S49" i="23"/>
  <c r="U49" i="23" s="1"/>
  <c r="S215" i="23"/>
  <c r="U215" i="23" s="1"/>
  <c r="S219" i="23"/>
  <c r="U219" i="23" s="1"/>
  <c r="S223" i="23"/>
  <c r="U223" i="23" s="1"/>
  <c r="S239" i="23"/>
  <c r="U239" i="23" s="1"/>
  <c r="K205" i="31" s="1"/>
  <c r="L205" i="31" s="1"/>
  <c r="S254" i="23"/>
  <c r="U254" i="23" s="1"/>
  <c r="S269" i="23"/>
  <c r="U269" i="23" s="1"/>
  <c r="S285" i="23"/>
  <c r="U285" i="23" s="1"/>
  <c r="S289" i="23"/>
  <c r="U289" i="23" s="1"/>
  <c r="S306" i="23"/>
  <c r="U306" i="23" s="1"/>
  <c r="S310" i="23"/>
  <c r="U310" i="23" s="1"/>
  <c r="S314" i="23"/>
  <c r="U314" i="23" s="1"/>
  <c r="S318" i="23"/>
  <c r="U318" i="23" s="1"/>
  <c r="S322" i="23"/>
  <c r="U322" i="23" s="1"/>
  <c r="S16" i="23"/>
  <c r="U16" i="23" s="1"/>
  <c r="S76" i="23"/>
  <c r="U76" i="23" s="1"/>
  <c r="S88" i="23"/>
  <c r="U88" i="23" s="1"/>
  <c r="S92" i="23"/>
  <c r="U92" i="23" s="1"/>
  <c r="S104" i="23"/>
  <c r="U104" i="23" s="1"/>
  <c r="S124" i="23"/>
  <c r="U124" i="23" s="1"/>
  <c r="S246" i="23"/>
  <c r="U246" i="23" s="1"/>
  <c r="S218" i="23"/>
  <c r="U218" i="23" s="1"/>
  <c r="S222" i="23"/>
  <c r="U222" i="23" s="1"/>
  <c r="S226" i="23"/>
  <c r="U226" i="23" s="1"/>
  <c r="S102" i="23"/>
  <c r="U102" i="23" s="1"/>
  <c r="U217" i="1"/>
  <c r="V47" i="3"/>
  <c r="T94" i="1"/>
  <c r="Q94" i="1"/>
  <c r="T236" i="1"/>
  <c r="N75" i="1"/>
  <c r="T75" i="1"/>
  <c r="R42" i="1"/>
  <c r="O15" i="1"/>
  <c r="Q57" i="1"/>
  <c r="O75" i="1"/>
  <c r="T152" i="1"/>
  <c r="O8" i="1"/>
  <c r="Q15" i="1"/>
  <c r="R15" i="1"/>
  <c r="N42" i="1"/>
  <c r="N90" i="1"/>
  <c r="O119" i="1"/>
  <c r="T144" i="1"/>
  <c r="N217" i="1"/>
  <c r="V48" i="3"/>
  <c r="S43" i="23"/>
  <c r="U43" i="23" s="1"/>
  <c r="S51" i="23"/>
  <c r="U51" i="23" s="1"/>
  <c r="S55" i="23"/>
  <c r="U55" i="23" s="1"/>
  <c r="S229" i="23"/>
  <c r="U229" i="23" s="1"/>
  <c r="Q8" i="1"/>
  <c r="Q52" i="1"/>
  <c r="T57" i="1"/>
  <c r="R57" i="1"/>
  <c r="O84" i="1"/>
  <c r="N84" i="1"/>
  <c r="O90" i="1"/>
  <c r="O94" i="1"/>
  <c r="Q152" i="1"/>
  <c r="O152" i="1"/>
  <c r="O217" i="1"/>
  <c r="O216" i="1" s="1"/>
  <c r="Q236" i="1"/>
  <c r="S98" i="23"/>
  <c r="U98" i="23" s="1"/>
  <c r="S244" i="23"/>
  <c r="U244" i="23" s="1"/>
  <c r="U152" i="1"/>
  <c r="V228" i="1"/>
  <c r="V51" i="3"/>
  <c r="V123" i="3"/>
  <c r="S109" i="23"/>
  <c r="U109" i="23" s="1"/>
  <c r="F37" i="25" s="1"/>
  <c r="S117" i="23"/>
  <c r="U117" i="23" s="1"/>
  <c r="S121" i="23"/>
  <c r="U121" i="23" s="1"/>
  <c r="K102" i="31" s="1"/>
  <c r="L102" i="31" s="1"/>
  <c r="S126" i="23"/>
  <c r="U126" i="23" s="1"/>
  <c r="S235" i="23"/>
  <c r="U235" i="23" s="1"/>
  <c r="S260" i="23"/>
  <c r="U260" i="23" s="1"/>
  <c r="S268" i="23"/>
  <c r="U268" i="23" s="1"/>
  <c r="S233" i="23"/>
  <c r="U233" i="23" s="1"/>
  <c r="S237" i="23"/>
  <c r="U237" i="23" s="1"/>
  <c r="S259" i="23"/>
  <c r="U259" i="23" s="1"/>
  <c r="S267" i="23"/>
  <c r="U267" i="23" s="1"/>
  <c r="S79" i="23"/>
  <c r="U79" i="23" s="1"/>
  <c r="S87" i="23"/>
  <c r="U87" i="23" s="1"/>
  <c r="S91" i="23"/>
  <c r="U91" i="23" s="1"/>
  <c r="S95" i="23"/>
  <c r="U95" i="23" s="1"/>
  <c r="F38" i="25" s="1"/>
  <c r="S188" i="23"/>
  <c r="U188" i="23" s="1"/>
  <c r="S192" i="23"/>
  <c r="U192" i="23" s="1"/>
  <c r="F70" i="25" s="1"/>
  <c r="F56" i="30" s="1"/>
  <c r="S196" i="23"/>
  <c r="U196" i="23" s="1"/>
  <c r="S200" i="23"/>
  <c r="U200" i="23" s="1"/>
  <c r="S204" i="23"/>
  <c r="U204" i="23" s="1"/>
  <c r="S212" i="23"/>
  <c r="U212" i="23" s="1"/>
  <c r="S144" i="1"/>
  <c r="S240" i="23"/>
  <c r="U240" i="23" s="1"/>
  <c r="S258" i="23"/>
  <c r="U258" i="23" s="1"/>
  <c r="U8" i="1"/>
  <c r="I27" i="17"/>
  <c r="V71" i="1"/>
  <c r="T90" i="1"/>
  <c r="S90" i="1"/>
  <c r="V247" i="1"/>
  <c r="S24" i="23"/>
  <c r="U24" i="23" s="1"/>
  <c r="S28" i="23"/>
  <c r="U28" i="23" s="1"/>
  <c r="S40" i="23"/>
  <c r="U40" i="23" s="1"/>
  <c r="S44" i="23"/>
  <c r="U44" i="23" s="1"/>
  <c r="S48" i="23"/>
  <c r="U48" i="23" s="1"/>
  <c r="S52" i="23"/>
  <c r="U52" i="23" s="1"/>
  <c r="S56" i="23"/>
  <c r="U56" i="23" s="1"/>
  <c r="S60" i="23"/>
  <c r="U60" i="23" s="1"/>
  <c r="S64" i="23"/>
  <c r="U64" i="23" s="1"/>
  <c r="S68" i="23"/>
  <c r="U68" i="23" s="1"/>
  <c r="S72" i="23"/>
  <c r="U72" i="23" s="1"/>
  <c r="K61" i="55" s="1"/>
  <c r="M61" i="55" s="1"/>
  <c r="S101" i="23"/>
  <c r="U101" i="23" s="1"/>
  <c r="S191" i="23"/>
  <c r="U191" i="23" s="1"/>
  <c r="S195" i="23"/>
  <c r="U195" i="23" s="1"/>
  <c r="S199" i="23"/>
  <c r="U199" i="23" s="1"/>
  <c r="S203" i="23"/>
  <c r="U203" i="23" s="1"/>
  <c r="S207" i="23"/>
  <c r="U207" i="23" s="1"/>
  <c r="S211" i="23"/>
  <c r="U211" i="23" s="1"/>
  <c r="S232" i="23"/>
  <c r="U232" i="23" s="1"/>
  <c r="S236" i="23"/>
  <c r="U236" i="23" s="1"/>
  <c r="S249" i="23"/>
  <c r="U249" i="23" s="1"/>
  <c r="S276" i="23"/>
  <c r="U276" i="23" s="1"/>
  <c r="S280" i="23"/>
  <c r="U280" i="23" s="1"/>
  <c r="S284" i="23"/>
  <c r="U284" i="23" s="1"/>
  <c r="S288" i="23"/>
  <c r="U288" i="23" s="1"/>
  <c r="S292" i="23"/>
  <c r="U292" i="23" s="1"/>
  <c r="S296" i="23"/>
  <c r="U296" i="23" s="1"/>
  <c r="S309" i="23"/>
  <c r="U309" i="23" s="1"/>
  <c r="S313" i="23"/>
  <c r="U313" i="23" s="1"/>
  <c r="F96" i="25" s="1"/>
  <c r="S317" i="23"/>
  <c r="U317" i="23" s="1"/>
  <c r="S321" i="23"/>
  <c r="U321" i="23" s="1"/>
  <c r="U94" i="1"/>
  <c r="N152" i="1"/>
  <c r="R152" i="1"/>
  <c r="O182" i="1"/>
  <c r="R182" i="1"/>
  <c r="V250" i="1"/>
  <c r="S31" i="23"/>
  <c r="U31" i="23" s="1"/>
  <c r="S39" i="23"/>
  <c r="U39" i="23" s="1"/>
  <c r="S67" i="23"/>
  <c r="U67" i="23" s="1"/>
  <c r="S71" i="23"/>
  <c r="U71" i="23" s="1"/>
  <c r="S100" i="23"/>
  <c r="U100" i="23" s="1"/>
  <c r="S210" i="23"/>
  <c r="U210" i="23" s="1"/>
  <c r="S231" i="23"/>
  <c r="U231" i="23" s="1"/>
  <c r="S279" i="23"/>
  <c r="U279" i="23" s="1"/>
  <c r="S283" i="23"/>
  <c r="U283" i="23" s="1"/>
  <c r="S295" i="23"/>
  <c r="U295" i="23" s="1"/>
  <c r="S337" i="23"/>
  <c r="U337" i="23" s="1"/>
  <c r="V29" i="1"/>
  <c r="N57" i="1"/>
  <c r="U75" i="1"/>
  <c r="I14" i="17"/>
  <c r="O57" i="1"/>
  <c r="Q75" i="1"/>
  <c r="R84" i="1"/>
  <c r="V196" i="1"/>
  <c r="O241" i="1"/>
  <c r="S22" i="23"/>
  <c r="U22" i="23" s="1"/>
  <c r="S38" i="23"/>
  <c r="U38" i="23" s="1"/>
  <c r="S230" i="23"/>
  <c r="U230" i="23" s="1"/>
  <c r="S238" i="23"/>
  <c r="U238" i="23" s="1"/>
  <c r="S270" i="23"/>
  <c r="U270" i="23" s="1"/>
  <c r="S274" i="23"/>
  <c r="U274" i="23" s="1"/>
  <c r="S298" i="23"/>
  <c r="U298" i="23" s="1"/>
  <c r="H64" i="17"/>
  <c r="H103" i="17" s="1"/>
  <c r="H14" i="17"/>
  <c r="T8" i="1"/>
  <c r="T15" i="1"/>
  <c r="R52" i="1"/>
  <c r="R75" i="1"/>
  <c r="U144" i="1"/>
  <c r="V189" i="1"/>
  <c r="N220" i="1"/>
  <c r="V11" i="3"/>
  <c r="S14" i="23"/>
  <c r="U14" i="23" s="1"/>
  <c r="K11" i="55" s="1"/>
  <c r="M11" i="55" s="1"/>
  <c r="S78" i="23"/>
  <c r="U78" i="23" s="1"/>
  <c r="S86" i="23"/>
  <c r="U86" i="23" s="1"/>
  <c r="S103" i="23"/>
  <c r="U103" i="23" s="1"/>
  <c r="S119" i="23"/>
  <c r="U119" i="23" s="1"/>
  <c r="S217" i="23"/>
  <c r="U217" i="23" s="1"/>
  <c r="S221" i="23"/>
  <c r="U221" i="23" s="1"/>
  <c r="S225" i="23"/>
  <c r="U225" i="23" s="1"/>
  <c r="S261" i="23"/>
  <c r="U261" i="23" s="1"/>
  <c r="S265" i="23"/>
  <c r="U265" i="23" s="1"/>
  <c r="I10" i="17"/>
  <c r="T84" i="1"/>
  <c r="T119" i="1"/>
  <c r="T182" i="1"/>
  <c r="Q241" i="1"/>
  <c r="O42" i="1"/>
  <c r="T42" i="1"/>
  <c r="T52" i="1"/>
  <c r="R94" i="1"/>
  <c r="V146" i="1"/>
  <c r="N182" i="1"/>
  <c r="U182" i="1"/>
  <c r="S29" i="23"/>
  <c r="U29" i="23" s="1"/>
  <c r="S37" i="23"/>
  <c r="U37" i="23" s="1"/>
  <c r="S61" i="23"/>
  <c r="U61" i="23" s="1"/>
  <c r="S77" i="23"/>
  <c r="U77" i="23" s="1"/>
  <c r="S85" i="23"/>
  <c r="U85" i="23" s="1"/>
  <c r="S106" i="23"/>
  <c r="U106" i="23" s="1"/>
  <c r="S114" i="23"/>
  <c r="U114" i="23" s="1"/>
  <c r="S220" i="23"/>
  <c r="U220" i="23" s="1"/>
  <c r="S228" i="23"/>
  <c r="U228" i="23" s="1"/>
  <c r="S252" i="23"/>
  <c r="U252" i="23" s="1"/>
  <c r="S255" i="23"/>
  <c r="U255" i="23" s="1"/>
  <c r="S264" i="23"/>
  <c r="U264" i="23" s="1"/>
  <c r="S282" i="23"/>
  <c r="U282" i="23" s="1"/>
  <c r="S303" i="23"/>
  <c r="U303" i="23" s="1"/>
  <c r="K263" i="55" s="1"/>
  <c r="M263" i="55" s="1"/>
  <c r="S253" i="23"/>
  <c r="U253" i="23" s="1"/>
  <c r="S245" i="23"/>
  <c r="U245" i="23" s="1"/>
  <c r="S94" i="23"/>
  <c r="U94" i="23" s="1"/>
  <c r="S113" i="23"/>
  <c r="U113" i="23" s="1"/>
  <c r="U15" i="1"/>
  <c r="S94" i="1"/>
  <c r="V37" i="1"/>
  <c r="H10" i="17"/>
  <c r="U57" i="1"/>
  <c r="S227" i="23"/>
  <c r="U227" i="23" s="1"/>
  <c r="S241" i="1"/>
  <c r="S8" i="1"/>
  <c r="V92" i="1"/>
  <c r="V79" i="1"/>
  <c r="S105" i="23"/>
  <c r="U105" i="23" s="1"/>
  <c r="V133" i="1"/>
  <c r="S119" i="1"/>
  <c r="V9" i="1"/>
  <c r="S266" i="23"/>
  <c r="U266" i="23" s="1"/>
  <c r="U42" i="1"/>
  <c r="U52" i="1"/>
  <c r="S340" i="23"/>
  <c r="U340" i="23" s="1"/>
  <c r="S27" i="23"/>
  <c r="U27" i="23" s="1"/>
  <c r="V10" i="1"/>
  <c r="V70" i="1"/>
  <c r="V80" i="1"/>
  <c r="S84" i="1"/>
  <c r="S152" i="1"/>
  <c r="S217" i="1"/>
  <c r="V229" i="1"/>
  <c r="S26" i="23"/>
  <c r="U26" i="23" s="1"/>
  <c r="S30" i="23"/>
  <c r="U30" i="23" s="1"/>
  <c r="S35" i="23"/>
  <c r="U35" i="23" s="1"/>
  <c r="S90" i="23"/>
  <c r="U90" i="23" s="1"/>
  <c r="S99" i="23"/>
  <c r="U99" i="23" s="1"/>
  <c r="S108" i="23"/>
  <c r="U108" i="23" s="1"/>
  <c r="S118" i="23"/>
  <c r="U118" i="23" s="1"/>
  <c r="S123" i="23"/>
  <c r="U123" i="23" s="1"/>
  <c r="S178" i="23"/>
  <c r="S187" i="23"/>
  <c r="U187" i="23" s="1"/>
  <c r="S190" i="23"/>
  <c r="U190" i="23" s="1"/>
  <c r="S194" i="23"/>
  <c r="U194" i="23" s="1"/>
  <c r="S198" i="23"/>
  <c r="U198" i="23" s="1"/>
  <c r="S202" i="23"/>
  <c r="U202" i="23" s="1"/>
  <c r="S206" i="23"/>
  <c r="U206" i="23" s="1"/>
  <c r="S216" i="23"/>
  <c r="U216" i="23" s="1"/>
  <c r="S250" i="23"/>
  <c r="U250" i="23" s="1"/>
  <c r="K216" i="55" s="1"/>
  <c r="M216" i="55" s="1"/>
  <c r="S278" i="23"/>
  <c r="U278" i="23" s="1"/>
  <c r="S287" i="23"/>
  <c r="U287" i="23" s="1"/>
  <c r="S291" i="23"/>
  <c r="U291" i="23" s="1"/>
  <c r="S348" i="23"/>
  <c r="U348" i="23" s="1"/>
  <c r="K306" i="55" s="1"/>
  <c r="V159" i="1"/>
  <c r="U84" i="1"/>
  <c r="V143" i="1"/>
  <c r="S236" i="1"/>
  <c r="S25" i="23"/>
  <c r="U25" i="23" s="1"/>
  <c r="S42" i="23"/>
  <c r="U42" i="23" s="1"/>
  <c r="S46" i="23"/>
  <c r="U46" i="23" s="1"/>
  <c r="S50" i="23"/>
  <c r="U50" i="23" s="1"/>
  <c r="F16" i="25" s="1"/>
  <c r="F16" i="30" s="1"/>
  <c r="S54" i="23"/>
  <c r="U54" i="23" s="1"/>
  <c r="S59" i="23"/>
  <c r="U59" i="23" s="1"/>
  <c r="S80" i="23"/>
  <c r="U80" i="23" s="1"/>
  <c r="S89" i="23"/>
  <c r="U89" i="23" s="1"/>
  <c r="S93" i="23"/>
  <c r="U93" i="23" s="1"/>
  <c r="S107" i="23"/>
  <c r="U107" i="23" s="1"/>
  <c r="S112" i="23"/>
  <c r="U112" i="23" s="1"/>
  <c r="S122" i="23"/>
  <c r="U122" i="23" s="1"/>
  <c r="S186" i="23"/>
  <c r="U186" i="23" s="1"/>
  <c r="F71" i="25" s="1"/>
  <c r="S189" i="23"/>
  <c r="U189" i="23" s="1"/>
  <c r="S193" i="23"/>
  <c r="U193" i="23" s="1"/>
  <c r="S197" i="23"/>
  <c r="U197" i="23" s="1"/>
  <c r="S201" i="23"/>
  <c r="U201" i="23" s="1"/>
  <c r="S205" i="23"/>
  <c r="U205" i="23" s="1"/>
  <c r="S234" i="23"/>
  <c r="U234" i="23" s="1"/>
  <c r="S277" i="23"/>
  <c r="U277" i="23" s="1"/>
  <c r="S281" i="23"/>
  <c r="U281" i="23" s="1"/>
  <c r="S286" i="23"/>
  <c r="U286" i="23" s="1"/>
  <c r="S290" i="23"/>
  <c r="U290" i="23" s="1"/>
  <c r="S299" i="23"/>
  <c r="U299" i="23" s="1"/>
  <c r="S338" i="23"/>
  <c r="U338" i="23" s="1"/>
  <c r="U119" i="1"/>
  <c r="S11" i="23"/>
  <c r="U11" i="23" s="1"/>
  <c r="S33" i="23"/>
  <c r="U33" i="23" s="1"/>
  <c r="S58" i="23"/>
  <c r="U58" i="23" s="1"/>
  <c r="S66" i="23"/>
  <c r="U66" i="23" s="1"/>
  <c r="S70" i="23"/>
  <c r="U70" i="23" s="1"/>
  <c r="S74" i="23"/>
  <c r="U74" i="23" s="1"/>
  <c r="S84" i="23"/>
  <c r="U84" i="23" s="1"/>
  <c r="S97" i="23"/>
  <c r="U97" i="23" s="1"/>
  <c r="S116" i="23"/>
  <c r="U116" i="23" s="1"/>
  <c r="K71" i="55" s="1"/>
  <c r="S209" i="23"/>
  <c r="U209" i="23" s="1"/>
  <c r="S214" i="23"/>
  <c r="U214" i="23" s="1"/>
  <c r="S224" i="23"/>
  <c r="U224" i="23" s="1"/>
  <c r="S263" i="23"/>
  <c r="U263" i="23" s="1"/>
  <c r="S272" i="23"/>
  <c r="U272" i="23" s="1"/>
  <c r="S294" i="23"/>
  <c r="U294" i="23" s="1"/>
  <c r="S308" i="23"/>
  <c r="U308" i="23" s="1"/>
  <c r="S312" i="23"/>
  <c r="U312" i="23" s="1"/>
  <c r="S320" i="23"/>
  <c r="U320" i="23" s="1"/>
  <c r="V104" i="3"/>
  <c r="H68" i="17"/>
  <c r="V31" i="1"/>
  <c r="V67" i="1"/>
  <c r="U90" i="1"/>
  <c r="V118" i="1"/>
  <c r="V248" i="1"/>
  <c r="S32" i="23"/>
  <c r="U32" i="23" s="1"/>
  <c r="S36" i="23"/>
  <c r="U36" i="23" s="1"/>
  <c r="S45" i="23"/>
  <c r="U45" i="23" s="1"/>
  <c r="S53" i="23"/>
  <c r="U53" i="23" s="1"/>
  <c r="S57" i="23"/>
  <c r="U57" i="23" s="1"/>
  <c r="S65" i="23"/>
  <c r="U65" i="23" s="1"/>
  <c r="S69" i="23"/>
  <c r="U69" i="23" s="1"/>
  <c r="S96" i="23"/>
  <c r="U96" i="23" s="1"/>
  <c r="S110" i="23"/>
  <c r="U110" i="23" s="1"/>
  <c r="S115" i="23"/>
  <c r="U115" i="23" s="1"/>
  <c r="S120" i="23"/>
  <c r="U120" i="23" s="1"/>
  <c r="S208" i="23"/>
  <c r="U208" i="23" s="1"/>
  <c r="S247" i="23"/>
  <c r="U247" i="23" s="1"/>
  <c r="S262" i="23"/>
  <c r="U262" i="23" s="1"/>
  <c r="S271" i="23"/>
  <c r="U271" i="23" s="1"/>
  <c r="S275" i="23"/>
  <c r="U275" i="23" s="1"/>
  <c r="S293" i="23"/>
  <c r="U293" i="23" s="1"/>
  <c r="S297" i="23"/>
  <c r="U297" i="23" s="1"/>
  <c r="S307" i="23"/>
  <c r="U307" i="23" s="1"/>
  <c r="S311" i="23"/>
  <c r="U311" i="23" s="1"/>
  <c r="S319" i="23"/>
  <c r="U319" i="23" s="1"/>
  <c r="S332" i="23"/>
  <c r="U332" i="23" s="1"/>
  <c r="S17" i="23"/>
  <c r="U17" i="23" s="1"/>
  <c r="S20" i="23"/>
  <c r="U20" i="23" s="1"/>
  <c r="S302" i="23"/>
  <c r="U302" i="23" s="1"/>
  <c r="K262" i="55" s="1"/>
  <c r="S342" i="23"/>
  <c r="U342" i="23" s="1"/>
  <c r="S19" i="23"/>
  <c r="U19" i="23" s="1"/>
  <c r="S341" i="23"/>
  <c r="U341" i="23" s="1"/>
  <c r="S18" i="23"/>
  <c r="U18" i="23" s="1"/>
  <c r="S339" i="23"/>
  <c r="U339" i="23" s="1"/>
  <c r="T6" i="16"/>
  <c r="W6" i="16" s="1"/>
  <c r="X6" i="16" s="1"/>
  <c r="H110" i="17"/>
  <c r="H111" i="17" s="1"/>
  <c r="I65" i="17"/>
  <c r="I64" i="17" s="1"/>
  <c r="I103" i="17" s="1"/>
  <c r="T9" i="16"/>
  <c r="I110" i="17"/>
  <c r="I111" i="17" s="1"/>
  <c r="AA6" i="16"/>
  <c r="AD6" i="16" s="1"/>
  <c r="I93" i="17"/>
  <c r="I73" i="17"/>
  <c r="I68" i="17" s="1"/>
  <c r="E23" i="24"/>
  <c r="AA9" i="16"/>
  <c r="AD9" i="16" s="1"/>
  <c r="H27" i="17"/>
  <c r="N8" i="1"/>
  <c r="N15" i="1"/>
  <c r="Q182" i="1"/>
  <c r="V190" i="1"/>
  <c r="N94" i="1"/>
  <c r="V227" i="1"/>
  <c r="V191" i="1"/>
  <c r="V195" i="1"/>
  <c r="F82" i="17"/>
  <c r="F81" i="17" s="1"/>
  <c r="H62" i="17"/>
  <c r="H61" i="17" s="1"/>
  <c r="V172" i="1"/>
  <c r="N224" i="1"/>
  <c r="N241" i="1"/>
  <c r="V116" i="3"/>
  <c r="S133" i="23"/>
  <c r="U133" i="23" s="1"/>
  <c r="S141" i="23"/>
  <c r="U141" i="23" s="1"/>
  <c r="K111" i="31" s="1"/>
  <c r="L111" i="31" s="1"/>
  <c r="P111" i="31" s="1"/>
  <c r="S145" i="23"/>
  <c r="U145" i="23" s="1"/>
  <c r="S149" i="23"/>
  <c r="U149" i="23" s="1"/>
  <c r="S153" i="23"/>
  <c r="U153" i="23" s="1"/>
  <c r="S157" i="23"/>
  <c r="U157" i="23" s="1"/>
  <c r="S161" i="23"/>
  <c r="U161" i="23" s="1"/>
  <c r="S165" i="23"/>
  <c r="U165" i="23" s="1"/>
  <c r="S169" i="23"/>
  <c r="U169" i="23" s="1"/>
  <c r="S173" i="23"/>
  <c r="U173" i="23" s="1"/>
  <c r="K118" i="55" s="1"/>
  <c r="M118" i="55" s="1"/>
  <c r="V114" i="3"/>
  <c r="S132" i="23"/>
  <c r="U132" i="23" s="1"/>
  <c r="S140" i="23"/>
  <c r="U140" i="23" s="1"/>
  <c r="S144" i="23"/>
  <c r="U144" i="23" s="1"/>
  <c r="S148" i="23"/>
  <c r="U148" i="23" s="1"/>
  <c r="S156" i="23"/>
  <c r="U156" i="23" s="1"/>
  <c r="K133" i="55" s="1"/>
  <c r="M133" i="55" s="1"/>
  <c r="S160" i="23"/>
  <c r="U160" i="23" s="1"/>
  <c r="S164" i="23"/>
  <c r="U164" i="23" s="1"/>
  <c r="S168" i="23"/>
  <c r="U168" i="23" s="1"/>
  <c r="S172" i="23"/>
  <c r="U172" i="23" s="1"/>
  <c r="S176" i="23"/>
  <c r="U176" i="23" s="1"/>
  <c r="S273" i="23"/>
  <c r="U273" i="23" s="1"/>
  <c r="S135" i="23"/>
  <c r="U135" i="23" s="1"/>
  <c r="S139" i="23"/>
  <c r="U139" i="23" s="1"/>
  <c r="S155" i="23"/>
  <c r="U155" i="23" s="1"/>
  <c r="S159" i="23"/>
  <c r="U159" i="23" s="1"/>
  <c r="S163" i="23"/>
  <c r="U163" i="23" s="1"/>
  <c r="S167" i="23"/>
  <c r="U167" i="23" s="1"/>
  <c r="S171" i="23"/>
  <c r="U171" i="23" s="1"/>
  <c r="S134" i="23"/>
  <c r="U134" i="23" s="1"/>
  <c r="S138" i="23"/>
  <c r="U138" i="23" s="1"/>
  <c r="S142" i="23"/>
  <c r="U142" i="23" s="1"/>
  <c r="S154" i="23"/>
  <c r="U154" i="23" s="1"/>
  <c r="S158" i="23"/>
  <c r="U158" i="23" s="1"/>
  <c r="S162" i="23"/>
  <c r="U162" i="23" s="1"/>
  <c r="K139" i="55" s="1"/>
  <c r="M139" i="55" s="1"/>
  <c r="S166" i="23"/>
  <c r="U166" i="23" s="1"/>
  <c r="S170" i="23"/>
  <c r="U170" i="23" s="1"/>
  <c r="S174" i="23"/>
  <c r="U174" i="23" s="1"/>
  <c r="S325" i="23"/>
  <c r="U325" i="23" s="1"/>
  <c r="S333" i="23"/>
  <c r="U333" i="23" s="1"/>
  <c r="S248" i="23"/>
  <c r="U248" i="23" s="1"/>
  <c r="S330" i="23"/>
  <c r="U330" i="23" s="1"/>
  <c r="S329" i="23"/>
  <c r="U329" i="23" s="1"/>
  <c r="S328" i="23"/>
  <c r="U328" i="23" s="1"/>
  <c r="S336" i="23"/>
  <c r="U336" i="23" s="1"/>
  <c r="S305" i="23"/>
  <c r="U305" i="23" s="1"/>
  <c r="S326" i="23"/>
  <c r="U326" i="23" s="1"/>
  <c r="S334" i="23"/>
  <c r="U334" i="23" s="1"/>
  <c r="L69" i="45"/>
  <c r="M69" i="45" s="1"/>
  <c r="Y272" i="23" l="1"/>
  <c r="Z272" i="23" s="1"/>
  <c r="Z273" i="23" s="1"/>
  <c r="Y278" i="23"/>
  <c r="Z278" i="23" s="1"/>
  <c r="F19" i="25"/>
  <c r="W96" i="23"/>
  <c r="F36" i="25"/>
  <c r="F34" i="25"/>
  <c r="K82" i="55"/>
  <c r="M82" i="55" s="1"/>
  <c r="AK20" i="11"/>
  <c r="M27" i="11"/>
  <c r="Z7" i="11"/>
  <c r="K101" i="31"/>
  <c r="L101" i="31" s="1"/>
  <c r="L371" i="23"/>
  <c r="I12" i="34"/>
  <c r="I21" i="34" s="1"/>
  <c r="K62" i="55"/>
  <c r="M62" i="55" s="1"/>
  <c r="F35" i="25"/>
  <c r="S7" i="15"/>
  <c r="U7" i="15" s="1"/>
  <c r="Q24" i="19" s="1"/>
  <c r="I11" i="4"/>
  <c r="L11" i="4" s="1"/>
  <c r="N11" i="4" s="1"/>
  <c r="Z12" i="11"/>
  <c r="S257" i="23"/>
  <c r="U257" i="23" s="1"/>
  <c r="K222" i="31" s="1"/>
  <c r="L222" i="31" s="1"/>
  <c r="O24" i="11"/>
  <c r="S27" i="11"/>
  <c r="AD24" i="11"/>
  <c r="H22" i="8"/>
  <c r="U7" i="1"/>
  <c r="N7" i="1"/>
  <c r="O7" i="1"/>
  <c r="T7" i="1"/>
  <c r="R7" i="1"/>
  <c r="K74" i="55"/>
  <c r="M74" i="55" s="1"/>
  <c r="F47" i="25"/>
  <c r="K210" i="55"/>
  <c r="M210" i="55" s="1"/>
  <c r="F78" i="25"/>
  <c r="F18" i="25"/>
  <c r="F18" i="30" s="1"/>
  <c r="K251" i="55"/>
  <c r="M251" i="55" s="1"/>
  <c r="K198" i="55"/>
  <c r="M198" i="55" s="1"/>
  <c r="F26" i="25"/>
  <c r="F27" i="30" s="1"/>
  <c r="K29" i="55"/>
  <c r="M29" i="55" s="1"/>
  <c r="K220" i="31"/>
  <c r="L220" i="31" s="1"/>
  <c r="K222" i="55"/>
  <c r="M222" i="55" s="1"/>
  <c r="K56" i="31"/>
  <c r="L56" i="31" s="1"/>
  <c r="K57" i="55"/>
  <c r="K230" i="31"/>
  <c r="L230" i="31" s="1"/>
  <c r="K232" i="55"/>
  <c r="M232" i="55" s="1"/>
  <c r="K290" i="31"/>
  <c r="L290" i="31" s="1"/>
  <c r="K292" i="55"/>
  <c r="M292" i="55" s="1"/>
  <c r="K289" i="31"/>
  <c r="L289" i="31" s="1"/>
  <c r="K291" i="55"/>
  <c r="M291" i="55" s="1"/>
  <c r="K134" i="31"/>
  <c r="L134" i="31" s="1"/>
  <c r="K135" i="55"/>
  <c r="M135" i="55" s="1"/>
  <c r="K139" i="31"/>
  <c r="L139" i="31" s="1"/>
  <c r="K140" i="55"/>
  <c r="M140" i="55" s="1"/>
  <c r="K278" i="31"/>
  <c r="L278" i="31" s="1"/>
  <c r="K280" i="55"/>
  <c r="M280" i="55" s="1"/>
  <c r="K63" i="31"/>
  <c r="L63" i="31" s="1"/>
  <c r="P63" i="31" s="1"/>
  <c r="K64" i="55"/>
  <c r="F17" i="25"/>
  <c r="F17" i="30" s="1"/>
  <c r="K48" i="55"/>
  <c r="M48" i="55" s="1"/>
  <c r="K187" i="55"/>
  <c r="M187" i="55" s="1"/>
  <c r="K290" i="55"/>
  <c r="M290" i="55" s="1"/>
  <c r="K110" i="31"/>
  <c r="L110" i="31" s="1"/>
  <c r="K112" i="55"/>
  <c r="M112" i="55" s="1"/>
  <c r="K17" i="31"/>
  <c r="L17" i="31" s="1"/>
  <c r="P17" i="31" s="1"/>
  <c r="K18" i="55"/>
  <c r="M18" i="55" s="1"/>
  <c r="K277" i="31"/>
  <c r="L277" i="31" s="1"/>
  <c r="K279" i="55"/>
  <c r="M279" i="55" s="1"/>
  <c r="W247" i="23"/>
  <c r="K213" i="55"/>
  <c r="M213" i="55" s="1"/>
  <c r="K53" i="31"/>
  <c r="L53" i="31" s="1"/>
  <c r="P53" i="31" s="1"/>
  <c r="K54" i="55"/>
  <c r="M54" i="55" s="1"/>
  <c r="K86" i="31"/>
  <c r="L86" i="31" s="1"/>
  <c r="P86" i="31" s="1"/>
  <c r="K90" i="55"/>
  <c r="M90" i="55" s="1"/>
  <c r="K41" i="31"/>
  <c r="L41" i="31" s="1"/>
  <c r="P41" i="31" s="1"/>
  <c r="K42" i="55"/>
  <c r="M42" i="55" s="1"/>
  <c r="K248" i="31"/>
  <c r="L248" i="31" s="1"/>
  <c r="K250" i="55"/>
  <c r="M250" i="55" s="1"/>
  <c r="K283" i="31"/>
  <c r="L283" i="31" s="1"/>
  <c r="K285" i="55"/>
  <c r="M285" i="55" s="1"/>
  <c r="K282" i="31"/>
  <c r="L282" i="31" s="1"/>
  <c r="K284" i="55"/>
  <c r="M284" i="55" s="1"/>
  <c r="K130" i="31"/>
  <c r="L130" i="31" s="1"/>
  <c r="K131" i="55"/>
  <c r="M131" i="55" s="1"/>
  <c r="K135" i="31"/>
  <c r="L135" i="31" s="1"/>
  <c r="K136" i="55"/>
  <c r="M136" i="55" s="1"/>
  <c r="K143" i="31"/>
  <c r="L143" i="31" s="1"/>
  <c r="K144" i="55"/>
  <c r="M144" i="55" s="1"/>
  <c r="K269" i="31"/>
  <c r="L269" i="31" s="1"/>
  <c r="K271" i="55"/>
  <c r="M271" i="55" s="1"/>
  <c r="K180" i="31"/>
  <c r="L180" i="31" s="1"/>
  <c r="K182" i="55"/>
  <c r="M182" i="55" s="1"/>
  <c r="K52" i="31"/>
  <c r="L52" i="31" s="1"/>
  <c r="P52" i="31" s="1"/>
  <c r="K53" i="55"/>
  <c r="M53" i="55" s="1"/>
  <c r="K274" i="31"/>
  <c r="L274" i="31" s="1"/>
  <c r="K276" i="55"/>
  <c r="M276" i="55" s="1"/>
  <c r="K181" i="31"/>
  <c r="L181" i="31" s="1"/>
  <c r="K183" i="55"/>
  <c r="M183" i="55" s="1"/>
  <c r="K31" i="31"/>
  <c r="L31" i="31" s="1"/>
  <c r="K32" i="55"/>
  <c r="M32" i="55" s="1"/>
  <c r="K244" i="31"/>
  <c r="L244" i="31" s="1"/>
  <c r="K246" i="55"/>
  <c r="M246" i="55" s="1"/>
  <c r="K158" i="31"/>
  <c r="L158" i="31" s="1"/>
  <c r="K159" i="55"/>
  <c r="M159" i="55" s="1"/>
  <c r="K49" i="31"/>
  <c r="L49" i="31" s="1"/>
  <c r="P49" i="31" s="1"/>
  <c r="K50" i="55"/>
  <c r="M50" i="55" s="1"/>
  <c r="K178" i="31"/>
  <c r="L178" i="31" s="1"/>
  <c r="K180" i="55"/>
  <c r="M180" i="55" s="1"/>
  <c r="K296" i="31"/>
  <c r="L296" i="31" s="1"/>
  <c r="K298" i="55"/>
  <c r="M298" i="55" s="1"/>
  <c r="K82" i="31"/>
  <c r="L82" i="31" s="1"/>
  <c r="P82" i="31" s="1"/>
  <c r="K86" i="55"/>
  <c r="M86" i="55" s="1"/>
  <c r="K197" i="31"/>
  <c r="L197" i="31" s="1"/>
  <c r="K199" i="55"/>
  <c r="M199" i="55" s="1"/>
  <c r="K27" i="31"/>
  <c r="L27" i="31" s="1"/>
  <c r="P27" i="31" s="1"/>
  <c r="K28" i="55"/>
  <c r="M28" i="55" s="1"/>
  <c r="K195" i="31"/>
  <c r="L195" i="31" s="1"/>
  <c r="K197" i="55"/>
  <c r="M197" i="55" s="1"/>
  <c r="K37" i="31"/>
  <c r="L37" i="31" s="1"/>
  <c r="P37" i="31" s="1"/>
  <c r="K38" i="55"/>
  <c r="M38" i="55" s="1"/>
  <c r="K243" i="31"/>
  <c r="L243" i="31" s="1"/>
  <c r="K245" i="55"/>
  <c r="M245" i="55" s="1"/>
  <c r="K171" i="31"/>
  <c r="L171" i="31" s="1"/>
  <c r="K173" i="55"/>
  <c r="M173" i="55" s="1"/>
  <c r="K55" i="31"/>
  <c r="L55" i="31" s="1"/>
  <c r="P55" i="31" s="1"/>
  <c r="K56" i="55"/>
  <c r="M56" i="55" s="1"/>
  <c r="K219" i="31"/>
  <c r="L219" i="31" s="1"/>
  <c r="K220" i="55"/>
  <c r="M220" i="55" s="1"/>
  <c r="K161" i="31"/>
  <c r="L161" i="31" s="1"/>
  <c r="K162" i="55"/>
  <c r="M162" i="55" s="1"/>
  <c r="K201" i="31"/>
  <c r="L201" i="31" s="1"/>
  <c r="K203" i="55"/>
  <c r="M203" i="55" s="1"/>
  <c r="F74" i="25"/>
  <c r="K194" i="55"/>
  <c r="M194" i="55" s="1"/>
  <c r="K14" i="31"/>
  <c r="L14" i="31" s="1"/>
  <c r="K13" i="55"/>
  <c r="M13" i="55" s="1"/>
  <c r="K234" i="31"/>
  <c r="L234" i="31" s="1"/>
  <c r="K236" i="55"/>
  <c r="M236" i="55" s="1"/>
  <c r="K39" i="31"/>
  <c r="L39" i="31" s="1"/>
  <c r="P39" i="31" s="1"/>
  <c r="K40" i="55"/>
  <c r="M40" i="55" s="1"/>
  <c r="K284" i="31"/>
  <c r="L284" i="31" s="1"/>
  <c r="K286" i="55"/>
  <c r="M286" i="55" s="1"/>
  <c r="K162" i="31"/>
  <c r="L162" i="31" s="1"/>
  <c r="K163" i="55"/>
  <c r="M163" i="55" s="1"/>
  <c r="K54" i="31"/>
  <c r="L54" i="31" s="1"/>
  <c r="P54" i="31" s="1"/>
  <c r="K55" i="55"/>
  <c r="M55" i="55" s="1"/>
  <c r="K186" i="31"/>
  <c r="L186" i="31" s="1"/>
  <c r="K188" i="55"/>
  <c r="M188" i="55" s="1"/>
  <c r="K24" i="31"/>
  <c r="L24" i="31" s="1"/>
  <c r="P24" i="31" s="1"/>
  <c r="K25" i="55"/>
  <c r="M25" i="55" s="1"/>
  <c r="K25" i="31"/>
  <c r="L25" i="31" s="1"/>
  <c r="P25" i="31" s="1"/>
  <c r="K26" i="55"/>
  <c r="M26" i="55" s="1"/>
  <c r="K103" i="31"/>
  <c r="L103" i="31" s="1"/>
  <c r="P103" i="31" s="1"/>
  <c r="K105" i="55"/>
  <c r="M105" i="55" s="1"/>
  <c r="K216" i="31"/>
  <c r="L216" i="31" s="1"/>
  <c r="K217" i="55"/>
  <c r="M217" i="55" s="1"/>
  <c r="K35" i="31"/>
  <c r="L35" i="31" s="1"/>
  <c r="P35" i="31" s="1"/>
  <c r="K36" i="55"/>
  <c r="M36" i="55" s="1"/>
  <c r="K226" i="31"/>
  <c r="L226" i="31" s="1"/>
  <c r="K228" i="55"/>
  <c r="M228" i="55" s="1"/>
  <c r="F41" i="25"/>
  <c r="F30" i="30" s="1"/>
  <c r="K66" i="55"/>
  <c r="K293" i="31"/>
  <c r="L293" i="31" s="1"/>
  <c r="K295" i="55"/>
  <c r="M295" i="55" s="1"/>
  <c r="K247" i="31"/>
  <c r="L247" i="31" s="1"/>
  <c r="K249" i="55"/>
  <c r="M249" i="55" s="1"/>
  <c r="K175" i="31"/>
  <c r="L175" i="31" s="1"/>
  <c r="K177" i="55"/>
  <c r="M177" i="55" s="1"/>
  <c r="K59" i="31"/>
  <c r="L59" i="31" s="1"/>
  <c r="P59" i="31" s="1"/>
  <c r="K60" i="55"/>
  <c r="M60" i="55" s="1"/>
  <c r="K22" i="31"/>
  <c r="L22" i="31" s="1"/>
  <c r="P22" i="31" s="1"/>
  <c r="K23" i="55"/>
  <c r="M23" i="55" s="1"/>
  <c r="K223" i="31"/>
  <c r="L223" i="31" s="1"/>
  <c r="K225" i="55"/>
  <c r="M225" i="55" s="1"/>
  <c r="K263" i="31"/>
  <c r="L263" i="31" s="1"/>
  <c r="K265" i="55"/>
  <c r="M265" i="55" s="1"/>
  <c r="K119" i="31"/>
  <c r="L119" i="31" s="1"/>
  <c r="K120" i="55"/>
  <c r="M120" i="55" s="1"/>
  <c r="K131" i="31"/>
  <c r="L131" i="31" s="1"/>
  <c r="K132" i="55"/>
  <c r="M132" i="55" s="1"/>
  <c r="K140" i="31"/>
  <c r="L140" i="31" s="1"/>
  <c r="K141" i="55"/>
  <c r="M141" i="55" s="1"/>
  <c r="K122" i="31"/>
  <c r="L122" i="31" s="1"/>
  <c r="K123" i="55"/>
  <c r="M123" i="55" s="1"/>
  <c r="K298" i="31"/>
  <c r="L298" i="31" s="1"/>
  <c r="K300" i="55"/>
  <c r="M300" i="55" s="1"/>
  <c r="K265" i="31"/>
  <c r="L265" i="31" s="1"/>
  <c r="K267" i="55"/>
  <c r="M267" i="55" s="1"/>
  <c r="K48" i="31"/>
  <c r="L48" i="31" s="1"/>
  <c r="P48" i="31" s="1"/>
  <c r="K49" i="55"/>
  <c r="M49" i="55" s="1"/>
  <c r="K270" i="31"/>
  <c r="L270" i="31" s="1"/>
  <c r="K272" i="55"/>
  <c r="M272" i="55" s="1"/>
  <c r="K9" i="55"/>
  <c r="K174" i="31"/>
  <c r="L174" i="31" s="1"/>
  <c r="K176" i="55"/>
  <c r="M176" i="55" s="1"/>
  <c r="K96" i="31"/>
  <c r="L96" i="31" s="1"/>
  <c r="P96" i="31" s="1"/>
  <c r="K100" i="55"/>
  <c r="M100" i="55" s="1"/>
  <c r="K210" i="31"/>
  <c r="L210" i="31" s="1"/>
  <c r="K211" i="55"/>
  <c r="M211" i="55" s="1"/>
  <c r="K190" i="31"/>
  <c r="L190" i="31" s="1"/>
  <c r="K192" i="55"/>
  <c r="M192" i="55" s="1"/>
  <c r="K191" i="31"/>
  <c r="L191" i="31" s="1"/>
  <c r="K193" i="55"/>
  <c r="M193" i="55" s="1"/>
  <c r="K36" i="31"/>
  <c r="L36" i="31" s="1"/>
  <c r="P36" i="31" s="1"/>
  <c r="K37" i="55"/>
  <c r="M37" i="55" s="1"/>
  <c r="K246" i="31"/>
  <c r="L246" i="31" s="1"/>
  <c r="K248" i="55"/>
  <c r="M248" i="55" s="1"/>
  <c r="K29" i="31"/>
  <c r="L29" i="31" s="1"/>
  <c r="K30" i="55"/>
  <c r="M30" i="55" s="1"/>
  <c r="K275" i="31"/>
  <c r="L275" i="31" s="1"/>
  <c r="K277" i="55"/>
  <c r="M277" i="55" s="1"/>
  <c r="K239" i="31"/>
  <c r="L239" i="31" s="1"/>
  <c r="K241" i="55"/>
  <c r="M241" i="55" s="1"/>
  <c r="K167" i="31"/>
  <c r="L167" i="31" s="1"/>
  <c r="K168" i="55"/>
  <c r="M168" i="55" s="1"/>
  <c r="K51" i="31"/>
  <c r="L51" i="31" s="1"/>
  <c r="K52" i="55"/>
  <c r="M52" i="55" s="1"/>
  <c r="K83" i="31"/>
  <c r="L83" i="31" s="1"/>
  <c r="P83" i="31" s="1"/>
  <c r="K87" i="55"/>
  <c r="M87" i="55" s="1"/>
  <c r="K97" i="31"/>
  <c r="L97" i="31" s="1"/>
  <c r="P97" i="31" s="1"/>
  <c r="K101" i="55"/>
  <c r="M101" i="55" s="1"/>
  <c r="K188" i="31"/>
  <c r="L188" i="31" s="1"/>
  <c r="K190" i="55"/>
  <c r="M190" i="55" s="1"/>
  <c r="K279" i="31"/>
  <c r="L279" i="31" s="1"/>
  <c r="K281" i="55"/>
  <c r="M281" i="55" s="1"/>
  <c r="K133" i="31"/>
  <c r="L133" i="31" s="1"/>
  <c r="K134" i="55"/>
  <c r="M134" i="55" s="1"/>
  <c r="K297" i="31"/>
  <c r="L297" i="31" s="1"/>
  <c r="K299" i="55"/>
  <c r="M299" i="55" s="1"/>
  <c r="K227" i="31"/>
  <c r="L227" i="31" s="1"/>
  <c r="K229" i="55"/>
  <c r="M229" i="55" s="1"/>
  <c r="K194" i="31"/>
  <c r="L194" i="31" s="1"/>
  <c r="K196" i="55"/>
  <c r="M196" i="55" s="1"/>
  <c r="K165" i="31"/>
  <c r="L165" i="31" s="1"/>
  <c r="K166" i="55"/>
  <c r="M166" i="55" s="1"/>
  <c r="K68" i="31"/>
  <c r="L68" i="31" s="1"/>
  <c r="P68" i="31" s="1"/>
  <c r="K72" i="55"/>
  <c r="M72" i="55" s="1"/>
  <c r="K292" i="31"/>
  <c r="L292" i="31" s="1"/>
  <c r="K294" i="55"/>
  <c r="M294" i="55" s="1"/>
  <c r="K118" i="31"/>
  <c r="L118" i="31" s="1"/>
  <c r="K119" i="55"/>
  <c r="M119" i="55" s="1"/>
  <c r="K136" i="31"/>
  <c r="L136" i="31" s="1"/>
  <c r="K137" i="55"/>
  <c r="M137" i="55" s="1"/>
  <c r="M262" i="55"/>
  <c r="F13" i="25"/>
  <c r="F13" i="30" s="1"/>
  <c r="K44" i="55"/>
  <c r="M44" i="55" s="1"/>
  <c r="K266" i="31"/>
  <c r="L266" i="31" s="1"/>
  <c r="K268" i="55"/>
  <c r="M268" i="55" s="1"/>
  <c r="K85" i="31"/>
  <c r="L85" i="31" s="1"/>
  <c r="P85" i="31" s="1"/>
  <c r="K89" i="55"/>
  <c r="M89" i="55" s="1"/>
  <c r="K202" i="31"/>
  <c r="L202" i="31" s="1"/>
  <c r="K204" i="55"/>
  <c r="M204" i="55" s="1"/>
  <c r="K100" i="31"/>
  <c r="L100" i="31" s="1"/>
  <c r="P100" i="31" s="1"/>
  <c r="K104" i="55"/>
  <c r="M104" i="55" s="1"/>
  <c r="K44" i="31"/>
  <c r="L44" i="31" s="1"/>
  <c r="P44" i="31" s="1"/>
  <c r="K45" i="55"/>
  <c r="M45" i="55" s="1"/>
  <c r="M306" i="55"/>
  <c r="M305" i="55" s="1"/>
  <c r="M304" i="55" s="1"/>
  <c r="K305" i="55"/>
  <c r="K304" i="55" s="1"/>
  <c r="K170" i="31"/>
  <c r="L170" i="31" s="1"/>
  <c r="K172" i="55"/>
  <c r="M172" i="55" s="1"/>
  <c r="K87" i="31"/>
  <c r="L87" i="31" s="1"/>
  <c r="P87" i="31" s="1"/>
  <c r="K91" i="55"/>
  <c r="M91" i="55" s="1"/>
  <c r="K93" i="31"/>
  <c r="L93" i="31" s="1"/>
  <c r="P93" i="31" s="1"/>
  <c r="K97" i="55"/>
  <c r="M97" i="55" s="1"/>
  <c r="K217" i="31"/>
  <c r="L217" i="31" s="1"/>
  <c r="K218" i="55"/>
  <c r="M218" i="55" s="1"/>
  <c r="K187" i="31"/>
  <c r="L187" i="31" s="1"/>
  <c r="K189" i="55"/>
  <c r="M189" i="55" s="1"/>
  <c r="K20" i="31"/>
  <c r="L20" i="31" s="1"/>
  <c r="P20" i="31" s="1"/>
  <c r="K21" i="55"/>
  <c r="M21" i="55" s="1"/>
  <c r="K242" i="31"/>
  <c r="L242" i="31" s="1"/>
  <c r="K244" i="55"/>
  <c r="M244" i="55" s="1"/>
  <c r="K271" i="31"/>
  <c r="L271" i="31" s="1"/>
  <c r="K273" i="55"/>
  <c r="M273" i="55" s="1"/>
  <c r="K214" i="31"/>
  <c r="L214" i="31" s="1"/>
  <c r="K215" i="55"/>
  <c r="M215" i="55" s="1"/>
  <c r="K165" i="55"/>
  <c r="M165" i="55" s="1"/>
  <c r="K79" i="31"/>
  <c r="L79" i="31" s="1"/>
  <c r="P79" i="31" s="1"/>
  <c r="K83" i="55"/>
  <c r="M83" i="55" s="1"/>
  <c r="K233" i="31"/>
  <c r="L233" i="31" s="1"/>
  <c r="K235" i="55"/>
  <c r="M235" i="55" s="1"/>
  <c r="K211" i="31"/>
  <c r="L211" i="31" s="1"/>
  <c r="K212" i="55"/>
  <c r="M212" i="55" s="1"/>
  <c r="K276" i="31"/>
  <c r="L276" i="31" s="1"/>
  <c r="K278" i="55"/>
  <c r="M278" i="55" s="1"/>
  <c r="K218" i="31"/>
  <c r="L218" i="31" s="1"/>
  <c r="K219" i="55"/>
  <c r="M219" i="55" s="1"/>
  <c r="K231" i="31"/>
  <c r="L231" i="31" s="1"/>
  <c r="K233" i="55"/>
  <c r="M233" i="55" s="1"/>
  <c r="K94" i="31"/>
  <c r="L94" i="31" s="1"/>
  <c r="P94" i="31" s="1"/>
  <c r="K98" i="55"/>
  <c r="M98" i="55" s="1"/>
  <c r="K199" i="31"/>
  <c r="L199" i="31" s="1"/>
  <c r="K201" i="55"/>
  <c r="M201" i="55" s="1"/>
  <c r="K267" i="31"/>
  <c r="L267" i="31" s="1"/>
  <c r="K269" i="55"/>
  <c r="M269" i="55" s="1"/>
  <c r="K204" i="31"/>
  <c r="L204" i="31" s="1"/>
  <c r="K206" i="55"/>
  <c r="M206" i="55" s="1"/>
  <c r="K160" i="31"/>
  <c r="L160" i="31" s="1"/>
  <c r="K161" i="55"/>
  <c r="M161" i="55" s="1"/>
  <c r="K46" i="31"/>
  <c r="L46" i="31" s="1"/>
  <c r="P46" i="31" s="1"/>
  <c r="K47" i="55"/>
  <c r="M47" i="55" s="1"/>
  <c r="K184" i="31"/>
  <c r="L184" i="31" s="1"/>
  <c r="K186" i="55"/>
  <c r="M186" i="55" s="1"/>
  <c r="K75" i="31"/>
  <c r="L75" i="31" s="1"/>
  <c r="P75" i="31" s="1"/>
  <c r="K79" i="55"/>
  <c r="M79" i="55" s="1"/>
  <c r="K225" i="31"/>
  <c r="L225" i="31" s="1"/>
  <c r="K227" i="55"/>
  <c r="M227" i="55" s="1"/>
  <c r="K272" i="31"/>
  <c r="L272" i="31" s="1"/>
  <c r="K274" i="55"/>
  <c r="M274" i="55" s="1"/>
  <c r="K112" i="31"/>
  <c r="L112" i="31" s="1"/>
  <c r="K113" i="55"/>
  <c r="M113" i="55" s="1"/>
  <c r="K18" i="31"/>
  <c r="L18" i="31" s="1"/>
  <c r="P18" i="31" s="1"/>
  <c r="K19" i="55"/>
  <c r="M19" i="55" s="1"/>
  <c r="K34" i="31"/>
  <c r="L34" i="31" s="1"/>
  <c r="P34" i="31" s="1"/>
  <c r="K35" i="55"/>
  <c r="M35" i="55" s="1"/>
  <c r="K72" i="31"/>
  <c r="L72" i="31" s="1"/>
  <c r="P72" i="31" s="1"/>
  <c r="K76" i="55"/>
  <c r="M76" i="55" s="1"/>
  <c r="K95" i="31"/>
  <c r="L95" i="31" s="1"/>
  <c r="P95" i="31" s="1"/>
  <c r="K99" i="55"/>
  <c r="M99" i="55" s="1"/>
  <c r="K253" i="31"/>
  <c r="L253" i="31" s="1"/>
  <c r="K255" i="55"/>
  <c r="M255" i="55" s="1"/>
  <c r="K286" i="31"/>
  <c r="L286" i="31" s="1"/>
  <c r="K288" i="55"/>
  <c r="M288" i="55" s="1"/>
  <c r="K125" i="31"/>
  <c r="L125" i="31" s="1"/>
  <c r="K126" i="55"/>
  <c r="M126" i="55" s="1"/>
  <c r="K16" i="31"/>
  <c r="L16" i="31" s="1"/>
  <c r="P16" i="31" s="1"/>
  <c r="K15" i="55"/>
  <c r="M15" i="55" s="1"/>
  <c r="K238" i="31"/>
  <c r="L238" i="31" s="1"/>
  <c r="K240" i="55"/>
  <c r="M240" i="55" s="1"/>
  <c r="K31" i="55"/>
  <c r="M31" i="55" s="1"/>
  <c r="K294" i="31"/>
  <c r="L294" i="31" s="1"/>
  <c r="K296" i="55"/>
  <c r="M296" i="55" s="1"/>
  <c r="K173" i="31"/>
  <c r="L173" i="31" s="1"/>
  <c r="K175" i="55"/>
  <c r="M175" i="55" s="1"/>
  <c r="K81" i="31"/>
  <c r="L81" i="31" s="1"/>
  <c r="P81" i="31" s="1"/>
  <c r="K85" i="55"/>
  <c r="M85" i="55" s="1"/>
  <c r="K23" i="31"/>
  <c r="L23" i="31" s="1"/>
  <c r="P23" i="31" s="1"/>
  <c r="K24" i="55"/>
  <c r="M24" i="55" s="1"/>
  <c r="K163" i="31"/>
  <c r="L163" i="31" s="1"/>
  <c r="K164" i="55"/>
  <c r="M164" i="55" s="1"/>
  <c r="K245" i="31"/>
  <c r="L245" i="31" s="1"/>
  <c r="K247" i="55"/>
  <c r="M247" i="55" s="1"/>
  <c r="K73" i="31"/>
  <c r="L73" i="31" s="1"/>
  <c r="P73" i="31" s="1"/>
  <c r="K77" i="55"/>
  <c r="M77" i="55" s="1"/>
  <c r="K91" i="31"/>
  <c r="L91" i="31" s="1"/>
  <c r="P91" i="31" s="1"/>
  <c r="K95" i="55"/>
  <c r="M95" i="55" s="1"/>
  <c r="K182" i="31"/>
  <c r="L182" i="31" s="1"/>
  <c r="K184" i="55"/>
  <c r="M184" i="55" s="1"/>
  <c r="K200" i="31"/>
  <c r="L200" i="31" s="1"/>
  <c r="K202" i="55"/>
  <c r="M202" i="55" s="1"/>
  <c r="K89" i="31"/>
  <c r="L89" i="31" s="1"/>
  <c r="P89" i="31" s="1"/>
  <c r="K93" i="55"/>
  <c r="M93" i="55" s="1"/>
  <c r="K42" i="31"/>
  <c r="L42" i="31" s="1"/>
  <c r="P42" i="31" s="1"/>
  <c r="K43" i="55"/>
  <c r="K176" i="31"/>
  <c r="L176" i="31" s="1"/>
  <c r="K178" i="55"/>
  <c r="M178" i="55" s="1"/>
  <c r="K66" i="31"/>
  <c r="L66" i="31" s="1"/>
  <c r="P66" i="31" s="1"/>
  <c r="K69" i="55"/>
  <c r="M69" i="55" s="1"/>
  <c r="K198" i="31"/>
  <c r="L198" i="31" s="1"/>
  <c r="K200" i="55"/>
  <c r="M200" i="55" s="1"/>
  <c r="K92" i="31"/>
  <c r="L92" i="31" s="1"/>
  <c r="P92" i="31" s="1"/>
  <c r="K96" i="55"/>
  <c r="M96" i="55" s="1"/>
  <c r="K268" i="31"/>
  <c r="L268" i="31" s="1"/>
  <c r="K270" i="55"/>
  <c r="M270" i="55" s="1"/>
  <c r="K193" i="31"/>
  <c r="L193" i="31" s="1"/>
  <c r="K195" i="55"/>
  <c r="M195" i="55" s="1"/>
  <c r="F100" i="25"/>
  <c r="F79" i="30" s="1"/>
  <c r="K297" i="55"/>
  <c r="M297" i="55" s="1"/>
  <c r="K285" i="31"/>
  <c r="L285" i="31" s="1"/>
  <c r="K287" i="55"/>
  <c r="M287" i="55" s="1"/>
  <c r="K114" i="31"/>
  <c r="L114" i="31" s="1"/>
  <c r="K115" i="55"/>
  <c r="M115" i="55" s="1"/>
  <c r="K144" i="31"/>
  <c r="L144" i="31" s="1"/>
  <c r="K145" i="55"/>
  <c r="M145" i="55" s="1"/>
  <c r="K255" i="31"/>
  <c r="L255" i="31" s="1"/>
  <c r="K257" i="55"/>
  <c r="M257" i="55" s="1"/>
  <c r="K98" i="31"/>
  <c r="L98" i="31" s="1"/>
  <c r="P98" i="31" s="1"/>
  <c r="K102" i="55"/>
  <c r="M102" i="55" s="1"/>
  <c r="K256" i="31"/>
  <c r="L256" i="31" s="1"/>
  <c r="K258" i="55"/>
  <c r="M258" i="55" s="1"/>
  <c r="K177" i="31"/>
  <c r="L177" i="31" s="1"/>
  <c r="K179" i="55"/>
  <c r="M179" i="55" s="1"/>
  <c r="K40" i="31"/>
  <c r="L40" i="31" s="1"/>
  <c r="P40" i="31" s="1"/>
  <c r="K41" i="55"/>
  <c r="K166" i="31"/>
  <c r="L166" i="31" s="1"/>
  <c r="K167" i="55"/>
  <c r="M167" i="55" s="1"/>
  <c r="K145" i="31"/>
  <c r="L145" i="31" s="1"/>
  <c r="K146" i="55"/>
  <c r="M146" i="55" s="1"/>
  <c r="K141" i="31"/>
  <c r="L141" i="31" s="1"/>
  <c r="P141" i="31" s="1"/>
  <c r="K142" i="55"/>
  <c r="P142" i="55" s="1"/>
  <c r="K15" i="31"/>
  <c r="L15" i="31" s="1"/>
  <c r="P15" i="31" s="1"/>
  <c r="K14" i="55"/>
  <c r="M14" i="55" s="1"/>
  <c r="K84" i="31"/>
  <c r="L84" i="31" s="1"/>
  <c r="P84" i="31" s="1"/>
  <c r="K88" i="55"/>
  <c r="M88" i="55" s="1"/>
  <c r="K287" i="31"/>
  <c r="L287" i="31" s="1"/>
  <c r="K289" i="55"/>
  <c r="M289" i="55" s="1"/>
  <c r="K113" i="31"/>
  <c r="L113" i="31" s="1"/>
  <c r="M113" i="31" s="1"/>
  <c r="K114" i="55"/>
  <c r="M114" i="55" s="1"/>
  <c r="K146" i="31"/>
  <c r="L146" i="31" s="1"/>
  <c r="K147" i="55"/>
  <c r="M147" i="55" s="1"/>
  <c r="K121" i="31"/>
  <c r="L121" i="31" s="1"/>
  <c r="K122" i="55"/>
  <c r="M122" i="55" s="1"/>
  <c r="K137" i="31"/>
  <c r="L137" i="31" s="1"/>
  <c r="K138" i="55"/>
  <c r="M138" i="55" s="1"/>
  <c r="K238" i="55"/>
  <c r="M238" i="55" s="1"/>
  <c r="K71" i="31"/>
  <c r="L71" i="31" s="1"/>
  <c r="P71" i="31" s="1"/>
  <c r="K75" i="55"/>
  <c r="M75" i="55" s="1"/>
  <c r="K228" i="31"/>
  <c r="L228" i="31" s="1"/>
  <c r="K230" i="55"/>
  <c r="M230" i="55" s="1"/>
  <c r="K257" i="31"/>
  <c r="L257" i="31" s="1"/>
  <c r="K259" i="55"/>
  <c r="M259" i="55" s="1"/>
  <c r="K169" i="31"/>
  <c r="L169" i="31" s="1"/>
  <c r="K171" i="55"/>
  <c r="M171" i="55" s="1"/>
  <c r="K77" i="31"/>
  <c r="L77" i="31" s="1"/>
  <c r="P77" i="31" s="1"/>
  <c r="K81" i="55"/>
  <c r="M81" i="55" s="1"/>
  <c r="K241" i="31"/>
  <c r="L241" i="31" s="1"/>
  <c r="K243" i="55"/>
  <c r="M243" i="55" s="1"/>
  <c r="K159" i="31"/>
  <c r="L159" i="31" s="1"/>
  <c r="K160" i="55"/>
  <c r="M160" i="55" s="1"/>
  <c r="K33" i="31"/>
  <c r="L33" i="31" s="1"/>
  <c r="P33" i="31" s="1"/>
  <c r="K34" i="55"/>
  <c r="M34" i="55" s="1"/>
  <c r="K229" i="31"/>
  <c r="L229" i="31" s="1"/>
  <c r="K231" i="55"/>
  <c r="M231" i="55" s="1"/>
  <c r="K74" i="31"/>
  <c r="L74" i="31" s="1"/>
  <c r="P74" i="31" s="1"/>
  <c r="K78" i="55"/>
  <c r="M78" i="55" s="1"/>
  <c r="K237" i="31"/>
  <c r="L237" i="31" s="1"/>
  <c r="K239" i="55"/>
  <c r="M239" i="55" s="1"/>
  <c r="K88" i="31"/>
  <c r="L88" i="31" s="1"/>
  <c r="P88" i="31" s="1"/>
  <c r="K92" i="55"/>
  <c r="M92" i="55" s="1"/>
  <c r="K254" i="31"/>
  <c r="L254" i="31" s="1"/>
  <c r="K256" i="55"/>
  <c r="M256" i="55" s="1"/>
  <c r="K183" i="31"/>
  <c r="L183" i="31" s="1"/>
  <c r="K185" i="55"/>
  <c r="M185" i="55" s="1"/>
  <c r="K38" i="31"/>
  <c r="L38" i="31" s="1"/>
  <c r="P38" i="31" s="1"/>
  <c r="K39" i="55"/>
  <c r="M39" i="55" s="1"/>
  <c r="K172" i="31"/>
  <c r="L172" i="31" s="1"/>
  <c r="K174" i="55"/>
  <c r="M174" i="55" s="1"/>
  <c r="K232" i="31"/>
  <c r="L232" i="31" s="1"/>
  <c r="K234" i="55"/>
  <c r="M234" i="55" s="1"/>
  <c r="K203" i="31"/>
  <c r="L203" i="31" s="1"/>
  <c r="K205" i="55"/>
  <c r="M205" i="55" s="1"/>
  <c r="K50" i="31"/>
  <c r="L50" i="31" s="1"/>
  <c r="P50" i="31" s="1"/>
  <c r="K51" i="55"/>
  <c r="M51" i="55" s="1"/>
  <c r="K80" i="31"/>
  <c r="L80" i="31" s="1"/>
  <c r="K84" i="55"/>
  <c r="M84" i="55" s="1"/>
  <c r="K264" i="31"/>
  <c r="L264" i="31" s="1"/>
  <c r="K266" i="55"/>
  <c r="M266" i="55" s="1"/>
  <c r="K189" i="31"/>
  <c r="L189" i="31" s="1"/>
  <c r="K191" i="55"/>
  <c r="M191" i="55" s="1"/>
  <c r="K213" i="31"/>
  <c r="L213" i="31" s="1"/>
  <c r="K214" i="55"/>
  <c r="M214" i="55" s="1"/>
  <c r="K142" i="31"/>
  <c r="L142" i="31" s="1"/>
  <c r="K143" i="55"/>
  <c r="M143" i="55" s="1"/>
  <c r="F82" i="25"/>
  <c r="F65" i="30" s="1"/>
  <c r="K254" i="55"/>
  <c r="M254" i="55" s="1"/>
  <c r="K235" i="31"/>
  <c r="L235" i="31" s="1"/>
  <c r="K237" i="55"/>
  <c r="M237" i="55" s="1"/>
  <c r="K250" i="31"/>
  <c r="L250" i="31" s="1"/>
  <c r="K252" i="55"/>
  <c r="M252" i="55" s="1"/>
  <c r="K179" i="31"/>
  <c r="L179" i="31" s="1"/>
  <c r="K181" i="55"/>
  <c r="M181" i="55" s="1"/>
  <c r="K26" i="31"/>
  <c r="L26" i="31" s="1"/>
  <c r="P26" i="31" s="1"/>
  <c r="K27" i="55"/>
  <c r="M27" i="55" s="1"/>
  <c r="K168" i="31"/>
  <c r="L168" i="31" s="1"/>
  <c r="K169" i="55"/>
  <c r="M169" i="55" s="1"/>
  <c r="K224" i="31"/>
  <c r="L224" i="31" s="1"/>
  <c r="K226" i="55"/>
  <c r="M226" i="55" s="1"/>
  <c r="F49" i="25"/>
  <c r="F38" i="30" s="1"/>
  <c r="K106" i="55"/>
  <c r="M106" i="55" s="1"/>
  <c r="K90" i="31"/>
  <c r="L90" i="31" s="1"/>
  <c r="P90" i="31" s="1"/>
  <c r="K94" i="55"/>
  <c r="M94" i="55" s="1"/>
  <c r="K76" i="31"/>
  <c r="L76" i="31" s="1"/>
  <c r="P76" i="31" s="1"/>
  <c r="K80" i="55"/>
  <c r="M80" i="55" s="1"/>
  <c r="K251" i="31"/>
  <c r="L251" i="31" s="1"/>
  <c r="K253" i="55"/>
  <c r="M253" i="55" s="1"/>
  <c r="K291" i="31"/>
  <c r="L291" i="31" s="1"/>
  <c r="K293" i="55"/>
  <c r="M293" i="55" s="1"/>
  <c r="K13" i="31"/>
  <c r="L13" i="31" s="1"/>
  <c r="K12" i="55"/>
  <c r="K12" i="31"/>
  <c r="L12" i="31" s="1"/>
  <c r="F45" i="25"/>
  <c r="F34" i="30" s="1"/>
  <c r="K60" i="31"/>
  <c r="L60" i="31" s="1"/>
  <c r="M60" i="31" s="1"/>
  <c r="K70" i="31"/>
  <c r="L70" i="31" s="1"/>
  <c r="P70" i="31" s="1"/>
  <c r="K30" i="31"/>
  <c r="L30" i="31" s="1"/>
  <c r="Q315" i="23"/>
  <c r="AB14" i="48"/>
  <c r="L12" i="55" s="1"/>
  <c r="P12" i="55" s="1"/>
  <c r="AB257" i="48"/>
  <c r="L224" i="55" s="1"/>
  <c r="P224" i="55" s="1"/>
  <c r="P185" i="23"/>
  <c r="P179" i="23"/>
  <c r="AB20" i="35"/>
  <c r="AG20" i="35" s="1"/>
  <c r="AI20" i="35" s="1"/>
  <c r="N44" i="26"/>
  <c r="N46" i="26" s="1"/>
  <c r="X21" i="11"/>
  <c r="Z21" i="11" s="1"/>
  <c r="AO14" i="11"/>
  <c r="Y8" i="35"/>
  <c r="F4" i="4"/>
  <c r="G23" i="8"/>
  <c r="G22" i="8" s="1"/>
  <c r="AA8" i="12"/>
  <c r="V7" i="12"/>
  <c r="AB7" i="12" s="1"/>
  <c r="G14" i="4"/>
  <c r="G9" i="4"/>
  <c r="H14" i="4"/>
  <c r="K10" i="4"/>
  <c r="K14" i="4" s="1"/>
  <c r="O27" i="11"/>
  <c r="I10" i="4"/>
  <c r="I14" i="4" s="1"/>
  <c r="O14" i="11"/>
  <c r="M24" i="10"/>
  <c r="G9" i="9" s="1"/>
  <c r="I7" i="4"/>
  <c r="H9" i="4"/>
  <c r="I24" i="4"/>
  <c r="G17" i="4"/>
  <c r="I16" i="4"/>
  <c r="I17" i="4" s="1"/>
  <c r="K18" i="4"/>
  <c r="K24" i="4" s="1"/>
  <c r="H24" i="4"/>
  <c r="K15" i="4"/>
  <c r="K17" i="4" s="1"/>
  <c r="H17" i="4"/>
  <c r="V226" i="1"/>
  <c r="S10" i="15"/>
  <c r="U10" i="15" s="1"/>
  <c r="Q27" i="19" s="1"/>
  <c r="P98" i="3"/>
  <c r="V98" i="3" s="1"/>
  <c r="K117" i="31"/>
  <c r="L117" i="31" s="1"/>
  <c r="K61" i="31"/>
  <c r="L61" i="31" s="1"/>
  <c r="P61" i="31" s="1"/>
  <c r="F31" i="25"/>
  <c r="K261" i="31"/>
  <c r="F94" i="25"/>
  <c r="F84" i="25"/>
  <c r="F66" i="30" s="1"/>
  <c r="R143" i="23"/>
  <c r="S143" i="23" s="1"/>
  <c r="U143" i="23" s="1"/>
  <c r="K121" i="55" s="1"/>
  <c r="M121" i="55" s="1"/>
  <c r="P304" i="23"/>
  <c r="T216" i="1"/>
  <c r="S345" i="23"/>
  <c r="S241" i="23"/>
  <c r="U241" i="23" s="1"/>
  <c r="S352" i="23"/>
  <c r="S256" i="23"/>
  <c r="U256" i="23" s="1"/>
  <c r="K223" i="55" s="1"/>
  <c r="M223" i="55" s="1"/>
  <c r="M240" i="31"/>
  <c r="P240" i="31"/>
  <c r="J11" i="4"/>
  <c r="AB10" i="35"/>
  <c r="AG10" i="35" s="1"/>
  <c r="AI10" i="35" s="1"/>
  <c r="P243" i="23"/>
  <c r="S243" i="23" s="1"/>
  <c r="U243" i="23" s="1"/>
  <c r="K209" i="55" s="1"/>
  <c r="S8" i="15"/>
  <c r="U8" i="15" s="1"/>
  <c r="Q25" i="19" s="1"/>
  <c r="AV8" i="11"/>
  <c r="R21" i="35"/>
  <c r="K215" i="31"/>
  <c r="L215" i="31" s="1"/>
  <c r="AZ8" i="11"/>
  <c r="BE8" i="11" s="1"/>
  <c r="BG8" i="11" s="1"/>
  <c r="L102" i="25"/>
  <c r="L105" i="25" s="1"/>
  <c r="AT21" i="11"/>
  <c r="BV21" i="11" s="1"/>
  <c r="R12" i="15"/>
  <c r="P49" i="3"/>
  <c r="V49" i="3" s="1"/>
  <c r="P15" i="3"/>
  <c r="V15" i="3" s="1"/>
  <c r="P97" i="3"/>
  <c r="V97" i="3" s="1"/>
  <c r="P12" i="3"/>
  <c r="V12" i="3" s="1"/>
  <c r="P55" i="3"/>
  <c r="V55" i="3" s="1"/>
  <c r="P29" i="3"/>
  <c r="V29" i="3" s="1"/>
  <c r="P111" i="3"/>
  <c r="V111" i="3" s="1"/>
  <c r="P91" i="3"/>
  <c r="V91" i="3" s="1"/>
  <c r="P110" i="3"/>
  <c r="V110" i="3" s="1"/>
  <c r="P56" i="3"/>
  <c r="V56" i="3" s="1"/>
  <c r="P50" i="3"/>
  <c r="V50" i="3" s="1"/>
  <c r="P40" i="3"/>
  <c r="V40" i="3" s="1"/>
  <c r="Q43" i="1"/>
  <c r="J30" i="10"/>
  <c r="AY27" i="11"/>
  <c r="CP12" i="11"/>
  <c r="CP25" i="11" s="1"/>
  <c r="CF12" i="11"/>
  <c r="Q11" i="21"/>
  <c r="AC11" i="21" s="1"/>
  <c r="AC12" i="21" s="1"/>
  <c r="I20" i="34"/>
  <c r="I22" i="34" s="1"/>
  <c r="M11" i="34"/>
  <c r="Y9" i="35"/>
  <c r="N151" i="1"/>
  <c r="BY27" i="11"/>
  <c r="BA27" i="11"/>
  <c r="J18" i="4"/>
  <c r="L18" i="4"/>
  <c r="J31" i="10"/>
  <c r="W18" i="35"/>
  <c r="Y18" i="35" s="1"/>
  <c r="M21" i="35"/>
  <c r="O18" i="35"/>
  <c r="AB18" i="35"/>
  <c r="AG18" i="35" s="1"/>
  <c r="AI18" i="35" s="1"/>
  <c r="Y7" i="35"/>
  <c r="J12" i="4"/>
  <c r="L12" i="4"/>
  <c r="N12" i="4" s="1"/>
  <c r="J13" i="4"/>
  <c r="L13" i="4"/>
  <c r="N13" i="4" s="1"/>
  <c r="AE10" i="33"/>
  <c r="J15" i="4"/>
  <c r="L15" i="4"/>
  <c r="T12" i="15"/>
  <c r="AI16" i="35"/>
  <c r="J20" i="34"/>
  <c r="J22" i="34" s="1"/>
  <c r="N11" i="34"/>
  <c r="K11" i="34"/>
  <c r="W22" i="35"/>
  <c r="W23" i="35" s="1"/>
  <c r="Y16" i="35"/>
  <c r="J21" i="4"/>
  <c r="L21" i="4"/>
  <c r="N21" i="4" s="1"/>
  <c r="L20" i="4"/>
  <c r="N20" i="4" s="1"/>
  <c r="J20" i="4"/>
  <c r="AB19" i="12"/>
  <c r="S78" i="1"/>
  <c r="J22" i="4"/>
  <c r="L22" i="4"/>
  <c r="N22" i="4" s="1"/>
  <c r="AN27" i="11"/>
  <c r="K19" i="34"/>
  <c r="O10" i="34"/>
  <c r="L10" i="34"/>
  <c r="K9" i="34"/>
  <c r="K18" i="34" s="1"/>
  <c r="K4" i="44"/>
  <c r="CK26" i="11"/>
  <c r="CQ26" i="11" s="1"/>
  <c r="G23" i="42"/>
  <c r="E31" i="42"/>
  <c r="G32" i="42" s="1"/>
  <c r="Q18" i="33"/>
  <c r="AC19" i="35"/>
  <c r="AC21" i="35" s="1"/>
  <c r="S21" i="35"/>
  <c r="CR13" i="11"/>
  <c r="L23" i="4"/>
  <c r="N23" i="4" s="1"/>
  <c r="J23" i="4"/>
  <c r="X116" i="3"/>
  <c r="AH116" i="3" s="1"/>
  <c r="AJ116" i="3" s="1"/>
  <c r="X80" i="1"/>
  <c r="F22" i="25"/>
  <c r="F22" i="30" s="1"/>
  <c r="Q151" i="1"/>
  <c r="Q150" i="1" s="1"/>
  <c r="N216" i="1"/>
  <c r="O151" i="1"/>
  <c r="O150" i="1" s="1"/>
  <c r="M25" i="10"/>
  <c r="M31" i="10"/>
  <c r="J24" i="10"/>
  <c r="K11" i="10"/>
  <c r="J10" i="10"/>
  <c r="J23" i="10" s="1"/>
  <c r="N11" i="10"/>
  <c r="J25" i="10"/>
  <c r="N12" i="10"/>
  <c r="N25" i="10" s="1"/>
  <c r="K12" i="10"/>
  <c r="K13" i="10" s="1"/>
  <c r="K26" i="10" s="1"/>
  <c r="H26" i="10"/>
  <c r="J13" i="10"/>
  <c r="J26" i="10" s="1"/>
  <c r="I13" i="10"/>
  <c r="I26" i="10" s="1"/>
  <c r="S13" i="3"/>
  <c r="K104" i="31"/>
  <c r="K209" i="31"/>
  <c r="AB8" i="12"/>
  <c r="F70" i="8"/>
  <c r="J69" i="8"/>
  <c r="I69" i="8"/>
  <c r="H69" i="8"/>
  <c r="G69" i="8"/>
  <c r="H49" i="8"/>
  <c r="G49" i="8"/>
  <c r="J49" i="8"/>
  <c r="I49" i="8"/>
  <c r="F50" i="8"/>
  <c r="F81" i="8"/>
  <c r="F82" i="8" s="1"/>
  <c r="K196" i="31"/>
  <c r="F23" i="25"/>
  <c r="F23" i="30" s="1"/>
  <c r="F87" i="25"/>
  <c r="F68" i="30" s="1"/>
  <c r="F46" i="25"/>
  <c r="F35" i="30" s="1"/>
  <c r="D8" i="46"/>
  <c r="K164" i="31"/>
  <c r="K295" i="31"/>
  <c r="F20" i="25"/>
  <c r="F43" i="25"/>
  <c r="F32" i="30" s="1"/>
  <c r="F40" i="25"/>
  <c r="F29" i="30" s="1"/>
  <c r="Z11" i="11"/>
  <c r="CC25" i="11"/>
  <c r="CF25" i="11" s="1"/>
  <c r="AD27" i="11"/>
  <c r="AR27" i="11"/>
  <c r="BZ20" i="11"/>
  <c r="BZ27" i="11" s="1"/>
  <c r="E10" i="43"/>
  <c r="AT7" i="11"/>
  <c r="AT14" i="11" s="1"/>
  <c r="T27" i="11"/>
  <c r="AE25" i="11"/>
  <c r="BW11" i="11"/>
  <c r="CJ11" i="11"/>
  <c r="BX20" i="11"/>
  <c r="BX27" i="11" s="1"/>
  <c r="AZ9" i="11"/>
  <c r="BE9" i="11" s="1"/>
  <c r="BG9" i="11" s="1"/>
  <c r="AV9" i="11"/>
  <c r="BV9" i="11"/>
  <c r="AO25" i="11"/>
  <c r="CB13" i="11"/>
  <c r="CB26" i="11" s="1"/>
  <c r="AI24" i="11"/>
  <c r="AO24" i="11"/>
  <c r="AT24" i="11" s="1"/>
  <c r="AO22" i="11"/>
  <c r="AI22" i="11"/>
  <c r="AK8" i="11"/>
  <c r="AI21" i="11"/>
  <c r="AZ12" i="11"/>
  <c r="BE12" i="11" s="1"/>
  <c r="BG12" i="11" s="1"/>
  <c r="AV12" i="11"/>
  <c r="AQ27" i="11"/>
  <c r="Z20" i="11"/>
  <c r="BW8" i="11"/>
  <c r="CJ8" i="11"/>
  <c r="CA21" i="11"/>
  <c r="AS27" i="11"/>
  <c r="R151" i="1"/>
  <c r="K47" i="31"/>
  <c r="F90" i="25"/>
  <c r="F71" i="30" s="1"/>
  <c r="K252" i="31"/>
  <c r="K78" i="31"/>
  <c r="F73" i="25"/>
  <c r="F58" i="30" s="1"/>
  <c r="S216" i="1"/>
  <c r="K65" i="31"/>
  <c r="Q74" i="1"/>
  <c r="V12" i="12"/>
  <c r="S45" i="1"/>
  <c r="AB9" i="12"/>
  <c r="AA9" i="12"/>
  <c r="S27" i="3"/>
  <c r="F27" i="25"/>
  <c r="F26" i="30" s="1"/>
  <c r="T74" i="1"/>
  <c r="O74" i="1"/>
  <c r="T151" i="1"/>
  <c r="F14" i="25"/>
  <c r="F14" i="30" s="1"/>
  <c r="F10" i="25"/>
  <c r="F10" i="30" s="1"/>
  <c r="K28" i="31"/>
  <c r="F72" i="25"/>
  <c r="F57" i="30" s="1"/>
  <c r="F101" i="25"/>
  <c r="F80" i="30" s="1"/>
  <c r="F24" i="25"/>
  <c r="F24" i="30" s="1"/>
  <c r="K288" i="31"/>
  <c r="U216" i="1"/>
  <c r="F69" i="25"/>
  <c r="F55" i="30" s="1"/>
  <c r="F64" i="30"/>
  <c r="K9" i="31"/>
  <c r="L9" i="31" s="1"/>
  <c r="K192" i="31"/>
  <c r="K249" i="31"/>
  <c r="U151" i="1"/>
  <c r="F88" i="25"/>
  <c r="F69" i="30" s="1"/>
  <c r="H112" i="17"/>
  <c r="F30" i="25"/>
  <c r="F33" i="30" s="1"/>
  <c r="F29" i="25"/>
  <c r="F80" i="25"/>
  <c r="F61" i="30" s="1"/>
  <c r="K236" i="31"/>
  <c r="K43" i="31"/>
  <c r="F20" i="30"/>
  <c r="K185" i="31"/>
  <c r="U178" i="23"/>
  <c r="F79" i="25"/>
  <c r="F63" i="30" s="1"/>
  <c r="K212" i="31"/>
  <c r="F89" i="25"/>
  <c r="F70" i="30" s="1"/>
  <c r="U74" i="1"/>
  <c r="F42" i="25"/>
  <c r="F31" i="30" s="1"/>
  <c r="K304" i="31"/>
  <c r="L304" i="31" s="1"/>
  <c r="I112" i="17"/>
  <c r="F23" i="24"/>
  <c r="G23" i="24" s="1"/>
  <c r="J23" i="24" s="1"/>
  <c r="K132" i="31"/>
  <c r="F61" i="25"/>
  <c r="F49" i="30" s="1"/>
  <c r="H93" i="17"/>
  <c r="AE9" i="16"/>
  <c r="AF9" i="16" s="1"/>
  <c r="AE6" i="16"/>
  <c r="AF6" i="16" s="1"/>
  <c r="K138" i="31"/>
  <c r="F60" i="25"/>
  <c r="E19" i="24"/>
  <c r="K260" i="31"/>
  <c r="L260" i="31" s="1"/>
  <c r="P260" i="31" s="1"/>
  <c r="F93" i="25"/>
  <c r="Y6" i="16"/>
  <c r="Z116" i="3" l="1"/>
  <c r="AB116" i="3" s="1"/>
  <c r="AD116" i="3"/>
  <c r="AF116" i="3" s="1"/>
  <c r="L170" i="22"/>
  <c r="J170" i="22" s="1"/>
  <c r="L56" i="22"/>
  <c r="J56" i="22" s="1"/>
  <c r="Z80" i="1"/>
  <c r="L16" i="4"/>
  <c r="N16" i="4" s="1"/>
  <c r="X27" i="11"/>
  <c r="L43" i="31"/>
  <c r="P43" i="31" s="1"/>
  <c r="K224" i="55"/>
  <c r="M224" i="55" s="1"/>
  <c r="BE21" i="11"/>
  <c r="J16" i="4"/>
  <c r="S315" i="23"/>
  <c r="U315" i="23" s="1"/>
  <c r="K275" i="55" s="1"/>
  <c r="Q12" i="21"/>
  <c r="H4" i="4"/>
  <c r="G25" i="8"/>
  <c r="G26" i="8" s="1"/>
  <c r="M12" i="55"/>
  <c r="M63" i="31"/>
  <c r="U371" i="48"/>
  <c r="P113" i="31"/>
  <c r="K150" i="31"/>
  <c r="L150" i="31" s="1"/>
  <c r="P150" i="31" s="1"/>
  <c r="K151" i="55"/>
  <c r="K206" i="31"/>
  <c r="L206" i="31" s="1"/>
  <c r="M206" i="31" s="1"/>
  <c r="K207" i="55"/>
  <c r="M207" i="55" s="1"/>
  <c r="P41" i="55"/>
  <c r="M41" i="55"/>
  <c r="P57" i="55"/>
  <c r="M57" i="55"/>
  <c r="M9" i="55"/>
  <c r="P66" i="55"/>
  <c r="M66" i="55"/>
  <c r="M64" i="55"/>
  <c r="P43" i="55"/>
  <c r="M43" i="55"/>
  <c r="P60" i="31"/>
  <c r="AB127" i="48"/>
  <c r="L109" i="55" s="1"/>
  <c r="P109" i="55" s="1"/>
  <c r="AB145" i="48"/>
  <c r="L149" i="55" s="1"/>
  <c r="P149" i="55" s="1"/>
  <c r="AB315" i="48"/>
  <c r="L275" i="55" s="1"/>
  <c r="P275" i="55" s="1"/>
  <c r="S185" i="23"/>
  <c r="P324" i="23"/>
  <c r="AB178" i="48"/>
  <c r="L153" i="55" s="1"/>
  <c r="P153" i="55" s="1"/>
  <c r="S180" i="23"/>
  <c r="U180" i="23" s="1"/>
  <c r="AB183" i="48"/>
  <c r="L158" i="55" s="1"/>
  <c r="G4" i="4"/>
  <c r="CP31" i="11"/>
  <c r="CT26" i="11"/>
  <c r="L10" i="4"/>
  <c r="N10" i="4" s="1"/>
  <c r="N14" i="4" s="1"/>
  <c r="J10" i="4"/>
  <c r="J14" i="4" s="1"/>
  <c r="N15" i="4"/>
  <c r="N18" i="4"/>
  <c r="N24" i="4" s="1"/>
  <c r="L24" i="4"/>
  <c r="J17" i="4"/>
  <c r="J24" i="4"/>
  <c r="J7" i="4"/>
  <c r="I9" i="4"/>
  <c r="I4" i="4" s="1"/>
  <c r="T150" i="1"/>
  <c r="AA7" i="12"/>
  <c r="L261" i="31"/>
  <c r="P261" i="31" s="1"/>
  <c r="P117" i="31"/>
  <c r="M117" i="31"/>
  <c r="S304" i="23"/>
  <c r="U304" i="23" s="1"/>
  <c r="F86" i="25"/>
  <c r="F67" i="30" s="1"/>
  <c r="F60" i="30" s="1"/>
  <c r="F85" i="25"/>
  <c r="F56" i="25"/>
  <c r="F45" i="30" s="1"/>
  <c r="K120" i="31"/>
  <c r="L120" i="31" s="1"/>
  <c r="U345" i="23"/>
  <c r="M109" i="24"/>
  <c r="K221" i="31"/>
  <c r="L221" i="31" s="1"/>
  <c r="U352" i="23"/>
  <c r="W352" i="23" s="1"/>
  <c r="M251" i="31"/>
  <c r="P251" i="31"/>
  <c r="M220" i="31"/>
  <c r="P220" i="31"/>
  <c r="M269" i="31"/>
  <c r="P269" i="31"/>
  <c r="M160" i="31"/>
  <c r="P160" i="31"/>
  <c r="M174" i="31"/>
  <c r="P174" i="31"/>
  <c r="M131" i="31"/>
  <c r="P131" i="31"/>
  <c r="M188" i="31"/>
  <c r="P188" i="31"/>
  <c r="M225" i="31"/>
  <c r="P225" i="31"/>
  <c r="M31" i="31"/>
  <c r="P31" i="31"/>
  <c r="M233" i="31"/>
  <c r="P233" i="31"/>
  <c r="M199" i="31"/>
  <c r="P199" i="31"/>
  <c r="M278" i="31"/>
  <c r="P278" i="31"/>
  <c r="M257" i="31"/>
  <c r="P257" i="31"/>
  <c r="M171" i="31"/>
  <c r="P171" i="31"/>
  <c r="M222" i="31"/>
  <c r="P222" i="31"/>
  <c r="M247" i="31"/>
  <c r="P247" i="31"/>
  <c r="M159" i="31"/>
  <c r="P159" i="31"/>
  <c r="M255" i="31"/>
  <c r="P255" i="31"/>
  <c r="M14" i="31"/>
  <c r="P14" i="31"/>
  <c r="M12" i="31"/>
  <c r="P12" i="31"/>
  <c r="M112" i="31"/>
  <c r="P112" i="31"/>
  <c r="M198" i="31"/>
  <c r="P198" i="31"/>
  <c r="M204" i="31"/>
  <c r="P204" i="31"/>
  <c r="M119" i="31"/>
  <c r="P119" i="31"/>
  <c r="M201" i="31"/>
  <c r="P201" i="31"/>
  <c r="M230" i="31"/>
  <c r="P230" i="31"/>
  <c r="M181" i="31"/>
  <c r="P181" i="31"/>
  <c r="M213" i="31"/>
  <c r="P213" i="31"/>
  <c r="M30" i="31"/>
  <c r="P30" i="31"/>
  <c r="M238" i="31"/>
  <c r="P238" i="31"/>
  <c r="M218" i="31"/>
  <c r="P218" i="31"/>
  <c r="M243" i="31"/>
  <c r="P243" i="31"/>
  <c r="M169" i="31"/>
  <c r="P169" i="31"/>
  <c r="M279" i="31"/>
  <c r="P279" i="31"/>
  <c r="M241" i="31"/>
  <c r="P241" i="31"/>
  <c r="M195" i="31"/>
  <c r="P195" i="31"/>
  <c r="M144" i="31"/>
  <c r="P144" i="31"/>
  <c r="M203" i="31"/>
  <c r="P203" i="31"/>
  <c r="M231" i="31"/>
  <c r="P231" i="31"/>
  <c r="M143" i="31"/>
  <c r="P143" i="31"/>
  <c r="M189" i="31"/>
  <c r="P189" i="31"/>
  <c r="M267" i="31"/>
  <c r="P267" i="31"/>
  <c r="M158" i="31"/>
  <c r="P158" i="31"/>
  <c r="M263" i="31"/>
  <c r="P263" i="31"/>
  <c r="M191" i="31"/>
  <c r="P191" i="31"/>
  <c r="M172" i="31"/>
  <c r="P172" i="31"/>
  <c r="M274" i="31"/>
  <c r="P274" i="31"/>
  <c r="M234" i="31"/>
  <c r="P234" i="31"/>
  <c r="M176" i="31"/>
  <c r="P176" i="31"/>
  <c r="M142" i="31"/>
  <c r="P142" i="31"/>
  <c r="M276" i="31"/>
  <c r="P276" i="31"/>
  <c r="M29" i="31"/>
  <c r="P29" i="31"/>
  <c r="M211" i="31"/>
  <c r="P211" i="31"/>
  <c r="M246" i="31"/>
  <c r="P246" i="31"/>
  <c r="M137" i="31"/>
  <c r="P137" i="31"/>
  <c r="M161" i="31"/>
  <c r="P161" i="31"/>
  <c r="M56" i="31"/>
  <c r="P56" i="31"/>
  <c r="M202" i="31"/>
  <c r="P202" i="31"/>
  <c r="M110" i="31"/>
  <c r="P110" i="31"/>
  <c r="M224" i="31"/>
  <c r="P224" i="31"/>
  <c r="M118" i="31"/>
  <c r="P118" i="31"/>
  <c r="M264" i="31"/>
  <c r="P264" i="31"/>
  <c r="M244" i="31"/>
  <c r="P244" i="31"/>
  <c r="M135" i="31"/>
  <c r="P135" i="31"/>
  <c r="M177" i="31"/>
  <c r="P177" i="31"/>
  <c r="M219" i="31"/>
  <c r="P219" i="31"/>
  <c r="M245" i="31"/>
  <c r="P245" i="31"/>
  <c r="M227" i="31"/>
  <c r="P227" i="31"/>
  <c r="M223" i="31"/>
  <c r="P223" i="31"/>
  <c r="M125" i="31"/>
  <c r="P125" i="31"/>
  <c r="M291" i="31"/>
  <c r="P291" i="31"/>
  <c r="M13" i="31"/>
  <c r="P13" i="31"/>
  <c r="M242" i="31"/>
  <c r="P242" i="31"/>
  <c r="M287" i="31"/>
  <c r="P287" i="31"/>
  <c r="M187" i="31"/>
  <c r="P187" i="31"/>
  <c r="M216" i="31"/>
  <c r="P216" i="31"/>
  <c r="M140" i="31"/>
  <c r="P140" i="31"/>
  <c r="L303" i="31"/>
  <c r="P304" i="31"/>
  <c r="M170" i="31"/>
  <c r="P170" i="31"/>
  <c r="M292" i="31"/>
  <c r="P292" i="31"/>
  <c r="M270" i="31"/>
  <c r="P270" i="31"/>
  <c r="M283" i="31"/>
  <c r="P283" i="31"/>
  <c r="M193" i="31"/>
  <c r="P193" i="31"/>
  <c r="M214" i="31"/>
  <c r="P214" i="31"/>
  <c r="M297" i="31"/>
  <c r="P297" i="31"/>
  <c r="M51" i="31"/>
  <c r="P51" i="31"/>
  <c r="M186" i="31"/>
  <c r="P186" i="31"/>
  <c r="M139" i="31"/>
  <c r="P139" i="31"/>
  <c r="M235" i="31"/>
  <c r="P235" i="31"/>
  <c r="M190" i="31"/>
  <c r="P190" i="31"/>
  <c r="M173" i="31"/>
  <c r="P173" i="31"/>
  <c r="M250" i="31"/>
  <c r="P250" i="31"/>
  <c r="M183" i="31"/>
  <c r="P183" i="31"/>
  <c r="M256" i="31"/>
  <c r="P256" i="31"/>
  <c r="M114" i="31"/>
  <c r="P114" i="31"/>
  <c r="M130" i="31"/>
  <c r="P130" i="31"/>
  <c r="M232" i="31"/>
  <c r="P232" i="31"/>
  <c r="M226" i="31"/>
  <c r="P226" i="31"/>
  <c r="M277" i="31"/>
  <c r="P277" i="31"/>
  <c r="M194" i="31"/>
  <c r="P194" i="31"/>
  <c r="M268" i="31"/>
  <c r="P268" i="31"/>
  <c r="M271" i="31"/>
  <c r="P271" i="31"/>
  <c r="M178" i="31"/>
  <c r="P178" i="31"/>
  <c r="M121" i="31"/>
  <c r="P121" i="31"/>
  <c r="M167" i="31"/>
  <c r="P167" i="31"/>
  <c r="M134" i="31"/>
  <c r="P134" i="31"/>
  <c r="M217" i="31"/>
  <c r="P217" i="31"/>
  <c r="M179" i="31"/>
  <c r="P179" i="31"/>
  <c r="M197" i="31"/>
  <c r="P197" i="31"/>
  <c r="M294" i="31"/>
  <c r="P294" i="31"/>
  <c r="M163" i="31"/>
  <c r="P163" i="31"/>
  <c r="M254" i="31"/>
  <c r="P254" i="31"/>
  <c r="M285" i="31"/>
  <c r="P285" i="31"/>
  <c r="M200" i="31"/>
  <c r="P200" i="31"/>
  <c r="M266" i="31"/>
  <c r="P266" i="31"/>
  <c r="M168" i="31"/>
  <c r="P168" i="31"/>
  <c r="M133" i="31"/>
  <c r="P133" i="31"/>
  <c r="M80" i="31"/>
  <c r="P80" i="31"/>
  <c r="M182" i="31"/>
  <c r="P182" i="31"/>
  <c r="M282" i="31"/>
  <c r="P282" i="31"/>
  <c r="M272" i="31"/>
  <c r="P272" i="31"/>
  <c r="M239" i="31"/>
  <c r="P239" i="31"/>
  <c r="M165" i="31"/>
  <c r="P165" i="31"/>
  <c r="M289" i="31"/>
  <c r="P289" i="31"/>
  <c r="M145" i="31"/>
  <c r="P145" i="31"/>
  <c r="M184" i="31"/>
  <c r="P184" i="31"/>
  <c r="M296" i="31"/>
  <c r="P296" i="31"/>
  <c r="M210" i="31"/>
  <c r="P210" i="31"/>
  <c r="M228" i="31"/>
  <c r="P228" i="31"/>
  <c r="M136" i="31"/>
  <c r="P136" i="31"/>
  <c r="M293" i="31"/>
  <c r="P293" i="31"/>
  <c r="M166" i="31"/>
  <c r="P166" i="31"/>
  <c r="M265" i="31"/>
  <c r="P265" i="31"/>
  <c r="M180" i="31"/>
  <c r="P180" i="31"/>
  <c r="M229" i="31"/>
  <c r="P229" i="31"/>
  <c r="M122" i="31"/>
  <c r="P122" i="31"/>
  <c r="M146" i="31"/>
  <c r="P146" i="31"/>
  <c r="M162" i="31"/>
  <c r="P162" i="31"/>
  <c r="M275" i="31"/>
  <c r="P275" i="31"/>
  <c r="M290" i="31"/>
  <c r="P290" i="31"/>
  <c r="M284" i="31"/>
  <c r="P284" i="31"/>
  <c r="M175" i="31"/>
  <c r="P175" i="31"/>
  <c r="M248" i="31"/>
  <c r="P248" i="31"/>
  <c r="M237" i="31"/>
  <c r="P237" i="31"/>
  <c r="M253" i="31"/>
  <c r="P253" i="31"/>
  <c r="M298" i="31"/>
  <c r="P298" i="31"/>
  <c r="M286" i="31"/>
  <c r="P286" i="31"/>
  <c r="M215" i="31"/>
  <c r="P215" i="31"/>
  <c r="AV21" i="11"/>
  <c r="BI21" i="11"/>
  <c r="AZ21" i="11"/>
  <c r="BG21" i="11" s="1"/>
  <c r="CO21" i="11" s="1"/>
  <c r="CR26" i="11"/>
  <c r="CQ12" i="11"/>
  <c r="CT12" i="11" s="1"/>
  <c r="Q45" i="1"/>
  <c r="Q27" i="3"/>
  <c r="W21" i="35"/>
  <c r="S7" i="3"/>
  <c r="K30" i="10"/>
  <c r="CK8" i="11"/>
  <c r="CK21" i="11" s="1"/>
  <c r="CK11" i="11"/>
  <c r="CK24" i="11" s="1"/>
  <c r="CP13" i="11"/>
  <c r="M98" i="31"/>
  <c r="M35" i="31"/>
  <c r="M72" i="31"/>
  <c r="M24" i="31"/>
  <c r="M85" i="31"/>
  <c r="M40" i="31"/>
  <c r="M16" i="31"/>
  <c r="M46" i="31"/>
  <c r="M68" i="31"/>
  <c r="M81" i="31"/>
  <c r="M42" i="31"/>
  <c r="M93" i="31"/>
  <c r="M76" i="31"/>
  <c r="M53" i="31"/>
  <c r="M20" i="31"/>
  <c r="M97" i="31"/>
  <c r="M38" i="31"/>
  <c r="M90" i="31"/>
  <c r="M74" i="31"/>
  <c r="M92" i="31"/>
  <c r="M89" i="31"/>
  <c r="M70" i="31"/>
  <c r="M26" i="31"/>
  <c r="M79" i="31"/>
  <c r="M86" i="31"/>
  <c r="M27" i="31"/>
  <c r="M84" i="31"/>
  <c r="M49" i="31"/>
  <c r="M34" i="31"/>
  <c r="M36" i="31"/>
  <c r="M41" i="31"/>
  <c r="M66" i="31"/>
  <c r="M75" i="31"/>
  <c r="M61" i="31"/>
  <c r="M48" i="31"/>
  <c r="M83" i="31"/>
  <c r="M25" i="31"/>
  <c r="M39" i="31"/>
  <c r="L236" i="31"/>
  <c r="L78" i="31"/>
  <c r="M103" i="31"/>
  <c r="M44" i="31"/>
  <c r="L252" i="31"/>
  <c r="L249" i="31"/>
  <c r="L28" i="31"/>
  <c r="L295" i="31"/>
  <c r="L104" i="31"/>
  <c r="P104" i="31" s="1"/>
  <c r="M88" i="31"/>
  <c r="M96" i="31"/>
  <c r="M77" i="31"/>
  <c r="M73" i="31"/>
  <c r="M17" i="31"/>
  <c r="M94" i="31"/>
  <c r="M54" i="31"/>
  <c r="M91" i="31"/>
  <c r="M71" i="31"/>
  <c r="M22" i="31"/>
  <c r="M37" i="31"/>
  <c r="M18" i="31"/>
  <c r="M50" i="31"/>
  <c r="M87" i="31"/>
  <c r="M100" i="31"/>
  <c r="M52" i="31"/>
  <c r="L185" i="31"/>
  <c r="L47" i="31"/>
  <c r="P47" i="31" s="1"/>
  <c r="L164" i="31"/>
  <c r="L138" i="31"/>
  <c r="L192" i="31"/>
  <c r="L288" i="31"/>
  <c r="P288" i="31" s="1"/>
  <c r="M55" i="31"/>
  <c r="M33" i="31"/>
  <c r="M15" i="31"/>
  <c r="M82" i="31"/>
  <c r="M59" i="31"/>
  <c r="M23" i="31"/>
  <c r="M95" i="31"/>
  <c r="L65" i="31"/>
  <c r="P65" i="31" s="1"/>
  <c r="L196" i="31"/>
  <c r="L132" i="31"/>
  <c r="L212" i="31"/>
  <c r="N150" i="1"/>
  <c r="H7" i="39"/>
  <c r="H15" i="39" s="1"/>
  <c r="K31" i="10"/>
  <c r="N236" i="1"/>
  <c r="J27" i="10"/>
  <c r="AB21" i="35"/>
  <c r="D7" i="46"/>
  <c r="K20" i="34"/>
  <c r="O11" i="34"/>
  <c r="L11" i="34"/>
  <c r="K12" i="34"/>
  <c r="K21" i="34" s="1"/>
  <c r="CB30" i="11"/>
  <c r="Q28" i="33"/>
  <c r="AG19" i="35"/>
  <c r="L19" i="34"/>
  <c r="P10" i="34"/>
  <c r="L9" i="34"/>
  <c r="S75" i="1"/>
  <c r="S74" i="1" s="1"/>
  <c r="V78" i="1"/>
  <c r="N31" i="10"/>
  <c r="N24" i="10"/>
  <c r="N30" i="10"/>
  <c r="K24" i="10"/>
  <c r="L11" i="10"/>
  <c r="O11" i="10"/>
  <c r="O24" i="10" s="1"/>
  <c r="K10" i="10"/>
  <c r="K23" i="10" s="1"/>
  <c r="H10" i="9"/>
  <c r="G10" i="9"/>
  <c r="G15" i="9" s="1"/>
  <c r="G16" i="9" s="1"/>
  <c r="H27" i="10"/>
  <c r="I27" i="10"/>
  <c r="K25" i="10"/>
  <c r="O12" i="10"/>
  <c r="L12" i="10"/>
  <c r="S43" i="1"/>
  <c r="S42" i="1" s="1"/>
  <c r="AB12" i="12"/>
  <c r="AA10" i="12"/>
  <c r="AB10" i="12"/>
  <c r="F77" i="8"/>
  <c r="H68" i="8"/>
  <c r="H70" i="8"/>
  <c r="H71" i="8" s="1"/>
  <c r="I70" i="8"/>
  <c r="I71" i="8" s="1"/>
  <c r="I68" i="8"/>
  <c r="F51" i="8"/>
  <c r="F45" i="8" s="1"/>
  <c r="J70" i="8"/>
  <c r="J71" i="8" s="1"/>
  <c r="J68" i="8"/>
  <c r="I50" i="8"/>
  <c r="I51" i="8" s="1"/>
  <c r="I48" i="8"/>
  <c r="F71" i="8"/>
  <c r="F65" i="8" s="1"/>
  <c r="J50" i="8"/>
  <c r="J51" i="8" s="1"/>
  <c r="J48" i="8"/>
  <c r="G50" i="8"/>
  <c r="G51" i="8" s="1"/>
  <c r="G48" i="8"/>
  <c r="H50" i="8"/>
  <c r="H51" i="8" s="1"/>
  <c r="H48" i="8"/>
  <c r="G68" i="8"/>
  <c r="G70" i="8"/>
  <c r="G71" i="8" s="1"/>
  <c r="CJ21" i="11"/>
  <c r="AX22" i="11"/>
  <c r="AK22" i="11"/>
  <c r="CD11" i="11"/>
  <c r="CD24" i="11" s="1"/>
  <c r="BW24" i="11"/>
  <c r="CC11" i="11"/>
  <c r="AT22" i="11"/>
  <c r="AO27" i="11"/>
  <c r="BW9" i="11"/>
  <c r="CJ9" i="11"/>
  <c r="BW21" i="11"/>
  <c r="CC21" i="11" s="1"/>
  <c r="CF21" i="11" s="1"/>
  <c r="CD8" i="11"/>
  <c r="CD21" i="11" s="1"/>
  <c r="CC8" i="11"/>
  <c r="AV24" i="11"/>
  <c r="BV24" i="11"/>
  <c r="AZ24" i="11"/>
  <c r="BE24" i="11" s="1"/>
  <c r="BG24" i="11" s="1"/>
  <c r="CO24" i="11" s="1"/>
  <c r="BI24" i="11"/>
  <c r="AP25" i="11"/>
  <c r="AP27" i="11" s="1"/>
  <c r="AE27" i="11"/>
  <c r="AK24" i="11"/>
  <c r="AX24" i="11"/>
  <c r="AX21" i="11"/>
  <c r="AK21" i="11"/>
  <c r="AZ7" i="11"/>
  <c r="BE7" i="11" s="1"/>
  <c r="AT20" i="11"/>
  <c r="AV7" i="11"/>
  <c r="AV14" i="11" s="1"/>
  <c r="BV7" i="11"/>
  <c r="AI25" i="11"/>
  <c r="AI27" i="11" s="1"/>
  <c r="AI32" i="11" s="1"/>
  <c r="U150" i="1"/>
  <c r="S28" i="3"/>
  <c r="F54" i="30"/>
  <c r="M304" i="31"/>
  <c r="M303" i="31" s="1"/>
  <c r="M302" i="31" s="1"/>
  <c r="K303" i="31"/>
  <c r="K302" i="31" s="1"/>
  <c r="F19" i="24"/>
  <c r="G19" i="24" s="1"/>
  <c r="J19" i="24" s="1"/>
  <c r="M260" i="31"/>
  <c r="F75" i="30"/>
  <c r="F74" i="30" s="1"/>
  <c r="K208" i="31"/>
  <c r="L208" i="31" s="1"/>
  <c r="N17" i="4" l="1"/>
  <c r="L17" i="4"/>
  <c r="P208" i="31"/>
  <c r="L207" i="31"/>
  <c r="P207" i="31" s="1"/>
  <c r="K273" i="31"/>
  <c r="L273" i="31" s="1"/>
  <c r="M273" i="31" s="1"/>
  <c r="M43" i="31"/>
  <c r="K208" i="55"/>
  <c r="U185" i="23"/>
  <c r="F68" i="25" s="1"/>
  <c r="F67" i="25" s="1"/>
  <c r="K152" i="31"/>
  <c r="L152" i="31" s="1"/>
  <c r="P152" i="31" s="1"/>
  <c r="M275" i="55"/>
  <c r="L157" i="55"/>
  <c r="P158" i="55"/>
  <c r="P206" i="31"/>
  <c r="M150" i="31"/>
  <c r="F63" i="25"/>
  <c r="K153" i="55"/>
  <c r="M153" i="55" s="1"/>
  <c r="K308" i="31"/>
  <c r="K310" i="55"/>
  <c r="K262" i="31"/>
  <c r="L262" i="31" s="1"/>
  <c r="M262" i="31" s="1"/>
  <c r="K264" i="55"/>
  <c r="F104" i="25"/>
  <c r="G83" i="30" s="1"/>
  <c r="K303" i="55"/>
  <c r="M151" i="55"/>
  <c r="S324" i="23"/>
  <c r="U324" i="23" s="1"/>
  <c r="F99" i="25" s="1"/>
  <c r="F97" i="25" s="1"/>
  <c r="AB242" i="48"/>
  <c r="L209" i="55" s="1"/>
  <c r="AB149" i="48"/>
  <c r="L129" i="55" s="1"/>
  <c r="P129" i="55" s="1"/>
  <c r="AB148" i="48"/>
  <c r="L128" i="55" s="1"/>
  <c r="P128" i="55" s="1"/>
  <c r="AB144" i="48"/>
  <c r="L124" i="55" s="1"/>
  <c r="P124" i="55" s="1"/>
  <c r="AB128" i="48"/>
  <c r="L110" i="55" s="1"/>
  <c r="P110" i="55" s="1"/>
  <c r="W304" i="48"/>
  <c r="AB304" i="48"/>
  <c r="L264" i="55" s="1"/>
  <c r="AB301" i="48"/>
  <c r="AB324" i="48"/>
  <c r="L283" i="55" s="1"/>
  <c r="W324" i="48"/>
  <c r="V182" i="48"/>
  <c r="AB182" i="48"/>
  <c r="AC182" i="48" s="1"/>
  <c r="L14" i="4"/>
  <c r="J9" i="4"/>
  <c r="J4" i="4" s="1"/>
  <c r="K7" i="4"/>
  <c r="CR8" i="11"/>
  <c r="M261" i="31"/>
  <c r="K301" i="31"/>
  <c r="W304" i="23"/>
  <c r="F95" i="25"/>
  <c r="F92" i="25" s="1"/>
  <c r="F76" i="25"/>
  <c r="Q42" i="1"/>
  <c r="Q7" i="1" s="1"/>
  <c r="M164" i="31"/>
  <c r="P164" i="31"/>
  <c r="M209" i="31"/>
  <c r="M196" i="31"/>
  <c r="P196" i="31"/>
  <c r="M120" i="31"/>
  <c r="P120" i="31"/>
  <c r="M236" i="31"/>
  <c r="P236" i="31"/>
  <c r="M185" i="31"/>
  <c r="P185" i="31"/>
  <c r="M221" i="31"/>
  <c r="P221" i="31"/>
  <c r="M295" i="31"/>
  <c r="P295" i="31"/>
  <c r="M212" i="31"/>
  <c r="P212" i="31"/>
  <c r="M192" i="31"/>
  <c r="P192" i="31"/>
  <c r="M28" i="31"/>
  <c r="P28" i="31"/>
  <c r="M78" i="31"/>
  <c r="P78" i="31"/>
  <c r="M132" i="31"/>
  <c r="P132" i="31"/>
  <c r="M252" i="31"/>
  <c r="P252" i="31"/>
  <c r="M138" i="31"/>
  <c r="P138" i="31"/>
  <c r="M249" i="31"/>
  <c r="P249" i="31"/>
  <c r="P9" i="31"/>
  <c r="L302" i="31"/>
  <c r="P302" i="31" s="1"/>
  <c r="P303" i="31"/>
  <c r="CR11" i="11"/>
  <c r="L30" i="10"/>
  <c r="CQ11" i="11"/>
  <c r="DV12" i="11"/>
  <c r="CP26" i="11"/>
  <c r="CQ8" i="11"/>
  <c r="CT8" i="11" s="1"/>
  <c r="Q253" i="1"/>
  <c r="Q28" i="3"/>
  <c r="CK9" i="11"/>
  <c r="CK22" i="11" s="1"/>
  <c r="CC24" i="11"/>
  <c r="CF24" i="11" s="1"/>
  <c r="M104" i="31"/>
  <c r="M288" i="31"/>
  <c r="M65" i="31"/>
  <c r="M47" i="31"/>
  <c r="M9" i="31"/>
  <c r="S179" i="23"/>
  <c r="CQ21" i="11"/>
  <c r="CT21" i="11" s="1"/>
  <c r="K22" i="34"/>
  <c r="P11" i="34"/>
  <c r="L20" i="34"/>
  <c r="L12" i="34"/>
  <c r="AI19" i="35"/>
  <c r="AG21" i="35"/>
  <c r="AE18" i="33"/>
  <c r="P9" i="34"/>
  <c r="L18" i="34"/>
  <c r="O9" i="34"/>
  <c r="N9" i="34"/>
  <c r="M9" i="34"/>
  <c r="Q27" i="33"/>
  <c r="L15" i="45"/>
  <c r="M15" i="45" s="1"/>
  <c r="O30" i="10"/>
  <c r="L25" i="10"/>
  <c r="F10" i="9" s="1"/>
  <c r="P12" i="10"/>
  <c r="L13" i="10"/>
  <c r="K27" i="10"/>
  <c r="O25" i="10"/>
  <c r="O31" i="10"/>
  <c r="L24" i="10"/>
  <c r="F9" i="9" s="1"/>
  <c r="L10" i="10"/>
  <c r="P11" i="10"/>
  <c r="I9" i="9"/>
  <c r="H9" i="9"/>
  <c r="H15" i="9" s="1"/>
  <c r="H16" i="9" s="1"/>
  <c r="L31" i="10"/>
  <c r="CF11" i="11"/>
  <c r="CB11" i="11"/>
  <c r="CB24" i="11" s="1"/>
  <c r="CD9" i="11"/>
  <c r="CD22" i="11" s="1"/>
  <c r="CC9" i="11"/>
  <c r="BW22" i="11"/>
  <c r="AX25" i="11"/>
  <c r="AK25" i="11"/>
  <c r="BV20" i="11"/>
  <c r="CJ7" i="11"/>
  <c r="CJ14" i="11" s="1"/>
  <c r="BW7" i="11"/>
  <c r="CJ24" i="11"/>
  <c r="CQ24" i="11" s="1"/>
  <c r="CT24" i="11" s="1"/>
  <c r="BU24" i="11"/>
  <c r="AZ22" i="11"/>
  <c r="BE22" i="11" s="1"/>
  <c r="BG22" i="11" s="1"/>
  <c r="CO22" i="11" s="1"/>
  <c r="BI22" i="11"/>
  <c r="AV22" i="11"/>
  <c r="BV22" i="11"/>
  <c r="AT25" i="11"/>
  <c r="AZ20" i="11"/>
  <c r="BI20" i="11"/>
  <c r="AV20" i="11"/>
  <c r="CF8" i="11"/>
  <c r="CB8" i="11"/>
  <c r="CB21" i="11" s="1"/>
  <c r="BG7" i="11"/>
  <c r="BE20" i="11"/>
  <c r="BU21" i="11"/>
  <c r="G53" i="30"/>
  <c r="M208" i="31"/>
  <c r="K207" i="31"/>
  <c r="P308" i="31" l="1"/>
  <c r="P273" i="31"/>
  <c r="M301" i="31"/>
  <c r="M300" i="31" s="1"/>
  <c r="M299" i="31" s="1"/>
  <c r="K158" i="55"/>
  <c r="M158" i="55" s="1"/>
  <c r="M157" i="55" s="1"/>
  <c r="K157" i="31"/>
  <c r="L157" i="31" s="1"/>
  <c r="P157" i="31" s="1"/>
  <c r="M152" i="31"/>
  <c r="P209" i="55"/>
  <c r="L208" i="55"/>
  <c r="P208" i="55" s="1"/>
  <c r="M209" i="55"/>
  <c r="M208" i="55" s="1"/>
  <c r="P264" i="55"/>
  <c r="L261" i="55"/>
  <c r="P283" i="55"/>
  <c r="L282" i="55"/>
  <c r="P282" i="55" s="1"/>
  <c r="P157" i="55"/>
  <c r="K307" i="31"/>
  <c r="K306" i="31" s="1"/>
  <c r="L259" i="31"/>
  <c r="P259" i="31" s="1"/>
  <c r="K259" i="31"/>
  <c r="P262" i="31"/>
  <c r="K302" i="55"/>
  <c r="K301" i="55" s="1"/>
  <c r="M303" i="55"/>
  <c r="M302" i="55" s="1"/>
  <c r="M301" i="55" s="1"/>
  <c r="K309" i="55"/>
  <c r="M310" i="55"/>
  <c r="M264" i="55"/>
  <c r="M261" i="55" s="1"/>
  <c r="K261" i="55"/>
  <c r="K281" i="31"/>
  <c r="L281" i="31" s="1"/>
  <c r="P281" i="31" s="1"/>
  <c r="K283" i="55"/>
  <c r="AB61" i="48"/>
  <c r="L58" i="55" s="1"/>
  <c r="P58" i="55" s="1"/>
  <c r="V241" i="48"/>
  <c r="AB241" i="48"/>
  <c r="AC241" i="48" s="1"/>
  <c r="W352" i="48"/>
  <c r="AB177" i="48"/>
  <c r="L152" i="55" s="1"/>
  <c r="U361" i="48"/>
  <c r="V181" i="48"/>
  <c r="AB181" i="48"/>
  <c r="V323" i="48"/>
  <c r="AB323" i="48"/>
  <c r="AC323" i="48" s="1"/>
  <c r="W241" i="48"/>
  <c r="CQ9" i="11"/>
  <c r="CT9" i="11" s="1"/>
  <c r="CP11" i="11"/>
  <c r="CP24" i="11" s="1"/>
  <c r="CT11" i="11"/>
  <c r="CR24" i="11"/>
  <c r="CP8" i="11"/>
  <c r="CP21" i="11" s="1"/>
  <c r="CR21" i="11"/>
  <c r="K9" i="4"/>
  <c r="K4" i="4" s="1"/>
  <c r="L7" i="4"/>
  <c r="CR9" i="11"/>
  <c r="M259" i="31"/>
  <c r="K300" i="31"/>
  <c r="K299" i="31" s="1"/>
  <c r="L300" i="31"/>
  <c r="P300" i="31" s="1"/>
  <c r="F91" i="25"/>
  <c r="F66" i="25"/>
  <c r="F78" i="30"/>
  <c r="F76" i="30" s="1"/>
  <c r="G73" i="30" s="1"/>
  <c r="M207" i="31"/>
  <c r="DV13" i="11"/>
  <c r="DV25" i="11"/>
  <c r="DR30" i="11"/>
  <c r="E42" i="24"/>
  <c r="E49" i="24" s="1"/>
  <c r="P31" i="10"/>
  <c r="CK7" i="11"/>
  <c r="CI24" i="11"/>
  <c r="CI21" i="11"/>
  <c r="U179" i="23"/>
  <c r="K152" i="55" s="1"/>
  <c r="I15" i="39"/>
  <c r="K15" i="39" s="1"/>
  <c r="L15" i="39" s="1"/>
  <c r="P30" i="10"/>
  <c r="CC22" i="11"/>
  <c r="CF22" i="11" s="1"/>
  <c r="M19" i="34"/>
  <c r="N19" i="34" s="1"/>
  <c r="O19" i="34" s="1"/>
  <c r="P19" i="34" s="1"/>
  <c r="N12" i="34"/>
  <c r="M12" i="34"/>
  <c r="L21" i="34"/>
  <c r="P12" i="34"/>
  <c r="O12" i="34"/>
  <c r="N119" i="1"/>
  <c r="N74" i="1" s="1"/>
  <c r="F15" i="9"/>
  <c r="F16" i="9" s="1"/>
  <c r="M13" i="10"/>
  <c r="M26" i="10" s="1"/>
  <c r="G11" i="9" s="1"/>
  <c r="L26" i="10"/>
  <c r="P13" i="10"/>
  <c r="O13" i="10"/>
  <c r="O26" i="10" s="1"/>
  <c r="I11" i="9" s="1"/>
  <c r="N13" i="10"/>
  <c r="N26" i="10" s="1"/>
  <c r="H11" i="9" s="1"/>
  <c r="I10" i="9"/>
  <c r="I15" i="9" s="1"/>
  <c r="I16" i="9" s="1"/>
  <c r="Q12" i="10"/>
  <c r="P25" i="10"/>
  <c r="J10" i="9" s="1"/>
  <c r="P24" i="10"/>
  <c r="J9" i="9" s="1"/>
  <c r="Q11" i="10"/>
  <c r="P10" i="10"/>
  <c r="O10" i="10"/>
  <c r="O23" i="10" s="1"/>
  <c r="N10" i="10"/>
  <c r="N23" i="10" s="1"/>
  <c r="M10" i="10"/>
  <c r="M23" i="10" s="1"/>
  <c r="L23" i="10"/>
  <c r="CB9" i="11"/>
  <c r="CB22" i="11" s="1"/>
  <c r="CF9" i="11"/>
  <c r="BG20" i="11"/>
  <c r="BD20" i="11"/>
  <c r="BD27" i="11" s="1"/>
  <c r="CD7" i="11"/>
  <c r="CC7" i="11"/>
  <c r="BW20" i="11"/>
  <c r="BW27" i="11" s="1"/>
  <c r="AZ25" i="11"/>
  <c r="BE25" i="11" s="1"/>
  <c r="BG25" i="11" s="1"/>
  <c r="CO25" i="11" s="1"/>
  <c r="CQ25" i="11" s="1"/>
  <c r="CT25" i="11" s="1"/>
  <c r="BI25" i="11"/>
  <c r="AV25" i="11"/>
  <c r="AV27" i="11" s="1"/>
  <c r="BU22" i="11"/>
  <c r="CJ22" i="11"/>
  <c r="CQ22" i="11" s="1"/>
  <c r="CT22" i="11" s="1"/>
  <c r="BV27" i="11"/>
  <c r="CJ20" i="11"/>
  <c r="AT27" i="11"/>
  <c r="AT32" i="11" s="1"/>
  <c r="L307" i="31" l="1"/>
  <c r="P307" i="31" s="1"/>
  <c r="M308" i="31"/>
  <c r="P301" i="31"/>
  <c r="K157" i="55"/>
  <c r="K156" i="55" s="1"/>
  <c r="M157" i="31"/>
  <c r="M156" i="31" s="1"/>
  <c r="M155" i="31" s="1"/>
  <c r="K156" i="31"/>
  <c r="K155" i="31" s="1"/>
  <c r="L156" i="31"/>
  <c r="CP9" i="11"/>
  <c r="CP22" i="11" s="1"/>
  <c r="L156" i="55"/>
  <c r="P156" i="55" s="1"/>
  <c r="CR22" i="11"/>
  <c r="M156" i="55"/>
  <c r="L260" i="55"/>
  <c r="P261" i="55"/>
  <c r="P152" i="55"/>
  <c r="L150" i="55"/>
  <c r="P150" i="55" s="1"/>
  <c r="K280" i="31"/>
  <c r="K258" i="31" s="1"/>
  <c r="K308" i="55"/>
  <c r="M308" i="55" s="1"/>
  <c r="M309" i="55"/>
  <c r="L280" i="31"/>
  <c r="M281" i="31"/>
  <c r="M280" i="31" s="1"/>
  <c r="M258" i="31" s="1"/>
  <c r="M152" i="55"/>
  <c r="K282" i="55"/>
  <c r="K260" i="55" s="1"/>
  <c r="M283" i="55"/>
  <c r="M282" i="55" s="1"/>
  <c r="M260" i="55" s="1"/>
  <c r="P5" i="48"/>
  <c r="AB110" i="48"/>
  <c r="L103" i="55" s="1"/>
  <c r="P103" i="55" s="1"/>
  <c r="AC181" i="48"/>
  <c r="U362" i="48"/>
  <c r="V300" i="48"/>
  <c r="AB300" i="48"/>
  <c r="AC300" i="48" s="1"/>
  <c r="J73" i="30"/>
  <c r="CK20" i="11"/>
  <c r="CK27" i="11" s="1"/>
  <c r="CK14" i="11"/>
  <c r="DR31" i="11"/>
  <c r="DV26" i="11"/>
  <c r="DV24" i="11"/>
  <c r="L9" i="4"/>
  <c r="L4" i="4" s="1"/>
  <c r="N7" i="4"/>
  <c r="L299" i="31"/>
  <c r="P299" i="31" s="1"/>
  <c r="J53" i="30"/>
  <c r="CQ7" i="11"/>
  <c r="CQ14" i="11" s="1"/>
  <c r="G42" i="24"/>
  <c r="J42" i="24" s="1"/>
  <c r="M42" i="24" s="1"/>
  <c r="CR7" i="11"/>
  <c r="CI22" i="11"/>
  <c r="F62" i="25"/>
  <c r="K151" i="31"/>
  <c r="L151" i="31" s="1"/>
  <c r="BU20" i="11"/>
  <c r="BZ37" i="11" s="1"/>
  <c r="M20" i="34"/>
  <c r="N20" i="34" s="1"/>
  <c r="O20" i="34" s="1"/>
  <c r="P20" i="34" s="1"/>
  <c r="L22" i="34"/>
  <c r="AE27" i="33"/>
  <c r="CJ27" i="11"/>
  <c r="M18" i="34"/>
  <c r="I7" i="9"/>
  <c r="P23" i="10"/>
  <c r="E11" i="43"/>
  <c r="Q10" i="10"/>
  <c r="Q24" i="10"/>
  <c r="K9" i="9" s="1"/>
  <c r="R11" i="10"/>
  <c r="Q30" i="10"/>
  <c r="P26" i="10"/>
  <c r="J11" i="9" s="1"/>
  <c r="Q13" i="10"/>
  <c r="E12" i="43"/>
  <c r="F11" i="9"/>
  <c r="L27" i="10"/>
  <c r="F7" i="9"/>
  <c r="M27" i="10"/>
  <c r="R12" i="10"/>
  <c r="Q31" i="10"/>
  <c r="Q25" i="10"/>
  <c r="G7" i="9"/>
  <c r="N27" i="10"/>
  <c r="H7" i="9"/>
  <c r="O27" i="10"/>
  <c r="CF7" i="11"/>
  <c r="CB7" i="11"/>
  <c r="BV37" i="11"/>
  <c r="CD20" i="11"/>
  <c r="BW37" i="11"/>
  <c r="BE27" i="11"/>
  <c r="BE32" i="11" s="1"/>
  <c r="CP30" i="11"/>
  <c r="AZ27" i="11"/>
  <c r="M307" i="31" l="1"/>
  <c r="L306" i="31"/>
  <c r="P306" i="31" s="1"/>
  <c r="CT7" i="11"/>
  <c r="CT14" i="11" s="1"/>
  <c r="P156" i="31"/>
  <c r="L155" i="31"/>
  <c r="DV21" i="11"/>
  <c r="P260" i="55"/>
  <c r="P280" i="31"/>
  <c r="L258" i="31"/>
  <c r="P258" i="31" s="1"/>
  <c r="O137" i="23"/>
  <c r="S137" i="23" s="1"/>
  <c r="AB126" i="48"/>
  <c r="L108" i="55" s="1"/>
  <c r="CR20" i="11"/>
  <c r="DL27" i="11" s="1"/>
  <c r="DL28" i="11" s="1"/>
  <c r="CR14" i="11"/>
  <c r="CI20" i="11"/>
  <c r="CI27" i="11" s="1"/>
  <c r="BU27" i="11"/>
  <c r="DV22" i="11"/>
  <c r="N9" i="4"/>
  <c r="N4" i="4" s="1"/>
  <c r="R30" i="10"/>
  <c r="CP7" i="11"/>
  <c r="P151" i="31"/>
  <c r="M151" i="31"/>
  <c r="N18" i="34"/>
  <c r="O18" i="34" s="1"/>
  <c r="P18" i="34" s="1"/>
  <c r="M21" i="34"/>
  <c r="E13" i="43"/>
  <c r="E16" i="43" s="1"/>
  <c r="R31" i="10"/>
  <c r="G12" i="9"/>
  <c r="Q26" i="10"/>
  <c r="K11" i="9" s="1"/>
  <c r="R13" i="10"/>
  <c r="G14" i="9"/>
  <c r="F12" i="9"/>
  <c r="F14" i="9" s="1"/>
  <c r="F4" i="9" s="1"/>
  <c r="H12" i="9"/>
  <c r="H14" i="9" s="1"/>
  <c r="I12" i="9"/>
  <c r="I14" i="9" s="1"/>
  <c r="I4" i="9" s="1"/>
  <c r="K10" i="9"/>
  <c r="K15" i="9" s="1"/>
  <c r="K16" i="9" s="1"/>
  <c r="P27" i="10"/>
  <c r="R25" i="10"/>
  <c r="S12" i="10"/>
  <c r="Q23" i="10"/>
  <c r="R10" i="10"/>
  <c r="R24" i="10"/>
  <c r="S11" i="10"/>
  <c r="CA37" i="11"/>
  <c r="CD27" i="11"/>
  <c r="BU37" i="11"/>
  <c r="BV38" i="11" s="1"/>
  <c r="CB20" i="11"/>
  <c r="P155" i="31" l="1"/>
  <c r="M306" i="31"/>
  <c r="CR27" i="11"/>
  <c r="CR28" i="11" s="1"/>
  <c r="N23" i="9"/>
  <c r="P108" i="55"/>
  <c r="AB135" i="48"/>
  <c r="L117" i="55" s="1"/>
  <c r="P117" i="55" s="1"/>
  <c r="V23" i="9"/>
  <c r="DL14" i="11"/>
  <c r="CP20" i="11"/>
  <c r="CP14" i="11"/>
  <c r="S31" i="10"/>
  <c r="N21" i="34"/>
  <c r="M22" i="34"/>
  <c r="G4" i="9"/>
  <c r="K7" i="9"/>
  <c r="J12" i="9"/>
  <c r="S25" i="10"/>
  <c r="H4" i="9"/>
  <c r="S13" i="10"/>
  <c r="T12" i="10" s="1"/>
  <c r="R26" i="10"/>
  <c r="T11" i="10"/>
  <c r="T7" i="10" s="1"/>
  <c r="U7" i="10" s="1"/>
  <c r="S24" i="10"/>
  <c r="S30" i="10"/>
  <c r="Q27" i="10"/>
  <c r="M150" i="44" s="1"/>
  <c r="S10" i="10"/>
  <c r="R23" i="10"/>
  <c r="CC20" i="11"/>
  <c r="CB27" i="11"/>
  <c r="U137" i="23"/>
  <c r="K117" i="55" s="1"/>
  <c r="DT14" i="11" l="1"/>
  <c r="DS14" i="11"/>
  <c r="M117" i="55"/>
  <c r="R135" i="1"/>
  <c r="N22" i="9"/>
  <c r="DR14" i="11"/>
  <c r="DM14" i="11"/>
  <c r="DK14" i="11"/>
  <c r="CQ20" i="11"/>
  <c r="CO20" i="11" s="1"/>
  <c r="V28" i="9" s="1"/>
  <c r="X28" i="9" s="1"/>
  <c r="CP27" i="11"/>
  <c r="CP28" i="11" s="1"/>
  <c r="DS27" i="11"/>
  <c r="DK27" i="11"/>
  <c r="DK28" i="11" s="1"/>
  <c r="U20" i="10"/>
  <c r="T8" i="10"/>
  <c r="R27" i="10"/>
  <c r="T31" i="10"/>
  <c r="T24" i="10"/>
  <c r="O21" i="34"/>
  <c r="P21" i="34" s="1"/>
  <c r="N22" i="34"/>
  <c r="T25" i="10"/>
  <c r="J14" i="9"/>
  <c r="J4" i="9" s="1"/>
  <c r="T13" i="10"/>
  <c r="S26" i="10"/>
  <c r="R20" i="10"/>
  <c r="T10" i="10"/>
  <c r="S23" i="10"/>
  <c r="S20" i="10" s="1"/>
  <c r="K12" i="9"/>
  <c r="K14" i="9" s="1"/>
  <c r="K4" i="9" s="1"/>
  <c r="T30" i="10"/>
  <c r="CC37" i="11"/>
  <c r="CB37" i="11" s="1"/>
  <c r="CB32" i="11"/>
  <c r="CB33" i="11" s="1"/>
  <c r="CA20" i="11"/>
  <c r="CA27" i="11" s="1"/>
  <c r="CC27" i="11"/>
  <c r="CF20" i="11"/>
  <c r="F54" i="25"/>
  <c r="K116" i="31"/>
  <c r="L116" i="31" s="1"/>
  <c r="P116" i="31" s="1"/>
  <c r="N28" i="9" l="1"/>
  <c r="N24" i="9" s="1"/>
  <c r="CO27" i="11"/>
  <c r="DV7" i="11"/>
  <c r="DR32" i="11"/>
  <c r="DR33" i="11" s="1"/>
  <c r="DM27" i="11"/>
  <c r="DM28" i="11" s="1"/>
  <c r="DM32" i="11"/>
  <c r="CT20" i="11"/>
  <c r="CT27" i="11" s="1"/>
  <c r="CQ27" i="11"/>
  <c r="CP32" i="11"/>
  <c r="CP33" i="11" s="1"/>
  <c r="CP34" i="11" s="1"/>
  <c r="T9" i="10"/>
  <c r="U8" i="10"/>
  <c r="R141" i="1"/>
  <c r="T22" i="10"/>
  <c r="N19" i="9" s="1"/>
  <c r="T21" i="10"/>
  <c r="N18" i="9" s="1"/>
  <c r="N9" i="9"/>
  <c r="N10" i="9"/>
  <c r="S27" i="10"/>
  <c r="T26" i="10"/>
  <c r="N11" i="9" s="1"/>
  <c r="T23" i="10"/>
  <c r="M116" i="31"/>
  <c r="F43" i="30"/>
  <c r="DQ27" i="11" l="1"/>
  <c r="DT27" i="11"/>
  <c r="DV20" i="11"/>
  <c r="DV27" i="11" s="1"/>
  <c r="U21" i="10"/>
  <c r="R142" i="1" s="1"/>
  <c r="V142" i="1" s="1"/>
  <c r="X142" i="1" s="1"/>
  <c r="Z142" i="1" s="1"/>
  <c r="U9" i="10"/>
  <c r="N15" i="9" a="1"/>
  <c r="N15" i="9" s="1"/>
  <c r="N16" i="9" s="1"/>
  <c r="T27" i="10"/>
  <c r="V12" i="9" s="1"/>
  <c r="G34" i="24"/>
  <c r="J34" i="24" s="1"/>
  <c r="M34" i="24" s="1"/>
  <c r="G32" i="24"/>
  <c r="J32" i="24" s="1"/>
  <c r="G33" i="24"/>
  <c r="J33" i="24" s="1"/>
  <c r="M33" i="24" s="1"/>
  <c r="T20" i="10"/>
  <c r="N8" i="9" s="1"/>
  <c r="V24" i="9" l="1"/>
  <c r="U9" i="16"/>
  <c r="U12" i="16" s="1"/>
  <c r="M32" i="24"/>
  <c r="O63" i="23"/>
  <c r="S63" i="23" s="1"/>
  <c r="U63" i="23" s="1"/>
  <c r="O34" i="23"/>
  <c r="S34" i="23" s="1"/>
  <c r="U34" i="23" s="1"/>
  <c r="K33" i="55" s="1"/>
  <c r="R249" i="1"/>
  <c r="V14" i="9"/>
  <c r="V225" i="1"/>
  <c r="E38" i="24"/>
  <c r="N12" i="9"/>
  <c r="X12" i="9" s="1"/>
  <c r="M156" i="44"/>
  <c r="F25" i="25" l="1"/>
  <c r="F25" i="30" s="1"/>
  <c r="K58" i="31"/>
  <c r="L58" i="31" s="1"/>
  <c r="M58" i="31" s="1"/>
  <c r="K59" i="55"/>
  <c r="K32" i="31"/>
  <c r="L32" i="31" s="1"/>
  <c r="P32" i="31" s="1"/>
  <c r="F9" i="25"/>
  <c r="AB33" i="48"/>
  <c r="L33" i="55" s="1"/>
  <c r="P33" i="55" s="1"/>
  <c r="AB62" i="48"/>
  <c r="L59" i="55" s="1"/>
  <c r="P59" i="55" s="1"/>
  <c r="O13" i="23"/>
  <c r="S13" i="23" s="1"/>
  <c r="U13" i="23" s="1"/>
  <c r="N14" i="9"/>
  <c r="R224" i="1"/>
  <c r="R216" i="1" s="1"/>
  <c r="R150" i="1" s="1"/>
  <c r="V224" i="1"/>
  <c r="V9" i="16"/>
  <c r="R241" i="1"/>
  <c r="K10" i="55" l="1"/>
  <c r="M59" i="55"/>
  <c r="M33" i="55"/>
  <c r="F9" i="30"/>
  <c r="P58" i="31"/>
  <c r="M32" i="31"/>
  <c r="N4" i="9"/>
  <c r="V12" i="16"/>
  <c r="W9" i="16"/>
  <c r="V141" i="1"/>
  <c r="K10" i="31"/>
  <c r="L10" i="31" s="1"/>
  <c r="P10" i="31" s="1"/>
  <c r="F12" i="25"/>
  <c r="X141" i="1" l="1"/>
  <c r="Z141" i="1" s="1"/>
  <c r="F12" i="30"/>
  <c r="M10" i="31"/>
  <c r="X9" i="16"/>
  <c r="AB12" i="48" l="1"/>
  <c r="L10" i="55" s="1"/>
  <c r="Y9" i="16"/>
  <c r="P10" i="55" l="1"/>
  <c r="M10" i="55"/>
  <c r="S27" i="1"/>
  <c r="AA18" i="12"/>
  <c r="AB18" i="12" l="1"/>
  <c r="S18" i="1" l="1"/>
  <c r="AA17" i="12"/>
  <c r="R128" i="23" l="1"/>
  <c r="R129" i="23"/>
  <c r="F40" i="30" l="1"/>
  <c r="L117" i="1" l="1"/>
  <c r="X117" i="1" s="1"/>
  <c r="L116" i="1"/>
  <c r="X116" i="1" s="1"/>
  <c r="L52" i="3"/>
  <c r="X52" i="3" s="1"/>
  <c r="AH52" i="3" s="1"/>
  <c r="AJ52" i="3" s="1"/>
  <c r="AD52" i="3" l="1"/>
  <c r="AF52" i="3" s="1"/>
  <c r="Z52" i="3"/>
  <c r="AB52" i="3" s="1"/>
  <c r="L142" i="22"/>
  <c r="J142" i="22" s="1"/>
  <c r="L61" i="22"/>
  <c r="J61" i="22" s="1"/>
  <c r="Z116" i="1"/>
  <c r="L62" i="22"/>
  <c r="J62" i="22" s="1"/>
  <c r="Z117" i="1"/>
  <c r="L37" i="1"/>
  <c r="X37" i="1" s="1"/>
  <c r="Z37" i="1" s="1"/>
  <c r="L11" i="3"/>
  <c r="L189" i="1" l="1"/>
  <c r="X189" i="1" s="1"/>
  <c r="Z189" i="1" s="1"/>
  <c r="L133" i="1" l="1"/>
  <c r="X133" i="1" s="1"/>
  <c r="L53" i="22" l="1"/>
  <c r="J53" i="22" s="1"/>
  <c r="Z133" i="1"/>
  <c r="L47" i="45" l="1"/>
  <c r="M47" i="45" s="1"/>
  <c r="L191" i="1"/>
  <c r="X191" i="1" s="1"/>
  <c r="Z191" i="1" s="1"/>
  <c r="L192" i="1"/>
  <c r="L71" i="1"/>
  <c r="X71" i="1" s="1"/>
  <c r="Z71" i="1" s="1"/>
  <c r="L159" i="1" l="1"/>
  <c r="X159" i="1" s="1"/>
  <c r="Z159" i="1" s="1"/>
  <c r="L143" i="1"/>
  <c r="X143" i="1" s="1"/>
  <c r="Z143" i="1" s="1"/>
  <c r="L35" i="1" l="1"/>
  <c r="L190" i="1"/>
  <c r="X190" i="1" s="1"/>
  <c r="Z190" i="1" s="1"/>
  <c r="L146" i="1"/>
  <c r="X146" i="1" s="1"/>
  <c r="Z146" i="1" s="1"/>
  <c r="L31" i="1" l="1"/>
  <c r="X31" i="1" s="1"/>
  <c r="Z31" i="1" s="1"/>
  <c r="L12" i="3" l="1"/>
  <c r="X11" i="3" l="1"/>
  <c r="AH11" i="3" s="1"/>
  <c r="AJ11" i="3" s="1"/>
  <c r="L92" i="1"/>
  <c r="X92" i="1" s="1"/>
  <c r="M6" i="14" s="1"/>
  <c r="Z92" i="1" l="1"/>
  <c r="Z11" i="3"/>
  <c r="AB11" i="3" s="1"/>
  <c r="AD11" i="3"/>
  <c r="AF11" i="3" s="1"/>
  <c r="L196" i="1"/>
  <c r="X196" i="1" s="1"/>
  <c r="Z196" i="1" s="1"/>
  <c r="L195" i="1"/>
  <c r="X195" i="1" s="1"/>
  <c r="Z195" i="1" s="1"/>
  <c r="L29" i="1" l="1"/>
  <c r="X29" i="1" s="1"/>
  <c r="L11" i="22" l="1"/>
  <c r="J11" i="22" s="1"/>
  <c r="Z29" i="1"/>
  <c r="L115" i="3"/>
  <c r="L14" i="45" l="1"/>
  <c r="M14" i="45" s="1"/>
  <c r="L70" i="1" l="1"/>
  <c r="X70" i="1" s="1"/>
  <c r="Z70" i="1" s="1"/>
  <c r="L23" i="1"/>
  <c r="L172" i="1"/>
  <c r="X172" i="1" s="1"/>
  <c r="Z172" i="1" s="1"/>
  <c r="L79" i="1"/>
  <c r="X79" i="1" s="1"/>
  <c r="L229" i="1"/>
  <c r="X229" i="1" s="1"/>
  <c r="Z229" i="1" s="1"/>
  <c r="F24" i="17"/>
  <c r="F78" i="17" s="1"/>
  <c r="L67" i="1"/>
  <c r="X67" i="1" s="1"/>
  <c r="Z67" i="1" s="1"/>
  <c r="L228" i="1"/>
  <c r="X228" i="1" s="1"/>
  <c r="L68" i="3"/>
  <c r="L15" i="3"/>
  <c r="L49" i="3"/>
  <c r="L60" i="3"/>
  <c r="L31" i="3"/>
  <c r="L35" i="3"/>
  <c r="L45" i="3"/>
  <c r="L54" i="3"/>
  <c r="L64" i="3"/>
  <c r="L72" i="3"/>
  <c r="L93" i="3"/>
  <c r="L28" i="3"/>
  <c r="L23" i="3"/>
  <c r="L78" i="3"/>
  <c r="L9" i="3"/>
  <c r="L19" i="3"/>
  <c r="L32" i="3"/>
  <c r="L42" i="3"/>
  <c r="L46" i="3"/>
  <c r="L50" i="3"/>
  <c r="L57" i="3"/>
  <c r="L61" i="3"/>
  <c r="L65" i="3"/>
  <c r="L73" i="3"/>
  <c r="L90" i="3"/>
  <c r="L94" i="3"/>
  <c r="L99" i="3"/>
  <c r="L40" i="3"/>
  <c r="L53" i="3"/>
  <c r="L367" i="23" s="1"/>
  <c r="L59" i="3"/>
  <c r="L63" i="3"/>
  <c r="L67" i="3"/>
  <c r="L71" i="3"/>
  <c r="L92" i="3"/>
  <c r="L96" i="3"/>
  <c r="L123" i="3"/>
  <c r="L33" i="3"/>
  <c r="L43" i="3"/>
  <c r="L51" i="3"/>
  <c r="L70" i="3"/>
  <c r="L91" i="3"/>
  <c r="X91" i="3" s="1"/>
  <c r="AH91" i="3" s="1"/>
  <c r="AJ91" i="3" s="1"/>
  <c r="L29" i="3"/>
  <c r="X29" i="3" s="1"/>
  <c r="AH29" i="3" s="1"/>
  <c r="AJ29" i="3" s="1"/>
  <c r="L39" i="3"/>
  <c r="L47" i="3"/>
  <c r="L58" i="3"/>
  <c r="L66" i="3"/>
  <c r="L74" i="3"/>
  <c r="L16" i="3"/>
  <c r="L62" i="3"/>
  <c r="L111" i="3"/>
  <c r="L112" i="3"/>
  <c r="L114" i="3"/>
  <c r="L120" i="3"/>
  <c r="L10" i="3"/>
  <c r="L20" i="3"/>
  <c r="L24" i="3"/>
  <c r="L79" i="3"/>
  <c r="L83" i="3"/>
  <c r="L44" i="3"/>
  <c r="L48" i="3"/>
  <c r="X48" i="3" s="1"/>
  <c r="AH48" i="3" s="1"/>
  <c r="AJ48" i="3" s="1"/>
  <c r="L113" i="3"/>
  <c r="L17" i="3"/>
  <c r="L81" i="3"/>
  <c r="L25" i="3"/>
  <c r="L21" i="3"/>
  <c r="L80" i="3"/>
  <c r="L22" i="3"/>
  <c r="L8" i="3"/>
  <c r="L14" i="3"/>
  <c r="L18" i="3"/>
  <c r="L110" i="3"/>
  <c r="X110" i="3" s="1"/>
  <c r="AH110" i="3" s="1"/>
  <c r="AJ110" i="3" s="1"/>
  <c r="L89" i="3"/>
  <c r="L41" i="3"/>
  <c r="L13" i="3"/>
  <c r="L105" i="3"/>
  <c r="L30" i="3"/>
  <c r="L34" i="3"/>
  <c r="Z48" i="3" l="1"/>
  <c r="AB48" i="3" s="1"/>
  <c r="AD48" i="3"/>
  <c r="AF48" i="3" s="1"/>
  <c r="Z29" i="3"/>
  <c r="AB29" i="3" s="1"/>
  <c r="AD29" i="3"/>
  <c r="AF29" i="3" s="1"/>
  <c r="AD110" i="3"/>
  <c r="AF110" i="3" s="1"/>
  <c r="Z110" i="3"/>
  <c r="AB110" i="3" s="1"/>
  <c r="AD91" i="3"/>
  <c r="AF91" i="3" s="1"/>
  <c r="Z91" i="3"/>
  <c r="AB91" i="3" s="1"/>
  <c r="L167" i="22"/>
  <c r="J167" i="22" s="1"/>
  <c r="L82" i="22"/>
  <c r="J82" i="22" s="1"/>
  <c r="Z228" i="1"/>
  <c r="L35" i="22"/>
  <c r="J35" i="22" s="1"/>
  <c r="Z79" i="1"/>
  <c r="L366" i="23"/>
  <c r="L367" i="48"/>
  <c r="X47" i="3"/>
  <c r="AH47" i="3" s="1"/>
  <c r="AJ47" i="3" s="1"/>
  <c r="L366" i="48"/>
  <c r="W32" i="23"/>
  <c r="X51" i="3"/>
  <c r="AH51" i="3" s="1"/>
  <c r="AJ51" i="3" s="1"/>
  <c r="X55" i="3"/>
  <c r="AH55" i="3" s="1"/>
  <c r="AJ55" i="3" s="1"/>
  <c r="X104" i="3"/>
  <c r="AH104" i="3" s="1"/>
  <c r="AJ104" i="3" s="1"/>
  <c r="X50" i="3"/>
  <c r="AH50" i="3" s="1"/>
  <c r="AJ50" i="3" s="1"/>
  <c r="X56" i="3"/>
  <c r="AH56" i="3" s="1"/>
  <c r="AJ56" i="3" s="1"/>
  <c r="X49" i="3"/>
  <c r="AH49" i="3" s="1"/>
  <c r="AJ49" i="3" s="1"/>
  <c r="X12" i="3"/>
  <c r="AH12" i="3" s="1"/>
  <c r="AJ12" i="3" s="1"/>
  <c r="X15" i="3"/>
  <c r="AH15" i="3" s="1"/>
  <c r="AJ15" i="3" s="1"/>
  <c r="F25" i="17"/>
  <c r="F79" i="17" s="1"/>
  <c r="F21" i="17"/>
  <c r="F75" i="17" s="1"/>
  <c r="F8" i="17"/>
  <c r="F7" i="17" s="1"/>
  <c r="L234" i="1"/>
  <c r="L233" i="1" s="1"/>
  <c r="L118" i="1"/>
  <c r="X118" i="1" s="1"/>
  <c r="L126" i="3"/>
  <c r="L374" i="23" s="1"/>
  <c r="L9" i="1"/>
  <c r="F16" i="17"/>
  <c r="F70" i="17" s="1"/>
  <c r="F12" i="17"/>
  <c r="F66" i="17" s="1"/>
  <c r="H380" i="23"/>
  <c r="L102" i="3"/>
  <c r="L225" i="1"/>
  <c r="L224" i="1" s="1"/>
  <c r="L7" i="3"/>
  <c r="J7" i="12"/>
  <c r="AB20" i="38"/>
  <c r="X40" i="3"/>
  <c r="AH40" i="3" s="1"/>
  <c r="AJ40" i="3" s="1"/>
  <c r="L122" i="3"/>
  <c r="X111" i="3" s="1"/>
  <c r="AH111" i="3" s="1"/>
  <c r="AJ111" i="3" s="1"/>
  <c r="H372" i="23"/>
  <c r="L108" i="3"/>
  <c r="H376" i="23"/>
  <c r="L82" i="3"/>
  <c r="F15" i="17"/>
  <c r="L78" i="1"/>
  <c r="X78" i="1" s="1"/>
  <c r="L118" i="3"/>
  <c r="L97" i="3"/>
  <c r="L369" i="23" s="1"/>
  <c r="F20" i="17"/>
  <c r="F74" i="17" s="1"/>
  <c r="F18" i="17"/>
  <c r="F72" i="17" s="1"/>
  <c r="F105" i="17" s="1"/>
  <c r="L81" i="1"/>
  <c r="J9" i="12"/>
  <c r="J10" i="12" s="1"/>
  <c r="L27" i="3"/>
  <c r="H381" i="23"/>
  <c r="L103" i="3"/>
  <c r="L381" i="23" s="1"/>
  <c r="L95" i="3"/>
  <c r="H373" i="23"/>
  <c r="L88" i="3"/>
  <c r="L373" i="23" s="1"/>
  <c r="H370" i="23"/>
  <c r="L109" i="3"/>
  <c r="F22" i="17"/>
  <c r="F76" i="17" s="1"/>
  <c r="F17" i="17"/>
  <c r="F71" i="17" s="1"/>
  <c r="H377" i="23"/>
  <c r="L86" i="3"/>
  <c r="L377" i="23" s="1"/>
  <c r="L38" i="3"/>
  <c r="F13" i="17"/>
  <c r="F67" i="17" s="1"/>
  <c r="F98" i="17" s="1"/>
  <c r="L240" i="1"/>
  <c r="L227" i="1"/>
  <c r="L226" i="1" s="1"/>
  <c r="H378" i="23"/>
  <c r="L84" i="3"/>
  <c r="L378" i="23" s="1"/>
  <c r="L69" i="3"/>
  <c r="L77" i="3"/>
  <c r="L375" i="23" s="1"/>
  <c r="H375" i="23"/>
  <c r="F19" i="17"/>
  <c r="F73" i="17" s="1"/>
  <c r="L246" i="1"/>
  <c r="AD15" i="3" l="1"/>
  <c r="AF15" i="3" s="1"/>
  <c r="Z15" i="3"/>
  <c r="AB15" i="3" s="1"/>
  <c r="AD111" i="3"/>
  <c r="AF111" i="3" s="1"/>
  <c r="Z111" i="3"/>
  <c r="AB111" i="3" s="1"/>
  <c r="Z51" i="3"/>
  <c r="AB51" i="3" s="1"/>
  <c r="AD51" i="3"/>
  <c r="AF51" i="3" s="1"/>
  <c r="AD40" i="3"/>
  <c r="AF40" i="3" s="1"/>
  <c r="Z40" i="3"/>
  <c r="AB40" i="3" s="1"/>
  <c r="AD49" i="3"/>
  <c r="AF49" i="3" s="1"/>
  <c r="Z49" i="3"/>
  <c r="AB49" i="3" s="1"/>
  <c r="AD47" i="3"/>
  <c r="AF47" i="3" s="1"/>
  <c r="Z47" i="3"/>
  <c r="AB47" i="3" s="1"/>
  <c r="AD12" i="3"/>
  <c r="AF12" i="3" s="1"/>
  <c r="Z12" i="3"/>
  <c r="AB12" i="3" s="1"/>
  <c r="Z56" i="3"/>
  <c r="AB56" i="3" s="1"/>
  <c r="AD56" i="3"/>
  <c r="AF56" i="3" s="1"/>
  <c r="AD50" i="3"/>
  <c r="AF50" i="3" s="1"/>
  <c r="Z50" i="3"/>
  <c r="AB50" i="3" s="1"/>
  <c r="AD55" i="3"/>
  <c r="AF55" i="3" s="1"/>
  <c r="Z55" i="3"/>
  <c r="AB55" i="3" s="1"/>
  <c r="Z104" i="3"/>
  <c r="AB104" i="3" s="1"/>
  <c r="AD104" i="3"/>
  <c r="AF104" i="3" s="1"/>
  <c r="L145" i="22"/>
  <c r="J145" i="22" s="1"/>
  <c r="L143" i="22"/>
  <c r="J143" i="22" s="1"/>
  <c r="L141" i="22"/>
  <c r="J141" i="22" s="1"/>
  <c r="L144" i="22"/>
  <c r="J144" i="22" s="1"/>
  <c r="L164" i="22"/>
  <c r="J164" i="22" s="1"/>
  <c r="L140" i="22"/>
  <c r="J140" i="22" s="1"/>
  <c r="L119" i="22"/>
  <c r="J119" i="22" s="1"/>
  <c r="L47" i="22"/>
  <c r="J47" i="22" s="1"/>
  <c r="Z118" i="1"/>
  <c r="L34" i="22"/>
  <c r="J34" i="22" s="1"/>
  <c r="Z78" i="1"/>
  <c r="L112" i="22"/>
  <c r="J112" i="22" s="1"/>
  <c r="W109" i="23"/>
  <c r="L380" i="23"/>
  <c r="L100" i="3"/>
  <c r="L376" i="48"/>
  <c r="L376" i="23"/>
  <c r="L370" i="48"/>
  <c r="L370" i="23"/>
  <c r="L372" i="48"/>
  <c r="L372" i="23"/>
  <c r="L368" i="48"/>
  <c r="L368" i="23"/>
  <c r="L374" i="48"/>
  <c r="L381" i="48"/>
  <c r="L380" i="48"/>
  <c r="L369" i="48"/>
  <c r="L373" i="48"/>
  <c r="L377" i="48"/>
  <c r="L378" i="48"/>
  <c r="L375" i="48"/>
  <c r="L365" i="48"/>
  <c r="R9" i="55"/>
  <c r="R11" i="55" s="1"/>
  <c r="L8" i="45"/>
  <c r="M8" i="45" s="1"/>
  <c r="X98" i="3"/>
  <c r="AH98" i="3" s="1"/>
  <c r="AJ98" i="3" s="1"/>
  <c r="S56" i="1"/>
  <c r="AA5" i="16"/>
  <c r="AA12" i="16" s="1"/>
  <c r="F116" i="17"/>
  <c r="L149" i="45"/>
  <c r="M149" i="45" s="1"/>
  <c r="L12" i="45"/>
  <c r="M12" i="45" s="1"/>
  <c r="U239" i="1"/>
  <c r="U237" i="1"/>
  <c r="U244" i="1"/>
  <c r="V244" i="1" s="1"/>
  <c r="U245" i="1"/>
  <c r="U243" i="1"/>
  <c r="U242" i="1"/>
  <c r="X9" i="1"/>
  <c r="Z9" i="1" s="1"/>
  <c r="E18" i="24"/>
  <c r="E26" i="24" s="1"/>
  <c r="F69" i="17"/>
  <c r="F68" i="17" s="1"/>
  <c r="F14" i="17"/>
  <c r="F62" i="17"/>
  <c r="F61" i="17" s="1"/>
  <c r="X227" i="1"/>
  <c r="T5" i="16"/>
  <c r="F110" i="17"/>
  <c r="F111" i="17" s="1"/>
  <c r="X225" i="1"/>
  <c r="L85" i="22" s="1"/>
  <c r="F65" i="17"/>
  <c r="F97" i="17" s="1"/>
  <c r="F10" i="17"/>
  <c r="X97" i="3"/>
  <c r="AH97" i="3" s="1"/>
  <c r="AJ97" i="3" s="1"/>
  <c r="J8" i="12"/>
  <c r="J4" i="12" s="1"/>
  <c r="Z97" i="3" l="1"/>
  <c r="AB97" i="3" s="1"/>
  <c r="AD97" i="3"/>
  <c r="AF97" i="3" s="1"/>
  <c r="AD98" i="3"/>
  <c r="AF98" i="3" s="1"/>
  <c r="Z98" i="3"/>
  <c r="AB98" i="3" s="1"/>
  <c r="L106" i="45"/>
  <c r="M106" i="45" s="1"/>
  <c r="L108" i="45"/>
  <c r="M108" i="45" s="1"/>
  <c r="L171" i="22"/>
  <c r="J171" i="22" s="1"/>
  <c r="L156" i="22"/>
  <c r="J156" i="22" s="1"/>
  <c r="L81" i="22"/>
  <c r="J81" i="22" s="1"/>
  <c r="Z227" i="1"/>
  <c r="Z226" i="1" s="1"/>
  <c r="J85" i="22"/>
  <c r="Z225" i="1"/>
  <c r="Z224" i="1" s="1"/>
  <c r="U369" i="48"/>
  <c r="W72" i="23"/>
  <c r="X226" i="1"/>
  <c r="L9" i="45"/>
  <c r="M9" i="45" s="1"/>
  <c r="L43" i="45"/>
  <c r="M43" i="45" s="1"/>
  <c r="L105" i="45"/>
  <c r="M105" i="45" s="1"/>
  <c r="AD5" i="16"/>
  <c r="AE5" i="16" s="1"/>
  <c r="AE12" i="16" s="1"/>
  <c r="K22" i="14" s="1"/>
  <c r="S207" i="1"/>
  <c r="V207" i="1" s="1"/>
  <c r="L107" i="45"/>
  <c r="M107" i="45" s="1"/>
  <c r="L104" i="45"/>
  <c r="M104" i="45" s="1"/>
  <c r="L103" i="45"/>
  <c r="M103" i="45" s="1"/>
  <c r="F89" i="17"/>
  <c r="F92" i="17" s="1"/>
  <c r="G31" i="26"/>
  <c r="F102" i="17"/>
  <c r="F64" i="17"/>
  <c r="F112" i="17"/>
  <c r="X224" i="1"/>
  <c r="G35" i="26"/>
  <c r="T35" i="26" s="1"/>
  <c r="W5" i="16"/>
  <c r="T12" i="16"/>
  <c r="F18" i="24"/>
  <c r="U234" i="1"/>
  <c r="U233" i="1" l="1"/>
  <c r="AD12" i="16"/>
  <c r="U252" i="1"/>
  <c r="F103" i="17"/>
  <c r="F93" i="17"/>
  <c r="AF5" i="16"/>
  <c r="AF12" i="16" s="1"/>
  <c r="T31" i="26"/>
  <c r="X5" i="16"/>
  <c r="W12" i="16"/>
  <c r="L143" i="45"/>
  <c r="M143" i="45" s="1"/>
  <c r="L75" i="45"/>
  <c r="M75" i="45" s="1"/>
  <c r="L74" i="45"/>
  <c r="M74" i="45" s="1"/>
  <c r="G18" i="24"/>
  <c r="J18" i="24" s="1"/>
  <c r="F26" i="24"/>
  <c r="X12" i="16" l="1"/>
  <c r="K20" i="14" s="1"/>
  <c r="G20" i="14" s="1"/>
  <c r="H20" i="14" s="1"/>
  <c r="N355" i="23"/>
  <c r="S355" i="23" s="1"/>
  <c r="C6" i="46"/>
  <c r="Y5" i="16"/>
  <c r="Y12" i="16" l="1"/>
  <c r="N354" i="23"/>
  <c r="N353" i="23" s="1"/>
  <c r="N351" i="23" s="1"/>
  <c r="N350" i="23" s="1"/>
  <c r="N5" i="48"/>
  <c r="U355" i="23"/>
  <c r="S354" i="23"/>
  <c r="S353" i="23" s="1"/>
  <c r="S351" i="23" s="1"/>
  <c r="S350" i="23" s="1"/>
  <c r="U249" i="1"/>
  <c r="K313" i="55" l="1"/>
  <c r="K312" i="55" s="1"/>
  <c r="K311" i="55" s="1"/>
  <c r="AB134" i="48"/>
  <c r="L116" i="55" s="1"/>
  <c r="K8" i="38"/>
  <c r="K35" i="38" s="1"/>
  <c r="L8" i="38"/>
  <c r="L7" i="38" s="1"/>
  <c r="L6" i="38" s="1"/>
  <c r="V249" i="1"/>
  <c r="U241" i="1"/>
  <c r="U354" i="23"/>
  <c r="U353" i="23" s="1"/>
  <c r="U351" i="23" s="1"/>
  <c r="U350" i="23" s="1"/>
  <c r="K311" i="31"/>
  <c r="L311" i="31" s="1"/>
  <c r="P311" i="31" s="1"/>
  <c r="P116" i="55" l="1"/>
  <c r="K7" i="38"/>
  <c r="L310" i="31"/>
  <c r="M311" i="31"/>
  <c r="M310" i="31" s="1"/>
  <c r="M309" i="31" s="1"/>
  <c r="K310" i="31"/>
  <c r="K309" i="31" s="1"/>
  <c r="AB150" i="48" l="1"/>
  <c r="L130" i="55" s="1"/>
  <c r="K6" i="38"/>
  <c r="K34" i="38"/>
  <c r="L309" i="31"/>
  <c r="P309" i="31" s="1"/>
  <c r="P310" i="31"/>
  <c r="K33" i="38" l="1"/>
  <c r="P130" i="55"/>
  <c r="L107" i="55"/>
  <c r="P107" i="55" s="1"/>
  <c r="V125" i="48"/>
  <c r="AB125" i="48"/>
  <c r="AC125" i="48" s="1"/>
  <c r="K4" i="38"/>
  <c r="P28" i="33"/>
  <c r="P27" i="33" s="1"/>
  <c r="O5" i="48" l="1"/>
  <c r="AB20" i="48" l="1"/>
  <c r="L20" i="55" s="1"/>
  <c r="P20" i="55" l="1"/>
  <c r="DV9" i="11" l="1"/>
  <c r="DV11" i="11"/>
  <c r="DR27" i="11"/>
  <c r="DV8" i="11"/>
  <c r="DV14" i="11" l="1"/>
  <c r="R134" i="1"/>
  <c r="R119" i="1" l="1"/>
  <c r="R74" i="1" s="1"/>
  <c r="V4" i="9" l="1"/>
  <c r="R253" i="1"/>
  <c r="O6" i="3" l="1"/>
  <c r="O26" i="3"/>
  <c r="O37" i="3"/>
  <c r="O76" i="3"/>
  <c r="O87" i="3"/>
  <c r="S6" i="3"/>
  <c r="S26" i="3"/>
  <c r="S37" i="3"/>
  <c r="S76" i="3"/>
  <c r="S87" i="3"/>
  <c r="O125" i="3"/>
  <c r="U6" i="3"/>
  <c r="U26" i="3"/>
  <c r="U37" i="3"/>
  <c r="U76" i="3"/>
  <c r="U87" i="3"/>
  <c r="T6" i="3"/>
  <c r="T26" i="3"/>
  <c r="T37" i="3"/>
  <c r="T76" i="3"/>
  <c r="T87" i="3"/>
  <c r="N6" i="3"/>
  <c r="N26" i="3"/>
  <c r="N37" i="3"/>
  <c r="N76" i="3"/>
  <c r="N87" i="3"/>
  <c r="Q6" i="3"/>
  <c r="Q26" i="3"/>
  <c r="Q37" i="3"/>
  <c r="Q76" i="3"/>
  <c r="Q87" i="3"/>
  <c r="U125" i="3"/>
  <c r="R6" i="3"/>
  <c r="R26" i="3"/>
  <c r="R37" i="3"/>
  <c r="R76" i="3"/>
  <c r="R87" i="3"/>
  <c r="N125" i="3"/>
  <c r="T125" i="3"/>
  <c r="Q117" i="3"/>
  <c r="Q107" i="3"/>
  <c r="Q121" i="3"/>
  <c r="Q125" i="3"/>
  <c r="U121" i="3"/>
  <c r="U117" i="3"/>
  <c r="U107" i="3"/>
  <c r="S125" i="3"/>
  <c r="R125" i="3"/>
  <c r="T121" i="3"/>
  <c r="T117" i="3"/>
  <c r="T107" i="3"/>
  <c r="O121" i="3"/>
  <c r="O117" i="3"/>
  <c r="O107" i="3"/>
  <c r="R121" i="3"/>
  <c r="R117" i="3"/>
  <c r="R107" i="3"/>
  <c r="N117" i="3"/>
  <c r="N107" i="3"/>
  <c r="S121" i="3"/>
  <c r="S117" i="3"/>
  <c r="S107" i="3"/>
  <c r="Q36" i="3" l="1"/>
  <c r="Q75" i="3" s="1"/>
  <c r="Q124" i="3" s="1"/>
  <c r="S36" i="3"/>
  <c r="S75" i="3" s="1"/>
  <c r="S124" i="3" s="1"/>
  <c r="S127" i="3" s="1"/>
  <c r="S128" i="3" s="1"/>
  <c r="S129" i="3" s="1"/>
  <c r="R36" i="3"/>
  <c r="R75" i="3" s="1"/>
  <c r="R124" i="3" s="1"/>
  <c r="R127" i="3" s="1"/>
  <c r="R128" i="3" s="1"/>
  <c r="R129" i="3" s="1"/>
  <c r="U36" i="3"/>
  <c r="U75" i="3" s="1"/>
  <c r="U124" i="3" s="1"/>
  <c r="U127" i="3" s="1"/>
  <c r="T36" i="3"/>
  <c r="T75" i="3" s="1"/>
  <c r="T124" i="3" s="1"/>
  <c r="T127" i="3" s="1"/>
  <c r="R4" i="23" s="1"/>
  <c r="N36" i="3"/>
  <c r="N75" i="3" s="1"/>
  <c r="O36" i="3"/>
  <c r="O75" i="3" s="1"/>
  <c r="O124" i="3" s="1"/>
  <c r="O127" i="3" s="1"/>
  <c r="Q127" i="3" l="1"/>
  <c r="Q128" i="3" s="1"/>
  <c r="O4" i="23"/>
  <c r="L147" i="45"/>
  <c r="M147" i="45" s="1"/>
  <c r="J116" i="24"/>
  <c r="H379" i="23"/>
  <c r="R254" i="1"/>
  <c r="R130" i="3" s="1"/>
  <c r="S254" i="1"/>
  <c r="S258" i="1" s="1"/>
  <c r="O128" i="3"/>
  <c r="O254" i="1"/>
  <c r="T128" i="3"/>
  <c r="T254" i="1"/>
  <c r="U128" i="3"/>
  <c r="U254" i="1"/>
  <c r="U251" i="1" s="1"/>
  <c r="U129" i="3" l="1"/>
  <c r="U130" i="3"/>
  <c r="Q254" i="1"/>
  <c r="Q130" i="3" s="1"/>
  <c r="Q129" i="3"/>
  <c r="O129" i="3"/>
  <c r="O130" i="3"/>
  <c r="Q81" i="23"/>
  <c r="M116" i="24"/>
  <c r="R259" i="1"/>
  <c r="R251" i="1"/>
  <c r="R232" i="1" s="1"/>
  <c r="R257" i="1" s="1"/>
  <c r="R258" i="1"/>
  <c r="S251" i="1"/>
  <c r="S232" i="1" s="1"/>
  <c r="S231" i="1" s="1"/>
  <c r="S130" i="3"/>
  <c r="S259" i="1"/>
  <c r="U258" i="1"/>
  <c r="T251" i="1"/>
  <c r="T232" i="1" s="1"/>
  <c r="T259" i="1"/>
  <c r="T258" i="1"/>
  <c r="T129" i="3"/>
  <c r="T130" i="3"/>
  <c r="O259" i="1"/>
  <c r="O258" i="1"/>
  <c r="O251" i="1"/>
  <c r="O232" i="1" s="1"/>
  <c r="Q258" i="1" l="1"/>
  <c r="Q259" i="1"/>
  <c r="Q251" i="1"/>
  <c r="Q232" i="1" s="1"/>
  <c r="Q231" i="1" s="1"/>
  <c r="Q9" i="23"/>
  <c r="M120" i="24"/>
  <c r="R231" i="1"/>
  <c r="O231" i="1"/>
  <c r="O257" i="1"/>
  <c r="T231" i="1"/>
  <c r="T257" i="1"/>
  <c r="Q257" i="1" l="1"/>
  <c r="AB80" i="48"/>
  <c r="L73" i="55" s="1"/>
  <c r="P73" i="55" l="1"/>
  <c r="L63" i="55"/>
  <c r="P63" i="55" s="1"/>
  <c r="V74" i="48"/>
  <c r="AB74" i="48"/>
  <c r="AC74" i="48" s="1"/>
  <c r="Q5" i="48"/>
  <c r="U371" i="23" l="1"/>
  <c r="J379" i="23" l="1"/>
  <c r="L130" i="45" l="1"/>
  <c r="M130" i="45" s="1"/>
  <c r="I30" i="39" l="1"/>
  <c r="U240" i="1" l="1"/>
  <c r="U236" i="1" s="1"/>
  <c r="U232" i="1" l="1"/>
  <c r="U231" i="1" l="1"/>
  <c r="U257" i="1"/>
  <c r="X114" i="3" l="1"/>
  <c r="AH114" i="3" s="1"/>
  <c r="AJ114" i="3" s="1"/>
  <c r="I371" i="23"/>
  <c r="I374" i="23"/>
  <c r="I125" i="3"/>
  <c r="I6" i="3"/>
  <c r="I26" i="3"/>
  <c r="I37" i="3"/>
  <c r="I76" i="3"/>
  <c r="I87" i="3"/>
  <c r="I117" i="3"/>
  <c r="X123" i="3"/>
  <c r="AH123" i="3" s="1"/>
  <c r="AJ123" i="3" s="1"/>
  <c r="L6" i="3"/>
  <c r="J125" i="3"/>
  <c r="L125" i="3"/>
  <c r="J374" i="23"/>
  <c r="H374" i="23"/>
  <c r="H371" i="23"/>
  <c r="H6" i="3"/>
  <c r="M49" i="46" s="1"/>
  <c r="H26" i="3"/>
  <c r="M50" i="46" s="1"/>
  <c r="C50" i="46" s="1"/>
  <c r="H37" i="3"/>
  <c r="M52" i="46" s="1"/>
  <c r="C52" i="46" s="1"/>
  <c r="H76" i="3"/>
  <c r="H87" i="3"/>
  <c r="H117" i="3"/>
  <c r="H125" i="3"/>
  <c r="J371" i="23"/>
  <c r="J6" i="3"/>
  <c r="J26" i="3"/>
  <c r="J37" i="3"/>
  <c r="J76" i="3"/>
  <c r="J87" i="3"/>
  <c r="J117" i="3"/>
  <c r="J107" i="3"/>
  <c r="L37" i="3"/>
  <c r="L26" i="3"/>
  <c r="J121" i="3"/>
  <c r="H121" i="3"/>
  <c r="I121" i="3"/>
  <c r="L121" i="3"/>
  <c r="L117" i="3"/>
  <c r="L107" i="3"/>
  <c r="L87" i="3"/>
  <c r="L76" i="3"/>
  <c r="Z123" i="3" l="1"/>
  <c r="AB123" i="3" s="1"/>
  <c r="AD123" i="3"/>
  <c r="AF123" i="3" s="1"/>
  <c r="Z114" i="3"/>
  <c r="AB114" i="3" s="1"/>
  <c r="AD114" i="3"/>
  <c r="AF114" i="3" s="1"/>
  <c r="L169" i="22"/>
  <c r="J169" i="22" s="1"/>
  <c r="L151" i="45"/>
  <c r="M151" i="45" s="1"/>
  <c r="F8" i="46"/>
  <c r="I36" i="3"/>
  <c r="I75" i="3" s="1"/>
  <c r="I124" i="3" s="1"/>
  <c r="G125" i="24"/>
  <c r="J125" i="24" s="1"/>
  <c r="J36" i="3"/>
  <c r="J75" i="3" s="1"/>
  <c r="F7" i="46"/>
  <c r="H36" i="3"/>
  <c r="H75" i="3" s="1"/>
  <c r="F6" i="46"/>
  <c r="L36" i="3"/>
  <c r="L75" i="3" s="1"/>
  <c r="L124" i="3" s="1"/>
  <c r="L127" i="3" s="1"/>
  <c r="F9" i="46"/>
  <c r="L154" i="45" l="1"/>
  <c r="M154" i="45" s="1"/>
  <c r="G9" i="46"/>
  <c r="I127" i="3"/>
  <c r="G7" i="46"/>
  <c r="J124" i="3"/>
  <c r="G8" i="46"/>
  <c r="M125" i="24"/>
  <c r="R81" i="23" s="1"/>
  <c r="S81" i="23" s="1"/>
  <c r="U81" i="23" s="1"/>
  <c r="R9" i="23"/>
  <c r="C49" i="46"/>
  <c r="M51" i="46"/>
  <c r="G6" i="46"/>
  <c r="H124" i="3"/>
  <c r="H127" i="3" s="1"/>
  <c r="H254" i="1" s="1"/>
  <c r="I4" i="23" l="1"/>
  <c r="I254" i="1"/>
  <c r="H251" i="1"/>
  <c r="H232" i="1" s="1"/>
  <c r="H4" i="23"/>
  <c r="F48" i="25"/>
  <c r="K73" i="55"/>
  <c r="M73" i="55" s="1"/>
  <c r="K69" i="31"/>
  <c r="L69" i="31" s="1"/>
  <c r="I128" i="3"/>
  <c r="R23" i="23"/>
  <c r="H128" i="3"/>
  <c r="J127" i="3"/>
  <c r="H9" i="46"/>
  <c r="H8" i="46"/>
  <c r="M55" i="46"/>
  <c r="H6" i="46"/>
  <c r="M53" i="46"/>
  <c r="C53" i="46" s="1"/>
  <c r="C51" i="46"/>
  <c r="J4" i="23" l="1"/>
  <c r="J254" i="1"/>
  <c r="P69" i="31"/>
  <c r="M69" i="31"/>
  <c r="J251" i="1"/>
  <c r="J232" i="1" s="1"/>
  <c r="H231" i="1"/>
  <c r="H257" i="1"/>
  <c r="H4" i="1" s="1"/>
  <c r="H258" i="1"/>
  <c r="F7" i="19"/>
  <c r="F8" i="19"/>
  <c r="J8" i="19" s="1"/>
  <c r="J128" i="3"/>
  <c r="S23" i="23"/>
  <c r="AB9" i="48"/>
  <c r="L7" i="55" s="1"/>
  <c r="H7" i="46"/>
  <c r="F114" i="17"/>
  <c r="F121" i="17" s="1"/>
  <c r="F12" i="19"/>
  <c r="J12" i="19" s="1"/>
  <c r="N12" i="19" s="1"/>
  <c r="G26" i="19" s="1"/>
  <c r="P26" i="19" s="1"/>
  <c r="I114" i="17"/>
  <c r="I121" i="17" s="1"/>
  <c r="C55" i="46"/>
  <c r="M54" i="46"/>
  <c r="C54" i="46" s="1"/>
  <c r="J231" i="1" l="1"/>
  <c r="J257" i="1"/>
  <c r="I130" i="3"/>
  <c r="I258" i="1"/>
  <c r="G26" i="17"/>
  <c r="H130" i="3"/>
  <c r="J258" i="1"/>
  <c r="F9" i="19"/>
  <c r="J9" i="19" s="1"/>
  <c r="N9" i="19" s="1"/>
  <c r="G23" i="19" s="1"/>
  <c r="P23" i="19" s="1"/>
  <c r="H26" i="17"/>
  <c r="H23" i="17" s="1"/>
  <c r="H6" i="17" s="1"/>
  <c r="H5" i="17" s="1"/>
  <c r="J130" i="3"/>
  <c r="H114" i="17"/>
  <c r="H121" i="17" s="1"/>
  <c r="L128" i="3"/>
  <c r="F17" i="19" s="1"/>
  <c r="U23" i="23"/>
  <c r="K22" i="55" s="1"/>
  <c r="P7" i="55"/>
  <c r="L6" i="55"/>
  <c r="AB8" i="48"/>
  <c r="L254" i="1"/>
  <c r="F26" i="17"/>
  <c r="F80" i="17" s="1"/>
  <c r="F77" i="17" s="1"/>
  <c r="F60" i="17" s="1"/>
  <c r="F59" i="17" s="1"/>
  <c r="K5" i="23"/>
  <c r="J7" i="19"/>
  <c r="F28" i="25"/>
  <c r="K258" i="1"/>
  <c r="I26" i="17"/>
  <c r="F122" i="17" l="1"/>
  <c r="F23" i="17"/>
  <c r="F6" i="17" s="1"/>
  <c r="F5" i="17" s="1"/>
  <c r="G80" i="17"/>
  <c r="G114" i="17" s="1"/>
  <c r="E7" i="46"/>
  <c r="F6" i="15"/>
  <c r="K6" i="15" s="1"/>
  <c r="M6" i="15" s="1"/>
  <c r="S6" i="15" s="1"/>
  <c r="U6" i="15" s="1"/>
  <c r="Q23" i="19" s="1"/>
  <c r="H80" i="17"/>
  <c r="H77" i="17" s="1"/>
  <c r="H60" i="17" s="1"/>
  <c r="H59" i="17" s="1"/>
  <c r="K21" i="31"/>
  <c r="L21" i="31" s="1"/>
  <c r="F15" i="19"/>
  <c r="F18" i="19" s="1"/>
  <c r="P6" i="55"/>
  <c r="AB22" i="48"/>
  <c r="L22" i="55" s="1"/>
  <c r="F5" i="15"/>
  <c r="K5" i="15" s="1"/>
  <c r="E6" i="46"/>
  <c r="I6" i="46" s="1"/>
  <c r="F123" i="17"/>
  <c r="J15" i="19"/>
  <c r="N7" i="19"/>
  <c r="I23" i="17"/>
  <c r="I6" i="17" s="1"/>
  <c r="I5" i="17" s="1"/>
  <c r="I80" i="17"/>
  <c r="I77" i="17" s="1"/>
  <c r="F9" i="15"/>
  <c r="K9" i="15" s="1"/>
  <c r="M9" i="15" s="1"/>
  <c r="S9" i="15" s="1"/>
  <c r="U9" i="15" s="1"/>
  <c r="Q26" i="19" s="1"/>
  <c r="E8" i="46"/>
  <c r="H122" i="17" l="1"/>
  <c r="H29" i="17"/>
  <c r="P22" i="55"/>
  <c r="L8" i="55"/>
  <c r="M22" i="55"/>
  <c r="F29" i="17"/>
  <c r="AB10" i="48"/>
  <c r="AC10" i="48" s="1"/>
  <c r="X10" i="48"/>
  <c r="V10" i="48"/>
  <c r="I29" i="17"/>
  <c r="I60" i="17"/>
  <c r="I59" i="17" s="1"/>
  <c r="I122" i="17"/>
  <c r="F12" i="15"/>
  <c r="K12" i="15"/>
  <c r="M5" i="15"/>
  <c r="N15" i="19"/>
  <c r="G22" i="19"/>
  <c r="P21" i="31"/>
  <c r="M21" i="31"/>
  <c r="P8" i="55" l="1"/>
  <c r="L5" i="55"/>
  <c r="P22" i="19"/>
  <c r="P29" i="19" s="1"/>
  <c r="G29" i="19"/>
  <c r="F34" i="19" s="1"/>
  <c r="J24" i="14" s="1"/>
  <c r="G24" i="14" s="1"/>
  <c r="H24" i="14" s="1"/>
  <c r="M12" i="15"/>
  <c r="S5" i="15"/>
  <c r="P5" i="55" l="1"/>
  <c r="L307" i="55"/>
  <c r="P307" i="55" s="1"/>
  <c r="S12" i="15"/>
  <c r="U5" i="15"/>
  <c r="G26" i="14"/>
  <c r="G27" i="14" l="1"/>
  <c r="H26" i="14"/>
  <c r="L365" i="23"/>
  <c r="U12" i="15"/>
  <c r="Q22" i="19"/>
  <c r="Q29" i="19" s="1"/>
  <c r="L361" i="23" l="1"/>
  <c r="L360" i="23" l="1"/>
  <c r="R5" i="48" l="1"/>
  <c r="S5" i="48" l="1"/>
  <c r="AB175" i="48" l="1"/>
  <c r="AC175" i="48" s="1"/>
  <c r="U360" i="48" l="1"/>
  <c r="AB7" i="48"/>
  <c r="V349" i="48" l="1"/>
  <c r="AB349" i="48"/>
  <c r="U5" i="48"/>
  <c r="AC349" i="48" l="1"/>
  <c r="AB353" i="48"/>
  <c r="AB354" i="48" s="1"/>
  <c r="AB355" i="48" s="1"/>
  <c r="L313" i="55" s="1"/>
  <c r="L312" i="55" l="1"/>
  <c r="P313" i="55"/>
  <c r="L317" i="55"/>
  <c r="L3" i="55" s="1"/>
  <c r="M313" i="55"/>
  <c r="M312" i="55" s="1"/>
  <c r="M311" i="55" s="1"/>
  <c r="AC355" i="48"/>
  <c r="AB5" i="48"/>
  <c r="P312" i="55" l="1"/>
  <c r="L311" i="55"/>
  <c r="P311" i="55" s="1"/>
  <c r="K4" i="1" l="1"/>
  <c r="C8" i="46"/>
  <c r="I8" i="46" s="1"/>
  <c r="C7" i="46"/>
  <c r="I7" i="46" s="1"/>
  <c r="J4" i="1"/>
  <c r="Q6" i="1" l="1"/>
  <c r="Q4" i="1" s="1"/>
  <c r="T6" i="1"/>
  <c r="T4" i="1" s="1"/>
  <c r="O6" i="1"/>
  <c r="O4" i="1" s="1"/>
  <c r="R6" i="1"/>
  <c r="R4" i="1" s="1"/>
  <c r="N6" i="1"/>
  <c r="U6" i="1"/>
  <c r="U4" i="1" s="1"/>
  <c r="AM7" i="1" l="1"/>
  <c r="AM6" i="1" s="1"/>
  <c r="AM4" i="1" s="1"/>
  <c r="L47" i="26"/>
  <c r="AN4" i="1" l="1"/>
  <c r="P126" i="3" l="1"/>
  <c r="V126" i="3" s="1"/>
  <c r="P131" i="23"/>
  <c r="S131" i="23" s="1"/>
  <c r="U131" i="23" s="1"/>
  <c r="F47" i="30"/>
  <c r="F46" i="30"/>
  <c r="G303" i="6"/>
  <c r="G27" i="6"/>
  <c r="G28" i="6"/>
  <c r="G23" i="6"/>
  <c r="G20" i="6"/>
  <c r="G24" i="6"/>
  <c r="G21" i="6"/>
  <c r="G25" i="6"/>
  <c r="G26" i="6"/>
  <c r="G22" i="6"/>
  <c r="G139" i="6"/>
  <c r="G157" i="6"/>
  <c r="G282" i="6"/>
  <c r="G278" i="6"/>
  <c r="G259" i="6"/>
  <c r="G255" i="6"/>
  <c r="G251" i="6"/>
  <c r="G247" i="6"/>
  <c r="G243" i="6"/>
  <c r="G237" i="6"/>
  <c r="G226" i="6"/>
  <c r="G221" i="6"/>
  <c r="G216" i="6"/>
  <c r="G205" i="6"/>
  <c r="G200" i="6"/>
  <c r="G196" i="6"/>
  <c r="G191" i="6"/>
  <c r="G181" i="6"/>
  <c r="G173" i="6"/>
  <c r="G169" i="6"/>
  <c r="G165" i="6"/>
  <c r="G161" i="6"/>
  <c r="G135" i="6"/>
  <c r="G130" i="6"/>
  <c r="G122" i="6"/>
  <c r="G117" i="6"/>
  <c r="G113" i="6"/>
  <c r="G109" i="6"/>
  <c r="G105" i="6"/>
  <c r="G100" i="6"/>
  <c r="G96" i="6"/>
  <c r="G92" i="6"/>
  <c r="G88" i="6"/>
  <c r="G84" i="6"/>
  <c r="G80" i="6"/>
  <c r="G74" i="6"/>
  <c r="G69" i="6"/>
  <c r="G63" i="6"/>
  <c r="G59" i="6"/>
  <c r="G55" i="6"/>
  <c r="G51" i="6"/>
  <c r="G46" i="6"/>
  <c r="G41" i="6"/>
  <c r="G37" i="6"/>
  <c r="G32" i="6"/>
  <c r="G222" i="6"/>
  <c r="G10" i="6"/>
  <c r="G308" i="6"/>
  <c r="G302" i="6"/>
  <c r="G296" i="6"/>
  <c r="G291" i="6"/>
  <c r="G287" i="6"/>
  <c r="G271" i="6"/>
  <c r="G267" i="6"/>
  <c r="G230" i="6"/>
  <c r="G155" i="6"/>
  <c r="G150" i="6"/>
  <c r="G144" i="6"/>
  <c r="G140" i="6"/>
  <c r="G19" i="6"/>
  <c r="G15" i="6"/>
  <c r="G281" i="6"/>
  <c r="G277" i="6"/>
  <c r="G262" i="6"/>
  <c r="G258" i="6"/>
  <c r="G254" i="6"/>
  <c r="G250" i="6"/>
  <c r="G246" i="6"/>
  <c r="G240" i="6"/>
  <c r="G236" i="6"/>
  <c r="G229" i="6"/>
  <c r="G225" i="6"/>
  <c r="G220" i="6"/>
  <c r="G204" i="6"/>
  <c r="G199" i="6"/>
  <c r="G195" i="6"/>
  <c r="G189" i="6"/>
  <c r="G180" i="6"/>
  <c r="G172" i="6"/>
  <c r="G168" i="6"/>
  <c r="G164" i="6"/>
  <c r="G160" i="6"/>
  <c r="G138" i="6"/>
  <c r="G134" i="6"/>
  <c r="G129" i="6"/>
  <c r="G120" i="6"/>
  <c r="G116" i="6"/>
  <c r="G112" i="6"/>
  <c r="G108" i="6"/>
  <c r="G104" i="6"/>
  <c r="G99" i="6"/>
  <c r="G95" i="6"/>
  <c r="G91" i="6"/>
  <c r="G87" i="6"/>
  <c r="G83" i="6"/>
  <c r="G78" i="6"/>
  <c r="G73" i="6"/>
  <c r="G68" i="6"/>
  <c r="G62" i="6"/>
  <c r="G58" i="6"/>
  <c r="G54" i="6"/>
  <c r="G49" i="6"/>
  <c r="G44" i="6"/>
  <c r="G40" i="6"/>
  <c r="G36" i="6"/>
  <c r="G31" i="6"/>
  <c r="G314" i="6"/>
  <c r="G307" i="6"/>
  <c r="G301" i="6"/>
  <c r="G294" i="6"/>
  <c r="G290" i="6"/>
  <c r="G286" i="6"/>
  <c r="G270" i="6"/>
  <c r="G266" i="6"/>
  <c r="G154" i="6"/>
  <c r="G149" i="6"/>
  <c r="G143" i="6"/>
  <c r="G18" i="6"/>
  <c r="G280" i="6"/>
  <c r="G276" i="6"/>
  <c r="G261" i="6"/>
  <c r="G257" i="6"/>
  <c r="G253" i="6"/>
  <c r="G249" i="6"/>
  <c r="G245" i="6"/>
  <c r="G239" i="6"/>
  <c r="G235" i="6"/>
  <c r="G228" i="6"/>
  <c r="G224" i="6"/>
  <c r="G219" i="6"/>
  <c r="G208" i="6"/>
  <c r="G202" i="6"/>
  <c r="G198" i="6"/>
  <c r="G193" i="6"/>
  <c r="G185" i="6"/>
  <c r="G177" i="6"/>
  <c r="G171" i="6"/>
  <c r="G167" i="6"/>
  <c r="G163" i="6"/>
  <c r="G159" i="6"/>
  <c r="G137" i="6"/>
  <c r="G132" i="6"/>
  <c r="G128" i="6"/>
  <c r="G119" i="6"/>
  <c r="G115" i="6"/>
  <c r="G111" i="6"/>
  <c r="G107" i="6"/>
  <c r="G103" i="6"/>
  <c r="G98" i="6"/>
  <c r="G94" i="6"/>
  <c r="G90" i="6"/>
  <c r="G86" i="6"/>
  <c r="G82" i="6"/>
  <c r="G77" i="6"/>
  <c r="G72" i="6"/>
  <c r="G67" i="6"/>
  <c r="G61" i="6"/>
  <c r="G57" i="6"/>
  <c r="G53" i="6"/>
  <c r="G48" i="6"/>
  <c r="G43" i="6"/>
  <c r="G39" i="6"/>
  <c r="G34" i="6"/>
  <c r="G285" i="6"/>
  <c r="G13" i="6"/>
  <c r="G311" i="6"/>
  <c r="G305" i="6"/>
  <c r="G298" i="6"/>
  <c r="G293" i="6"/>
  <c r="G289" i="6"/>
  <c r="G269" i="6"/>
  <c r="G265" i="6"/>
  <c r="G158" i="6"/>
  <c r="G153" i="6"/>
  <c r="G148" i="6"/>
  <c r="G142" i="6"/>
  <c r="G29" i="6"/>
  <c r="G17" i="6"/>
  <c r="G284" i="6"/>
  <c r="G279" i="6"/>
  <c r="G275" i="6"/>
  <c r="G260" i="6"/>
  <c r="G256" i="6"/>
  <c r="G252" i="6"/>
  <c r="G248" i="6"/>
  <c r="G244" i="6"/>
  <c r="G238" i="6"/>
  <c r="G234" i="6"/>
  <c r="G227" i="6"/>
  <c r="G223" i="6"/>
  <c r="G218" i="6"/>
  <c r="G206" i="6"/>
  <c r="G201" i="6"/>
  <c r="G197" i="6"/>
  <c r="G192" i="6"/>
  <c r="G183" i="6"/>
  <c r="G175" i="6"/>
  <c r="G170" i="6"/>
  <c r="G166" i="6"/>
  <c r="G162" i="6"/>
  <c r="G136" i="6"/>
  <c r="G131" i="6"/>
  <c r="G126" i="6"/>
  <c r="G118" i="6"/>
  <c r="G114" i="6"/>
  <c r="G110" i="6"/>
  <c r="G106" i="6"/>
  <c r="G102" i="6"/>
  <c r="G97" i="6"/>
  <c r="G93" i="6"/>
  <c r="G89" i="6"/>
  <c r="G85" i="6"/>
  <c r="G81" i="6"/>
  <c r="G75" i="6"/>
  <c r="G70" i="6"/>
  <c r="G66" i="6"/>
  <c r="G60" i="6"/>
  <c r="G56" i="6"/>
  <c r="G52" i="6"/>
  <c r="G47" i="6"/>
  <c r="G42" i="6"/>
  <c r="G38" i="6"/>
  <c r="G33" i="6"/>
  <c r="G309" i="6"/>
  <c r="G304" i="6"/>
  <c r="G297" i="6"/>
  <c r="G292" i="6"/>
  <c r="G288" i="6"/>
  <c r="G274" i="6"/>
  <c r="G268" i="6"/>
  <c r="G264" i="6"/>
  <c r="G156" i="6"/>
  <c r="G151" i="6"/>
  <c r="G146" i="6"/>
  <c r="G141" i="6"/>
  <c r="G16" i="6"/>
  <c r="G12" i="6"/>
  <c r="G147" i="6"/>
  <c r="G233" i="6"/>
  <c r="G133" i="6"/>
  <c r="G127" i="6"/>
  <c r="G14" i="6"/>
  <c r="G217" i="6"/>
  <c r="G232" i="6"/>
  <c r="F27" i="6"/>
  <c r="F20" i="6"/>
  <c r="F201" i="6"/>
  <c r="F251" i="6"/>
  <c r="F177" i="6"/>
  <c r="F200" i="6"/>
  <c r="H200" i="6" s="1"/>
  <c r="F234" i="6"/>
  <c r="F202" i="6"/>
  <c r="H202" i="6" s="1"/>
  <c r="F314" i="6"/>
  <c r="F206" i="6"/>
  <c r="F197" i="6"/>
  <c r="F287" i="6"/>
  <c r="H287" i="6" s="1"/>
  <c r="F293" i="6"/>
  <c r="F139" i="6"/>
  <c r="G215" i="6"/>
  <c r="G9" i="6"/>
  <c r="F208" i="6"/>
  <c r="F147" i="6"/>
  <c r="F157" i="6"/>
  <c r="F28" i="6"/>
  <c r="F181" i="6"/>
  <c r="F16" i="6"/>
  <c r="F15" i="6"/>
  <c r="F17" i="6"/>
  <c r="F13" i="6"/>
  <c r="H13" i="6" s="1"/>
  <c r="P17" i="1" s="1"/>
  <c r="V17" i="1" s="1"/>
  <c r="F285" i="6"/>
  <c r="F264" i="6"/>
  <c r="H264" i="6" s="1"/>
  <c r="P67" i="3" s="1"/>
  <c r="V67" i="3" s="1"/>
  <c r="X67" i="3" s="1"/>
  <c r="AH67" i="3" s="1"/>
  <c r="AJ67" i="3" s="1"/>
  <c r="F298" i="6"/>
  <c r="F58" i="6"/>
  <c r="F61" i="6"/>
  <c r="F133" i="6"/>
  <c r="F18" i="6"/>
  <c r="F304" i="6"/>
  <c r="F244" i="6"/>
  <c r="F258" i="6"/>
  <c r="F246" i="6"/>
  <c r="F240" i="6"/>
  <c r="F166" i="6"/>
  <c r="F137" i="6"/>
  <c r="F159" i="6"/>
  <c r="H159" i="6" s="1"/>
  <c r="F127" i="6"/>
  <c r="F56" i="6"/>
  <c r="F259" i="6"/>
  <c r="F249" i="6"/>
  <c r="F269" i="6"/>
  <c r="F229" i="6"/>
  <c r="H229" i="6" s="1"/>
  <c r="P24" i="3" s="1"/>
  <c r="V24" i="3" s="1"/>
  <c r="X24" i="3" s="1"/>
  <c r="AH24" i="3" s="1"/>
  <c r="AJ24" i="3" s="1"/>
  <c r="F161" i="6"/>
  <c r="F140" i="6"/>
  <c r="F129" i="6"/>
  <c r="H129" i="6" s="1"/>
  <c r="P156" i="1" s="1"/>
  <c r="V156" i="1" s="1"/>
  <c r="F134" i="6"/>
  <c r="F154" i="6"/>
  <c r="F25" i="6"/>
  <c r="F227" i="6"/>
  <c r="F280" i="6"/>
  <c r="H280" i="6" s="1"/>
  <c r="P83" i="3" s="1"/>
  <c r="V83" i="3" s="1"/>
  <c r="X83" i="3" s="1"/>
  <c r="AH83" i="3" s="1"/>
  <c r="AJ83" i="3" s="1"/>
  <c r="F261" i="6"/>
  <c r="F255" i="6"/>
  <c r="F26" i="6"/>
  <c r="F223" i="6"/>
  <c r="H223" i="6" s="1"/>
  <c r="P18" i="3" s="1"/>
  <c r="V18" i="3" s="1"/>
  <c r="X18" i="3" s="1"/>
  <c r="AH18" i="3" s="1"/>
  <c r="AJ18" i="3" s="1"/>
  <c r="F237" i="6"/>
  <c r="F10" i="6"/>
  <c r="F24" i="6"/>
  <c r="H24" i="6" s="1"/>
  <c r="P28" i="1" s="1"/>
  <c r="V28" i="1" s="1"/>
  <c r="F168" i="6"/>
  <c r="F142" i="6"/>
  <c r="F29" i="6"/>
  <c r="F156" i="6"/>
  <c r="F220" i="6"/>
  <c r="F270" i="6"/>
  <c r="F172" i="6"/>
  <c r="F278" i="6"/>
  <c r="H278" i="6" s="1"/>
  <c r="P81" i="3" s="1"/>
  <c r="V81" i="3" s="1"/>
  <c r="X81" i="3" s="1"/>
  <c r="AH81" i="3" s="1"/>
  <c r="AJ81" i="3" s="1"/>
  <c r="F222" i="6"/>
  <c r="H222" i="6" s="1"/>
  <c r="P17" i="3" s="1"/>
  <c r="V17" i="3" s="1"/>
  <c r="X17" i="3" s="1"/>
  <c r="AH17" i="3" s="1"/>
  <c r="AJ17" i="3" s="1"/>
  <c r="F228" i="6"/>
  <c r="F292" i="6"/>
  <c r="F130" i="6"/>
  <c r="F150" i="6"/>
  <c r="F141" i="6"/>
  <c r="F57" i="6"/>
  <c r="F170" i="6"/>
  <c r="F218" i="6"/>
  <c r="H218" i="6" s="1"/>
  <c r="P10" i="3" s="1"/>
  <c r="V10" i="3" s="1"/>
  <c r="X10" i="3" s="1"/>
  <c r="AH10" i="3" s="1"/>
  <c r="AJ10" i="3" s="1"/>
  <c r="F216" i="6"/>
  <c r="F253" i="6"/>
  <c r="F54" i="6"/>
  <c r="H54" i="6" s="1"/>
  <c r="P61" i="1" s="1"/>
  <c r="V61" i="1" s="1"/>
  <c r="F225" i="6"/>
  <c r="F236" i="6"/>
  <c r="F294" i="6"/>
  <c r="F162" i="6"/>
  <c r="F136" i="6"/>
  <c r="F158" i="6"/>
  <c r="F128" i="6"/>
  <c r="F131" i="6"/>
  <c r="F21" i="6"/>
  <c r="F53" i="6"/>
  <c r="H53" i="6" s="1"/>
  <c r="P60" i="1" s="1"/>
  <c r="V60" i="1" s="1"/>
  <c r="F238" i="6"/>
  <c r="F226" i="6"/>
  <c r="H226" i="6" s="1"/>
  <c r="P21" i="3" s="1"/>
  <c r="V21" i="3" s="1"/>
  <c r="X21" i="3" s="1"/>
  <c r="AH21" i="3" s="1"/>
  <c r="AJ21" i="3" s="1"/>
  <c r="F148" i="6"/>
  <c r="H148" i="6" s="1"/>
  <c r="P177" i="1" s="1"/>
  <c r="V177" i="1" s="1"/>
  <c r="F267" i="6"/>
  <c r="F245" i="6"/>
  <c r="F164" i="6"/>
  <c r="F169" i="6"/>
  <c r="H169" i="6" s="1"/>
  <c r="P204" i="1" s="1"/>
  <c r="V204" i="1" s="1"/>
  <c r="F173" i="6"/>
  <c r="H173" i="6" s="1"/>
  <c r="P210" i="1" s="1"/>
  <c r="V210" i="1" s="1"/>
  <c r="F165" i="6"/>
  <c r="F135" i="6"/>
  <c r="F60" i="6"/>
  <c r="F52" i="6"/>
  <c r="H52" i="6" s="1"/>
  <c r="P59" i="1" s="1"/>
  <c r="V59" i="1" s="1"/>
  <c r="F167" i="6"/>
  <c r="F151" i="6"/>
  <c r="F144" i="6"/>
  <c r="F143" i="6"/>
  <c r="F155" i="6"/>
  <c r="H155" i="6" s="1"/>
  <c r="P185" i="1" s="1"/>
  <c r="V185" i="1" s="1"/>
  <c r="F59" i="6"/>
  <c r="F250" i="6"/>
  <c r="H250" i="6" s="1"/>
  <c r="P46" i="3" s="1"/>
  <c r="V46" i="3" s="1"/>
  <c r="X46" i="3" s="1"/>
  <c r="AH46" i="3" s="1"/>
  <c r="AJ46" i="3" s="1"/>
  <c r="F257" i="6"/>
  <c r="F160" i="6"/>
  <c r="F114" i="6"/>
  <c r="H114" i="6" s="1"/>
  <c r="P132" i="1" s="1"/>
  <c r="V132" i="1" s="1"/>
  <c r="F34" i="6"/>
  <c r="H34" i="6" s="1"/>
  <c r="F33" i="6"/>
  <c r="H33" i="6" s="1"/>
  <c r="P40" i="1" s="1"/>
  <c r="V40" i="1" s="1"/>
  <c r="F78" i="6"/>
  <c r="H78" i="6" s="1"/>
  <c r="P93" i="1" s="1"/>
  <c r="V93" i="1" s="1"/>
  <c r="F132" i="6"/>
  <c r="H132" i="6" s="1"/>
  <c r="G75" i="24" s="1"/>
  <c r="M75" i="24" s="1"/>
  <c r="F289" i="6"/>
  <c r="H289" i="6" s="1"/>
  <c r="P93" i="3" s="1"/>
  <c r="V93" i="3" s="1"/>
  <c r="X93" i="3" s="1"/>
  <c r="AH93" i="3" s="1"/>
  <c r="AJ93" i="3" s="1"/>
  <c r="F247" i="6"/>
  <c r="F83" i="6"/>
  <c r="F260" i="6"/>
  <c r="F95" i="6"/>
  <c r="H95" i="6" s="1"/>
  <c r="P110" i="1" s="1"/>
  <c r="V110" i="1" s="1"/>
  <c r="F116" i="6"/>
  <c r="H116" i="6" s="1"/>
  <c r="P135" i="1" s="1"/>
  <c r="V135" i="1" s="1"/>
  <c r="F119" i="6"/>
  <c r="H119" i="6" s="1"/>
  <c r="P138" i="1" s="1"/>
  <c r="V138" i="1" s="1"/>
  <c r="F239" i="6"/>
  <c r="H239" i="6" s="1"/>
  <c r="P34" i="3" s="1"/>
  <c r="V34" i="3" s="1"/>
  <c r="X34" i="3" s="1"/>
  <c r="AH34" i="3" s="1"/>
  <c r="AJ34" i="3" s="1"/>
  <c r="F252" i="6"/>
  <c r="F271" i="6"/>
  <c r="F265" i="6"/>
  <c r="H265" i="6" s="1"/>
  <c r="P68" i="3" s="1"/>
  <c r="V68" i="3" s="1"/>
  <c r="X68" i="3" s="1"/>
  <c r="AH68" i="3" s="1"/>
  <c r="AJ68" i="3" s="1"/>
  <c r="F254" i="6"/>
  <c r="F55" i="6"/>
  <c r="F19" i="6"/>
  <c r="H19" i="6" s="1"/>
  <c r="P23" i="1" s="1"/>
  <c r="V23" i="1" s="1"/>
  <c r="X23" i="1" s="1"/>
  <c r="Z23" i="1" s="1"/>
  <c r="F74" i="6"/>
  <c r="H74" i="6" s="1"/>
  <c r="P88" i="1" s="1"/>
  <c r="V88" i="1" s="1"/>
  <c r="F103" i="6"/>
  <c r="H103" i="6" s="1"/>
  <c r="P121" i="1" s="1"/>
  <c r="V121" i="1" s="1"/>
  <c r="F97" i="6"/>
  <c r="F75" i="6"/>
  <c r="H75" i="6" s="1"/>
  <c r="P89" i="1" s="1"/>
  <c r="V89" i="1" s="1"/>
  <c r="F82" i="6"/>
  <c r="F256" i="6"/>
  <c r="F81" i="6"/>
  <c r="F109" i="6"/>
  <c r="H109" i="6" s="1"/>
  <c r="P127" i="1" s="1"/>
  <c r="V127" i="1" s="1"/>
  <c r="F106" i="6"/>
  <c r="F110" i="6"/>
  <c r="H110" i="6" s="1"/>
  <c r="P128" i="1" s="1"/>
  <c r="V128" i="1" s="1"/>
  <c r="F105" i="6"/>
  <c r="F230" i="6"/>
  <c r="F39" i="6"/>
  <c r="F41" i="6"/>
  <c r="H41" i="6" s="1"/>
  <c r="P48" i="1" s="1"/>
  <c r="V48" i="1" s="1"/>
  <c r="F68" i="6"/>
  <c r="F42" i="6"/>
  <c r="F120" i="6"/>
  <c r="H120" i="6" s="1"/>
  <c r="P139" i="1" s="1"/>
  <c r="V139" i="1" s="1"/>
  <c r="F44" i="6"/>
  <c r="F277" i="6"/>
  <c r="H277" i="6" s="1"/>
  <c r="P80" i="3" s="1"/>
  <c r="V80" i="3" s="1"/>
  <c r="X80" i="3" s="1"/>
  <c r="AH80" i="3" s="1"/>
  <c r="AJ80" i="3" s="1"/>
  <c r="F233" i="6"/>
  <c r="F138" i="6"/>
  <c r="H138" i="6" s="1"/>
  <c r="G78" i="24" s="1"/>
  <c r="M78" i="24" s="1"/>
  <c r="F248" i="6"/>
  <c r="F84" i="6"/>
  <c r="F40" i="6"/>
  <c r="F94" i="6"/>
  <c r="H94" i="6" s="1"/>
  <c r="P109" i="1" s="1"/>
  <c r="V109" i="1" s="1"/>
  <c r="F69" i="6"/>
  <c r="F111" i="6"/>
  <c r="H111" i="6" s="1"/>
  <c r="P129" i="1" s="1"/>
  <c r="V129" i="1" s="1"/>
  <c r="F73" i="6"/>
  <c r="F70" i="6"/>
  <c r="F108" i="6"/>
  <c r="F38" i="6"/>
  <c r="H38" i="6" s="1"/>
  <c r="P45" i="1" s="1"/>
  <c r="V45" i="1" s="1"/>
  <c r="F107" i="6"/>
  <c r="H107" i="6" s="1"/>
  <c r="P125" i="1" s="1"/>
  <c r="V125" i="1" s="1"/>
  <c r="F118" i="6"/>
  <c r="F149" i="6"/>
  <c r="H149" i="6" s="1"/>
  <c r="P178" i="1" s="1"/>
  <c r="V178" i="1" s="1"/>
  <c r="F98" i="6"/>
  <c r="H98" i="6" s="1"/>
  <c r="P113" i="1" s="1"/>
  <c r="V113" i="1" s="1"/>
  <c r="F263" i="6"/>
  <c r="F43" i="6"/>
  <c r="F37" i="6"/>
  <c r="H37" i="6" s="1"/>
  <c r="P44" i="1" s="1"/>
  <c r="V44" i="1" s="1"/>
  <c r="F90" i="6"/>
  <c r="F113" i="6"/>
  <c r="H113" i="6" s="1"/>
  <c r="P131" i="1" s="1"/>
  <c r="V131" i="1" s="1"/>
  <c r="F88" i="6"/>
  <c r="F290" i="6"/>
  <c r="H290" i="6" s="1"/>
  <c r="P94" i="3" s="1"/>
  <c r="V94" i="3" s="1"/>
  <c r="X94" i="3" s="1"/>
  <c r="AH94" i="3" s="1"/>
  <c r="AJ94" i="3" s="1"/>
  <c r="F100" i="6"/>
  <c r="H100" i="6" s="1"/>
  <c r="P115" i="1" s="1"/>
  <c r="V115" i="1" s="1"/>
  <c r="F99" i="6"/>
  <c r="H99" i="6" s="1"/>
  <c r="P114" i="1" s="1"/>
  <c r="V114" i="1" s="1"/>
  <c r="F67" i="6"/>
  <c r="H67" i="6" s="1"/>
  <c r="P77" i="1" s="1"/>
  <c r="V77" i="1" s="1"/>
  <c r="F89" i="6"/>
  <c r="F96" i="6"/>
  <c r="F112" i="6"/>
  <c r="F266" i="6"/>
  <c r="F199" i="6"/>
  <c r="H199" i="6" s="1"/>
  <c r="P246" i="1" s="1"/>
  <c r="V246" i="1" s="1"/>
  <c r="X246" i="1" s="1"/>
  <c r="F288" i="6"/>
  <c r="H288" i="6" s="1"/>
  <c r="P92" i="3" s="1"/>
  <c r="V92" i="3" s="1"/>
  <c r="X92" i="3" s="1"/>
  <c r="AH92" i="3" s="1"/>
  <c r="AJ92" i="3" s="1"/>
  <c r="F291" i="6"/>
  <c r="H291" i="6" s="1"/>
  <c r="P95" i="3" s="1"/>
  <c r="V95" i="3" s="1"/>
  <c r="X95" i="3" s="1"/>
  <c r="AH95" i="3" s="1"/>
  <c r="AJ95" i="3" s="1"/>
  <c r="F302" i="6"/>
  <c r="F224" i="6"/>
  <c r="F86" i="6"/>
  <c r="F104" i="6"/>
  <c r="F87" i="6"/>
  <c r="H87" i="6" s="1"/>
  <c r="P102" i="1" s="1"/>
  <c r="V102" i="1" s="1"/>
  <c r="F49" i="6"/>
  <c r="H49" i="6" s="1"/>
  <c r="P56" i="1" s="1"/>
  <c r="V56" i="1" s="1"/>
  <c r="F262" i="6"/>
  <c r="F92" i="6"/>
  <c r="F91" i="6"/>
  <c r="F268" i="6"/>
  <c r="F48" i="6"/>
  <c r="F305" i="6"/>
  <c r="H305" i="6" s="1"/>
  <c r="P113" i="3" s="1"/>
  <c r="V113" i="3" s="1"/>
  <c r="X113" i="3" s="1"/>
  <c r="AH113" i="3" s="1"/>
  <c r="AJ113" i="3" s="1"/>
  <c r="F85" i="6"/>
  <c r="H85" i="6" s="1"/>
  <c r="P100" i="1" s="1"/>
  <c r="V100" i="1" s="1"/>
  <c r="F93" i="6"/>
  <c r="F217" i="6"/>
  <c r="F31" i="6"/>
  <c r="F297" i="6"/>
  <c r="F221" i="6"/>
  <c r="H221" i="6" s="1"/>
  <c r="P16" i="3" s="1"/>
  <c r="V16" i="3" s="1"/>
  <c r="X16" i="3" s="1"/>
  <c r="AH16" i="3" s="1"/>
  <c r="AJ16" i="3" s="1"/>
  <c r="F282" i="6"/>
  <c r="H282" i="6" s="1"/>
  <c r="P86" i="3" s="1"/>
  <c r="V86" i="3" s="1"/>
  <c r="X86" i="3" s="1"/>
  <c r="AH86" i="3" s="1"/>
  <c r="AJ86" i="3" s="1"/>
  <c r="F235" i="6"/>
  <c r="H235" i="6" s="1"/>
  <c r="P30" i="3" s="1"/>
  <c r="V30" i="3" s="1"/>
  <c r="X30" i="3" s="1"/>
  <c r="AH30" i="3" s="1"/>
  <c r="AJ30" i="3" s="1"/>
  <c r="F219" i="6"/>
  <c r="F63" i="6"/>
  <c r="H63" i="6" s="1"/>
  <c r="P73" i="1" s="1"/>
  <c r="F281" i="6"/>
  <c r="H281" i="6" s="1"/>
  <c r="P84" i="3" s="1"/>
  <c r="V84" i="3" s="1"/>
  <c r="X84" i="3" s="1"/>
  <c r="AH84" i="3" s="1"/>
  <c r="AJ84" i="3" s="1"/>
  <c r="F117" i="6"/>
  <c r="F279" i="6"/>
  <c r="H279" i="6" s="1"/>
  <c r="P82" i="3" s="1"/>
  <c r="V82" i="3" s="1"/>
  <c r="X82" i="3" s="1"/>
  <c r="AH82" i="3" s="1"/>
  <c r="AJ82" i="3" s="1"/>
  <c r="F286" i="6"/>
  <c r="F47" i="6"/>
  <c r="F175" i="6"/>
  <c r="F185" i="6"/>
  <c r="F146" i="6"/>
  <c r="F183" i="6"/>
  <c r="H183" i="6" s="1"/>
  <c r="P221" i="1" s="1"/>
  <c r="F296" i="6"/>
  <c r="F196" i="6"/>
  <c r="F77" i="6"/>
  <c r="F180" i="6"/>
  <c r="H180" i="6" s="1"/>
  <c r="F122" i="6"/>
  <c r="F80" i="6"/>
  <c r="H80" i="6" s="1"/>
  <c r="P95" i="1" s="1"/>
  <c r="F192" i="6"/>
  <c r="F198" i="6"/>
  <c r="H198" i="6" s="1"/>
  <c r="P245" i="1" s="1"/>
  <c r="V245" i="1" s="1"/>
  <c r="F72" i="6"/>
  <c r="H72" i="6" s="1"/>
  <c r="P85" i="1" s="1"/>
  <c r="F163" i="6"/>
  <c r="H163" i="6" s="1"/>
  <c r="P198" i="1" s="1"/>
  <c r="V198" i="1" s="1"/>
  <c r="F36" i="6"/>
  <c r="F22" i="6"/>
  <c r="F12" i="6"/>
  <c r="F23" i="6"/>
  <c r="F195" i="6"/>
  <c r="H195" i="6" s="1"/>
  <c r="P242" i="1" s="1"/>
  <c r="F14" i="6"/>
  <c r="H14" i="6" s="1"/>
  <c r="F115" i="6"/>
  <c r="F102" i="6"/>
  <c r="F66" i="6"/>
  <c r="F205" i="6"/>
  <c r="H205" i="6" s="1"/>
  <c r="P253" i="1" s="1"/>
  <c r="V253" i="1" s="1"/>
  <c r="F62" i="6"/>
  <c r="H62" i="6" s="1"/>
  <c r="P72" i="1" s="1"/>
  <c r="F51" i="6"/>
  <c r="F171" i="6"/>
  <c r="H171" i="6" s="1"/>
  <c r="P206" i="1" s="1"/>
  <c r="F126" i="6"/>
  <c r="H126" i="6" s="1"/>
  <c r="F284" i="6"/>
  <c r="H284" i="6" s="1"/>
  <c r="P88" i="3" s="1"/>
  <c r="V88" i="3" s="1"/>
  <c r="X88" i="3" s="1"/>
  <c r="AH88" i="3" s="1"/>
  <c r="AJ88" i="3" s="1"/>
  <c r="F275" i="6"/>
  <c r="F232" i="6"/>
  <c r="F243" i="6"/>
  <c r="F274" i="6"/>
  <c r="F276" i="6"/>
  <c r="H276" i="6" s="1"/>
  <c r="P79" i="3" s="1"/>
  <c r="V79" i="3" s="1"/>
  <c r="X79" i="3" s="1"/>
  <c r="AH79" i="3" s="1"/>
  <c r="AJ79" i="3" s="1"/>
  <c r="F191" i="6"/>
  <c r="F193" i="6"/>
  <c r="H193" i="6" s="1"/>
  <c r="P240" i="1" s="1"/>
  <c r="F309" i="6"/>
  <c r="F311" i="6"/>
  <c r="H311" i="6" s="1"/>
  <c r="P122" i="3" s="1"/>
  <c r="P121" i="3" s="1"/>
  <c r="F301" i="6"/>
  <c r="H301" i="6" s="1"/>
  <c r="P108" i="3" s="1"/>
  <c r="F307" i="6"/>
  <c r="H307" i="6" s="1"/>
  <c r="P118" i="3" s="1"/>
  <c r="F303" i="6"/>
  <c r="H303" i="6" s="1"/>
  <c r="F204" i="6"/>
  <c r="F215" i="6"/>
  <c r="F189" i="6"/>
  <c r="H189" i="6" s="1"/>
  <c r="P234" i="1" s="1"/>
  <c r="F46" i="6"/>
  <c r="F308" i="6"/>
  <c r="F32" i="6"/>
  <c r="H32" i="6" s="1"/>
  <c r="P39" i="1" s="1"/>
  <c r="F9" i="6"/>
  <c r="Z246" i="1" l="1"/>
  <c r="M17" i="14"/>
  <c r="H105" i="6"/>
  <c r="P123" i="1" s="1"/>
  <c r="V123" i="1" s="1"/>
  <c r="H69" i="6"/>
  <c r="P82" i="1" s="1"/>
  <c r="V82" i="1" s="1"/>
  <c r="H165" i="6"/>
  <c r="P200" i="1" s="1"/>
  <c r="V200" i="1" s="1"/>
  <c r="H259" i="6"/>
  <c r="P62" i="3" s="1"/>
  <c r="V62" i="3" s="1"/>
  <c r="X62" i="3" s="1"/>
  <c r="AH62" i="3" s="1"/>
  <c r="AJ62" i="3" s="1"/>
  <c r="H21" i="6"/>
  <c r="P25" i="1" s="1"/>
  <c r="V25" i="1" s="1"/>
  <c r="H216" i="6"/>
  <c r="P8" i="3" s="1"/>
  <c r="V8" i="3" s="1"/>
  <c r="X8" i="3" s="1"/>
  <c r="AH8" i="3" s="1"/>
  <c r="AJ8" i="3" s="1"/>
  <c r="P218" i="1"/>
  <c r="V218" i="1" s="1"/>
  <c r="P148" i="1"/>
  <c r="V240" i="1"/>
  <c r="X240" i="1" s="1"/>
  <c r="M12" i="14" s="1"/>
  <c r="P233" i="1"/>
  <c r="V234" i="1"/>
  <c r="V233" i="1" s="1"/>
  <c r="H61" i="6"/>
  <c r="P69" i="1" s="1"/>
  <c r="V69" i="1" s="1"/>
  <c r="H240" i="6"/>
  <c r="P35" i="3" s="1"/>
  <c r="V35" i="3" s="1"/>
  <c r="X35" i="3" s="1"/>
  <c r="AH35" i="3" s="1"/>
  <c r="AJ35" i="3" s="1"/>
  <c r="H143" i="6"/>
  <c r="P171" i="1" s="1"/>
  <c r="V171" i="1" s="1"/>
  <c r="H91" i="6"/>
  <c r="P106" i="1" s="1"/>
  <c r="V106" i="1" s="1"/>
  <c r="H245" i="6"/>
  <c r="P41" i="3" s="1"/>
  <c r="V41" i="3" s="1"/>
  <c r="X41" i="3" s="1"/>
  <c r="AH41" i="3" s="1"/>
  <c r="AJ41" i="3" s="1"/>
  <c r="H271" i="6"/>
  <c r="P74" i="3" s="1"/>
  <c r="V74" i="3" s="1"/>
  <c r="X74" i="3" s="1"/>
  <c r="H15" i="6"/>
  <c r="P19" i="1" s="1"/>
  <c r="V19" i="1" s="1"/>
  <c r="H42" i="6"/>
  <c r="P49" i="1" s="1"/>
  <c r="V49" i="1" s="1"/>
  <c r="H12" i="6"/>
  <c r="G67" i="24" s="1"/>
  <c r="M67" i="24" s="1"/>
  <c r="H175" i="6"/>
  <c r="P212" i="1" s="1"/>
  <c r="V212" i="1" s="1"/>
  <c r="H81" i="6"/>
  <c r="P96" i="1" s="1"/>
  <c r="V96" i="1" s="1"/>
  <c r="H275" i="6"/>
  <c r="P78" i="3" s="1"/>
  <c r="V78" i="3" s="1"/>
  <c r="X78" i="3" s="1"/>
  <c r="AH78" i="3" s="1"/>
  <c r="AJ78" i="3" s="1"/>
  <c r="AD84" i="3"/>
  <c r="AF84" i="3" s="1"/>
  <c r="Z84" i="3"/>
  <c r="AB84" i="3" s="1"/>
  <c r="AD92" i="3"/>
  <c r="AF92" i="3" s="1"/>
  <c r="Z92" i="3"/>
  <c r="AB92" i="3" s="1"/>
  <c r="Z80" i="3"/>
  <c r="AB80" i="3" s="1"/>
  <c r="AD80" i="3"/>
  <c r="AF80" i="3" s="1"/>
  <c r="AD93" i="3"/>
  <c r="AF93" i="3" s="1"/>
  <c r="Z93" i="3"/>
  <c r="AB93" i="3" s="1"/>
  <c r="Z46" i="3"/>
  <c r="AB46" i="3" s="1"/>
  <c r="AD46" i="3"/>
  <c r="AF46" i="3" s="1"/>
  <c r="Z10" i="3"/>
  <c r="AB10" i="3" s="1"/>
  <c r="AD10" i="3"/>
  <c r="AF10" i="3" s="1"/>
  <c r="AD17" i="3"/>
  <c r="AF17" i="3" s="1"/>
  <c r="Z17" i="3"/>
  <c r="AB17" i="3" s="1"/>
  <c r="AD83" i="3"/>
  <c r="AF83" i="3" s="1"/>
  <c r="Z83" i="3"/>
  <c r="AB83" i="3" s="1"/>
  <c r="AD24" i="3"/>
  <c r="AF24" i="3" s="1"/>
  <c r="Z24" i="3"/>
  <c r="AB24" i="3" s="1"/>
  <c r="AD94" i="3"/>
  <c r="AF94" i="3" s="1"/>
  <c r="Z94" i="3"/>
  <c r="AB94" i="3" s="1"/>
  <c r="AD34" i="3"/>
  <c r="AF34" i="3" s="1"/>
  <c r="Z34" i="3"/>
  <c r="AB34" i="3" s="1"/>
  <c r="AD21" i="3"/>
  <c r="AF21" i="3" s="1"/>
  <c r="Z21" i="3"/>
  <c r="AB21" i="3" s="1"/>
  <c r="AD81" i="3"/>
  <c r="AF81" i="3" s="1"/>
  <c r="Z81" i="3"/>
  <c r="AB81" i="3" s="1"/>
  <c r="Z67" i="3"/>
  <c r="AB67" i="3" s="1"/>
  <c r="AD67" i="3"/>
  <c r="AF67" i="3" s="1"/>
  <c r="Z18" i="3"/>
  <c r="AB18" i="3" s="1"/>
  <c r="AD18" i="3"/>
  <c r="AF18" i="3" s="1"/>
  <c r="Z16" i="3"/>
  <c r="AB16" i="3" s="1"/>
  <c r="AD16" i="3"/>
  <c r="AF16" i="3" s="1"/>
  <c r="Z30" i="3"/>
  <c r="AB30" i="3" s="1"/>
  <c r="AD30" i="3"/>
  <c r="AF30" i="3" s="1"/>
  <c r="Z113" i="3"/>
  <c r="AB113" i="3" s="1"/>
  <c r="AD113" i="3"/>
  <c r="AF113" i="3" s="1"/>
  <c r="Z82" i="3"/>
  <c r="AB82" i="3" s="1"/>
  <c r="AD82" i="3"/>
  <c r="AF82" i="3" s="1"/>
  <c r="Z68" i="3"/>
  <c r="AB68" i="3" s="1"/>
  <c r="AD68" i="3"/>
  <c r="AF68" i="3" s="1"/>
  <c r="Z79" i="3"/>
  <c r="AB79" i="3" s="1"/>
  <c r="AD79" i="3"/>
  <c r="AF79" i="3" s="1"/>
  <c r="Z86" i="3"/>
  <c r="AB86" i="3" s="1"/>
  <c r="AD86" i="3"/>
  <c r="AF86" i="3" s="1"/>
  <c r="Z88" i="3"/>
  <c r="AB88" i="3" s="1"/>
  <c r="AD88" i="3"/>
  <c r="AF88" i="3" s="1"/>
  <c r="AD95" i="3"/>
  <c r="AF95" i="3" s="1"/>
  <c r="Z95" i="3"/>
  <c r="AB95" i="3" s="1"/>
  <c r="H44" i="6"/>
  <c r="P51" i="1" s="1"/>
  <c r="V51" i="1" s="1"/>
  <c r="H59" i="6"/>
  <c r="P66" i="1" s="1"/>
  <c r="V66" i="1" s="1"/>
  <c r="H135" i="6"/>
  <c r="P163" i="1" s="1"/>
  <c r="V163" i="1" s="1"/>
  <c r="H185" i="6"/>
  <c r="P223" i="1" s="1"/>
  <c r="P222" i="1" s="1"/>
  <c r="H106" i="6"/>
  <c r="P124" i="1" s="1"/>
  <c r="V124" i="1" s="1"/>
  <c r="H172" i="6"/>
  <c r="P208" i="1" s="1"/>
  <c r="V208" i="1" s="1"/>
  <c r="H10" i="6"/>
  <c r="P12" i="1" s="1"/>
  <c r="V12" i="1" s="1"/>
  <c r="H96" i="6"/>
  <c r="P111" i="1" s="1"/>
  <c r="V111" i="1" s="1"/>
  <c r="H90" i="6"/>
  <c r="P105" i="1" s="1"/>
  <c r="V105" i="1" s="1"/>
  <c r="H256" i="6"/>
  <c r="P59" i="3" s="1"/>
  <c r="V59" i="3" s="1"/>
  <c r="X59" i="3" s="1"/>
  <c r="AH59" i="3" s="1"/>
  <c r="AJ59" i="3" s="1"/>
  <c r="H26" i="6"/>
  <c r="G69" i="24" s="1"/>
  <c r="M69" i="24" s="1"/>
  <c r="N69" i="24" s="1"/>
  <c r="H70" i="6"/>
  <c r="P83" i="1" s="1"/>
  <c r="V83" i="1" s="1"/>
  <c r="H83" i="6"/>
  <c r="P98" i="1" s="1"/>
  <c r="V98" i="1" s="1"/>
  <c r="H233" i="6"/>
  <c r="P28" i="3" s="1"/>
  <c r="V28" i="3" s="1"/>
  <c r="X28" i="3" s="1"/>
  <c r="AH28" i="3" s="1"/>
  <c r="AJ28" i="3" s="1"/>
  <c r="H230" i="6"/>
  <c r="P25" i="3" s="1"/>
  <c r="V25" i="3" s="1"/>
  <c r="X25" i="3" s="1"/>
  <c r="AH25" i="3" s="1"/>
  <c r="AJ25" i="3" s="1"/>
  <c r="H238" i="6"/>
  <c r="P33" i="3" s="1"/>
  <c r="V33" i="3" s="1"/>
  <c r="X33" i="3" s="1"/>
  <c r="AH33" i="3" s="1"/>
  <c r="AJ33" i="3" s="1"/>
  <c r="L166" i="22"/>
  <c r="J166" i="22" s="1"/>
  <c r="L131" i="22"/>
  <c r="L114" i="45" s="1"/>
  <c r="M114" i="45" s="1"/>
  <c r="L149" i="22"/>
  <c r="L118" i="22"/>
  <c r="L101" i="45" s="1"/>
  <c r="M101" i="45" s="1"/>
  <c r="L132" i="22"/>
  <c r="L125" i="45" s="1"/>
  <c r="M125" i="45" s="1"/>
  <c r="H246" i="6"/>
  <c r="P42" i="3" s="1"/>
  <c r="V42" i="3" s="1"/>
  <c r="X42" i="3" s="1"/>
  <c r="AH42" i="3" s="1"/>
  <c r="AJ42" i="3" s="1"/>
  <c r="H134" i="6"/>
  <c r="P162" i="1" s="1"/>
  <c r="V162" i="1" s="1"/>
  <c r="P153" i="1"/>
  <c r="V153" i="1" s="1"/>
  <c r="G72" i="24"/>
  <c r="M72" i="24" s="1"/>
  <c r="H274" i="6"/>
  <c r="P77" i="3" s="1"/>
  <c r="V77" i="3" s="1"/>
  <c r="H166" i="6"/>
  <c r="P201" i="1" s="1"/>
  <c r="V201" i="1" s="1"/>
  <c r="H128" i="6"/>
  <c r="P155" i="1" s="1"/>
  <c r="V155" i="1" s="1"/>
  <c r="H249" i="6"/>
  <c r="P45" i="3" s="1"/>
  <c r="V45" i="3" s="1"/>
  <c r="X45" i="3" s="1"/>
  <c r="AH45" i="3" s="1"/>
  <c r="AJ45" i="3" s="1"/>
  <c r="H118" i="6"/>
  <c r="P137" i="1" s="1"/>
  <c r="V137" i="1" s="1"/>
  <c r="H47" i="6"/>
  <c r="P54" i="1" s="1"/>
  <c r="H9" i="6"/>
  <c r="P11" i="1" s="1"/>
  <c r="H232" i="6"/>
  <c r="P27" i="3" s="1"/>
  <c r="V27" i="3" s="1"/>
  <c r="H269" i="6"/>
  <c r="P72" i="3" s="1"/>
  <c r="V72" i="3" s="1"/>
  <c r="X72" i="3" s="1"/>
  <c r="AH72" i="3" s="1"/>
  <c r="AJ72" i="3" s="1"/>
  <c r="H154" i="6"/>
  <c r="G79" i="24" s="1"/>
  <c r="M79" i="24" s="1"/>
  <c r="H20" i="6"/>
  <c r="P24" i="1" s="1"/>
  <c r="V24" i="1" s="1"/>
  <c r="X24" i="1" s="1"/>
  <c r="Z24" i="1" s="1"/>
  <c r="H253" i="6"/>
  <c r="P54" i="3" s="1"/>
  <c r="V54" i="3" s="1"/>
  <c r="X54" i="3" s="1"/>
  <c r="AH54" i="3" s="1"/>
  <c r="AJ54" i="3" s="1"/>
  <c r="H66" i="6"/>
  <c r="P76" i="1" s="1"/>
  <c r="V76" i="1" s="1"/>
  <c r="H286" i="6"/>
  <c r="P90" i="3" s="1"/>
  <c r="V90" i="3" s="1"/>
  <c r="X90" i="3" s="1"/>
  <c r="AH90" i="3" s="1"/>
  <c r="AJ90" i="3" s="1"/>
  <c r="H308" i="6"/>
  <c r="P119" i="3" s="1"/>
  <c r="V119" i="3" s="1"/>
  <c r="X119" i="3" s="1"/>
  <c r="AH119" i="3" s="1"/>
  <c r="AJ119" i="3" s="1"/>
  <c r="H227" i="6"/>
  <c r="P22" i="3" s="1"/>
  <c r="V22" i="3" s="1"/>
  <c r="X22" i="3" s="1"/>
  <c r="AH22" i="3" s="1"/>
  <c r="AJ22" i="3" s="1"/>
  <c r="H158" i="6"/>
  <c r="P187" i="1" s="1"/>
  <c r="V187" i="1" s="1"/>
  <c r="H137" i="6"/>
  <c r="P165" i="1" s="1"/>
  <c r="V165" i="1" s="1"/>
  <c r="H192" i="6"/>
  <c r="P239" i="1" s="1"/>
  <c r="V239" i="1" s="1"/>
  <c r="H141" i="6"/>
  <c r="P169" i="1" s="1"/>
  <c r="V169" i="1" s="1"/>
  <c r="H89" i="6"/>
  <c r="P104" i="1" s="1"/>
  <c r="V104" i="1" s="1"/>
  <c r="L147" i="22"/>
  <c r="L132" i="45" s="1"/>
  <c r="M132" i="45" s="1"/>
  <c r="L106" i="22"/>
  <c r="L91" i="45" s="1"/>
  <c r="M91" i="45" s="1"/>
  <c r="L148" i="22"/>
  <c r="L154" i="22"/>
  <c r="J154" i="22" s="1"/>
  <c r="W116" i="23"/>
  <c r="L150" i="22"/>
  <c r="H146" i="6"/>
  <c r="P175" i="1" s="1"/>
  <c r="V175" i="1" s="1"/>
  <c r="H93" i="6"/>
  <c r="P108" i="1" s="1"/>
  <c r="V108" i="1" s="1"/>
  <c r="H23" i="6"/>
  <c r="P27" i="1" s="1"/>
  <c r="V27" i="1" s="1"/>
  <c r="H219" i="6"/>
  <c r="P13" i="3" s="1"/>
  <c r="V13" i="3" s="1"/>
  <c r="X13" i="3" s="1"/>
  <c r="AH13" i="3" s="1"/>
  <c r="AJ13" i="3" s="1"/>
  <c r="H266" i="6"/>
  <c r="P69" i="3" s="1"/>
  <c r="V69" i="3" s="1"/>
  <c r="X69" i="3" s="1"/>
  <c r="AH69" i="3" s="1"/>
  <c r="AJ69" i="3" s="1"/>
  <c r="H25" i="6"/>
  <c r="P30" i="1" s="1"/>
  <c r="V30" i="1" s="1"/>
  <c r="H204" i="6"/>
  <c r="P252" i="1" s="1"/>
  <c r="V252" i="1" s="1"/>
  <c r="H104" i="6"/>
  <c r="P122" i="1" s="1"/>
  <c r="V122" i="1" s="1"/>
  <c r="H77" i="6"/>
  <c r="P91" i="1" s="1"/>
  <c r="V91" i="1" s="1"/>
  <c r="V90" i="1" s="1"/>
  <c r="H255" i="6"/>
  <c r="P58" i="3" s="1"/>
  <c r="V58" i="3" s="1"/>
  <c r="X58" i="3" s="1"/>
  <c r="AH58" i="3" s="1"/>
  <c r="AJ58" i="3" s="1"/>
  <c r="H46" i="6"/>
  <c r="P53" i="1" s="1"/>
  <c r="H296" i="6"/>
  <c r="P102" i="3" s="1"/>
  <c r="H117" i="6"/>
  <c r="P136" i="1" s="1"/>
  <c r="V136" i="1" s="1"/>
  <c r="H31" i="6"/>
  <c r="P14" i="1" s="1"/>
  <c r="P13" i="1" s="1"/>
  <c r="H257" i="6"/>
  <c r="P60" i="3" s="1"/>
  <c r="V60" i="3" s="1"/>
  <c r="X60" i="3" s="1"/>
  <c r="AH60" i="3" s="1"/>
  <c r="AJ60" i="3" s="1"/>
  <c r="H267" i="6"/>
  <c r="P70" i="3" s="1"/>
  <c r="V70" i="3" s="1"/>
  <c r="X70" i="3" s="1"/>
  <c r="AH70" i="3" s="1"/>
  <c r="AJ70" i="3" s="1"/>
  <c r="H161" i="6"/>
  <c r="P194" i="1" s="1"/>
  <c r="V194" i="1" s="1"/>
  <c r="H84" i="6"/>
  <c r="P99" i="1" s="1"/>
  <c r="V99" i="1" s="1"/>
  <c r="H68" i="6"/>
  <c r="P81" i="1" s="1"/>
  <c r="V81" i="1" s="1"/>
  <c r="X81" i="1" s="1"/>
  <c r="H102" i="6"/>
  <c r="P120" i="1" s="1"/>
  <c r="V120" i="1" s="1"/>
  <c r="H262" i="6"/>
  <c r="P65" i="3" s="1"/>
  <c r="V65" i="3" s="1"/>
  <c r="X65" i="3" s="1"/>
  <c r="AH65" i="3" s="1"/>
  <c r="AJ65" i="3" s="1"/>
  <c r="H58" i="6"/>
  <c r="P65" i="1" s="1"/>
  <c r="V65" i="1" s="1"/>
  <c r="H112" i="6"/>
  <c r="P130" i="1" s="1"/>
  <c r="V130" i="1" s="1"/>
  <c r="H40" i="6"/>
  <c r="P47" i="1" s="1"/>
  <c r="V47" i="1" s="1"/>
  <c r="H22" i="6"/>
  <c r="P26" i="1" s="1"/>
  <c r="H48" i="6"/>
  <c r="P55" i="1" s="1"/>
  <c r="H86" i="6"/>
  <c r="P101" i="1" s="1"/>
  <c r="V101" i="1" s="1"/>
  <c r="H55" i="6"/>
  <c r="P62" i="1" s="1"/>
  <c r="V62" i="1" s="1"/>
  <c r="H285" i="6"/>
  <c r="E89" i="24" s="1"/>
  <c r="G89" i="24" s="1"/>
  <c r="H196" i="6"/>
  <c r="P243" i="1" s="1"/>
  <c r="V243" i="1" s="1"/>
  <c r="H309" i="6"/>
  <c r="P120" i="3" s="1"/>
  <c r="V120" i="3" s="1"/>
  <c r="X120" i="3" s="1"/>
  <c r="AH120" i="3" s="1"/>
  <c r="AJ120" i="3" s="1"/>
  <c r="H92" i="6"/>
  <c r="P107" i="1" s="1"/>
  <c r="V107" i="1" s="1"/>
  <c r="H181" i="6"/>
  <c r="H237" i="6"/>
  <c r="P32" i="3" s="1"/>
  <c r="V32" i="3" s="1"/>
  <c r="X32" i="3" s="1"/>
  <c r="AH32" i="3" s="1"/>
  <c r="AJ32" i="3" s="1"/>
  <c r="H157" i="6"/>
  <c r="P192" i="1" s="1"/>
  <c r="V192" i="1" s="1"/>
  <c r="X192" i="1" s="1"/>
  <c r="Z192" i="1" s="1"/>
  <c r="H144" i="6"/>
  <c r="P173" i="1" s="1"/>
  <c r="V173" i="1" s="1"/>
  <c r="H254" i="6"/>
  <c r="P57" i="3" s="1"/>
  <c r="V57" i="3" s="1"/>
  <c r="X57" i="3" s="1"/>
  <c r="AH57" i="3" s="1"/>
  <c r="AJ57" i="3" s="1"/>
  <c r="H131" i="6"/>
  <c r="P158" i="1" s="1"/>
  <c r="V158" i="1" s="1"/>
  <c r="W76" i="23"/>
  <c r="H297" i="6"/>
  <c r="P103" i="3" s="1"/>
  <c r="V103" i="3" s="1"/>
  <c r="X103" i="3" s="1"/>
  <c r="AH103" i="3" s="1"/>
  <c r="AJ103" i="3" s="1"/>
  <c r="H39" i="6"/>
  <c r="P46" i="1" s="1"/>
  <c r="V46" i="1" s="1"/>
  <c r="H160" i="6"/>
  <c r="G81" i="24" s="1"/>
  <c r="M81" i="24" s="1"/>
  <c r="P175" i="23" s="1"/>
  <c r="S175" i="23" s="1"/>
  <c r="U175" i="23" s="1"/>
  <c r="H167" i="6"/>
  <c r="P202" i="1" s="1"/>
  <c r="V202" i="1" s="1"/>
  <c r="H170" i="6"/>
  <c r="P205" i="1" s="1"/>
  <c r="V205" i="1" s="1"/>
  <c r="H294" i="6"/>
  <c r="P99" i="3" s="1"/>
  <c r="V99" i="3" s="1"/>
  <c r="X99" i="3" s="1"/>
  <c r="AH99" i="3" s="1"/>
  <c r="AJ99" i="3" s="1"/>
  <c r="H57" i="6"/>
  <c r="P64" i="1" s="1"/>
  <c r="V64" i="1" s="1"/>
  <c r="H236" i="6"/>
  <c r="P31" i="3" s="1"/>
  <c r="V31" i="3" s="1"/>
  <c r="X31" i="3" s="1"/>
  <c r="AH31" i="3" s="1"/>
  <c r="AJ31" i="3" s="1"/>
  <c r="H268" i="6"/>
  <c r="P71" i="3" s="1"/>
  <c r="V71" i="3" s="1"/>
  <c r="X71" i="3" s="1"/>
  <c r="AH71" i="3" s="1"/>
  <c r="AJ71" i="3" s="1"/>
  <c r="H260" i="6"/>
  <c r="P63" i="3" s="1"/>
  <c r="V63" i="3" s="1"/>
  <c r="X63" i="3" s="1"/>
  <c r="AH63" i="3" s="1"/>
  <c r="AJ63" i="3" s="1"/>
  <c r="H208" i="6"/>
  <c r="P256" i="1" s="1"/>
  <c r="P255" i="1" s="1"/>
  <c r="H314" i="6"/>
  <c r="H292" i="6"/>
  <c r="P96" i="3" s="1"/>
  <c r="V96" i="3" s="1"/>
  <c r="X96" i="3" s="1"/>
  <c r="AH96" i="3" s="1"/>
  <c r="AJ96" i="3" s="1"/>
  <c r="H140" i="6"/>
  <c r="G76" i="24" s="1"/>
  <c r="M76" i="24" s="1"/>
  <c r="N76" i="24" s="1"/>
  <c r="H18" i="6"/>
  <c r="P22" i="1" s="1"/>
  <c r="V22" i="1" s="1"/>
  <c r="H251" i="6"/>
  <c r="H234" i="6"/>
  <c r="H217" i="6"/>
  <c r="P9" i="3" s="1"/>
  <c r="V9" i="3" s="1"/>
  <c r="X9" i="3" s="1"/>
  <c r="AH9" i="3" s="1"/>
  <c r="AJ9" i="3" s="1"/>
  <c r="H56" i="6"/>
  <c r="P63" i="1" s="1"/>
  <c r="V63" i="1" s="1"/>
  <c r="H244" i="6"/>
  <c r="P39" i="3" s="1"/>
  <c r="V39" i="3" s="1"/>
  <c r="X39" i="3" s="1"/>
  <c r="AH39" i="3" s="1"/>
  <c r="AJ39" i="3" s="1"/>
  <c r="H16" i="6"/>
  <c r="P20" i="1" s="1"/>
  <c r="V20" i="1" s="1"/>
  <c r="H88" i="6"/>
  <c r="P103" i="1" s="1"/>
  <c r="V103" i="1" s="1"/>
  <c r="H51" i="6"/>
  <c r="P58" i="1" s="1"/>
  <c r="V58" i="1" s="1"/>
  <c r="H293" i="6"/>
  <c r="H28" i="6"/>
  <c r="G70" i="24" s="1"/>
  <c r="H270" i="6"/>
  <c r="P73" i="3" s="1"/>
  <c r="V73" i="3" s="1"/>
  <c r="X73" i="3" s="1"/>
  <c r="AH73" i="3" s="1"/>
  <c r="AJ73" i="3" s="1"/>
  <c r="H258" i="6"/>
  <c r="P61" i="3" s="1"/>
  <c r="V61" i="3" s="1"/>
  <c r="X61" i="3" s="1"/>
  <c r="AH61" i="3" s="1"/>
  <c r="AJ61" i="3" s="1"/>
  <c r="H201" i="6"/>
  <c r="H36" i="6"/>
  <c r="P43" i="1" s="1"/>
  <c r="H224" i="6"/>
  <c r="P19" i="3" s="1"/>
  <c r="V19" i="3" s="1"/>
  <c r="X19" i="3" s="1"/>
  <c r="AH19" i="3" s="1"/>
  <c r="AJ19" i="3" s="1"/>
  <c r="H108" i="6"/>
  <c r="P126" i="1" s="1"/>
  <c r="V126" i="1" s="1"/>
  <c r="H248" i="6"/>
  <c r="P44" i="3" s="1"/>
  <c r="V44" i="3" s="1"/>
  <c r="X44" i="3" s="1"/>
  <c r="AH44" i="3" s="1"/>
  <c r="AJ44" i="3" s="1"/>
  <c r="H150" i="6"/>
  <c r="P179" i="1" s="1"/>
  <c r="V179" i="1" s="1"/>
  <c r="H220" i="6"/>
  <c r="P14" i="3" s="1"/>
  <c r="V14" i="3" s="1"/>
  <c r="X14" i="3" s="1"/>
  <c r="AH14" i="3" s="1"/>
  <c r="AJ14" i="3" s="1"/>
  <c r="H122" i="6"/>
  <c r="P145" i="1" s="1"/>
  <c r="V145" i="1" s="1"/>
  <c r="V144" i="1" s="1"/>
  <c r="H302" i="6"/>
  <c r="P109" i="3" s="1"/>
  <c r="V109" i="3" s="1"/>
  <c r="X109" i="3" s="1"/>
  <c r="AH109" i="3" s="1"/>
  <c r="AJ109" i="3" s="1"/>
  <c r="H43" i="6"/>
  <c r="P50" i="1" s="1"/>
  <c r="V50" i="1" s="1"/>
  <c r="H82" i="6"/>
  <c r="P97" i="1" s="1"/>
  <c r="V97" i="1" s="1"/>
  <c r="H151" i="6"/>
  <c r="P180" i="1" s="1"/>
  <c r="V180" i="1" s="1"/>
  <c r="H164" i="6"/>
  <c r="P199" i="1" s="1"/>
  <c r="V199" i="1" s="1"/>
  <c r="H127" i="6"/>
  <c r="G73" i="24" s="1"/>
  <c r="M73" i="24" s="1"/>
  <c r="H304" i="6"/>
  <c r="P112" i="3" s="1"/>
  <c r="V112" i="3" s="1"/>
  <c r="X112" i="3" s="1"/>
  <c r="AH112" i="3" s="1"/>
  <c r="AJ112" i="3" s="1"/>
  <c r="H115" i="6"/>
  <c r="P134" i="1" s="1"/>
  <c r="V134" i="1" s="1"/>
  <c r="H73" i="6"/>
  <c r="P87" i="1" s="1"/>
  <c r="V87" i="1" s="1"/>
  <c r="H29" i="6"/>
  <c r="P36" i="1" s="1"/>
  <c r="V36" i="1" s="1"/>
  <c r="H243" i="6"/>
  <c r="P38" i="3" s="1"/>
  <c r="V38" i="3" s="1"/>
  <c r="H191" i="6"/>
  <c r="H97" i="6"/>
  <c r="P112" i="1" s="1"/>
  <c r="V112" i="1" s="1"/>
  <c r="H261" i="6"/>
  <c r="P64" i="3" s="1"/>
  <c r="V64" i="3" s="1"/>
  <c r="X64" i="3" s="1"/>
  <c r="AH64" i="3" s="1"/>
  <c r="AJ64" i="3" s="1"/>
  <c r="H60" i="6"/>
  <c r="P68" i="1" s="1"/>
  <c r="V68" i="1" s="1"/>
  <c r="H136" i="6"/>
  <c r="P164" i="1" s="1"/>
  <c r="V164" i="1" s="1"/>
  <c r="H139" i="6"/>
  <c r="P167" i="1" s="1"/>
  <c r="V167" i="1" s="1"/>
  <c r="H225" i="6"/>
  <c r="P20" i="3" s="1"/>
  <c r="V20" i="3" s="1"/>
  <c r="X20" i="3" s="1"/>
  <c r="AH20" i="3" s="1"/>
  <c r="AJ20" i="3" s="1"/>
  <c r="H130" i="6"/>
  <c r="P157" i="1" s="1"/>
  <c r="V157" i="1" s="1"/>
  <c r="H252" i="6"/>
  <c r="P53" i="3" s="1"/>
  <c r="V53" i="3" s="1"/>
  <c r="X53" i="3" s="1"/>
  <c r="AH53" i="3" s="1"/>
  <c r="AJ53" i="3" s="1"/>
  <c r="H247" i="6"/>
  <c r="P43" i="3" s="1"/>
  <c r="V43" i="3" s="1"/>
  <c r="X43" i="3" s="1"/>
  <c r="AH43" i="3" s="1"/>
  <c r="AJ43" i="3" s="1"/>
  <c r="H228" i="6"/>
  <c r="P23" i="3" s="1"/>
  <c r="V23" i="3" s="1"/>
  <c r="X23" i="3" s="1"/>
  <c r="AH23" i="3" s="1"/>
  <c r="AJ23" i="3" s="1"/>
  <c r="H142" i="6"/>
  <c r="P170" i="1" s="1"/>
  <c r="V170" i="1" s="1"/>
  <c r="H162" i="6"/>
  <c r="P197" i="1" s="1"/>
  <c r="V197" i="1" s="1"/>
  <c r="H133" i="6"/>
  <c r="G74" i="24" s="1"/>
  <c r="M74" i="24" s="1"/>
  <c r="P150" i="23" s="1"/>
  <c r="S150" i="23" s="1"/>
  <c r="U150" i="23" s="1"/>
  <c r="H298" i="6"/>
  <c r="P105" i="3" s="1"/>
  <c r="V105" i="3" s="1"/>
  <c r="X105" i="3" s="1"/>
  <c r="AH105" i="3" s="1"/>
  <c r="AJ105" i="3" s="1"/>
  <c r="H177" i="6"/>
  <c r="H156" i="6"/>
  <c r="P186" i="1" s="1"/>
  <c r="V186" i="1" s="1"/>
  <c r="Y21" i="38"/>
  <c r="Z21" i="38" s="1"/>
  <c r="AC21" i="38" s="1"/>
  <c r="H206" i="6"/>
  <c r="H168" i="6"/>
  <c r="P203" i="1" s="1"/>
  <c r="V203" i="1" s="1"/>
  <c r="G210" i="6"/>
  <c r="H27" i="6"/>
  <c r="P34" i="1" s="1"/>
  <c r="V34" i="1" s="1"/>
  <c r="X34" i="1" s="1"/>
  <c r="Z34" i="1" s="1"/>
  <c r="H197" i="6"/>
  <c r="H17" i="6"/>
  <c r="P21" i="1" s="1"/>
  <c r="V21" i="1" s="1"/>
  <c r="H147" i="6"/>
  <c r="P176" i="1" s="1"/>
  <c r="V176" i="1" s="1"/>
  <c r="G80" i="24"/>
  <c r="M80" i="24" s="1"/>
  <c r="P188" i="1"/>
  <c r="V188" i="1" s="1"/>
  <c r="P90" i="1"/>
  <c r="V125" i="3"/>
  <c r="X126" i="3"/>
  <c r="AH126" i="3" s="1"/>
  <c r="AJ126" i="3" s="1"/>
  <c r="F318" i="6"/>
  <c r="P125" i="3"/>
  <c r="P166" i="1"/>
  <c r="V166" i="1" s="1"/>
  <c r="K109" i="31"/>
  <c r="L109" i="31" s="1"/>
  <c r="M109" i="31" s="1"/>
  <c r="K111" i="55"/>
  <c r="M111" i="55" s="1"/>
  <c r="V118" i="3"/>
  <c r="V39" i="1"/>
  <c r="V85" i="1"/>
  <c r="V108" i="3"/>
  <c r="V95" i="1"/>
  <c r="U378" i="23"/>
  <c r="U378" i="48"/>
  <c r="P115" i="3"/>
  <c r="V115" i="3" s="1"/>
  <c r="X115" i="3" s="1"/>
  <c r="AH115" i="3" s="1"/>
  <c r="AJ115" i="3" s="1"/>
  <c r="H215" i="6"/>
  <c r="U377" i="48"/>
  <c r="U377" i="23"/>
  <c r="V242" i="1"/>
  <c r="P220" i="1"/>
  <c r="V221" i="1"/>
  <c r="U376" i="48"/>
  <c r="U376" i="23"/>
  <c r="P18" i="1"/>
  <c r="V18" i="1" s="1"/>
  <c r="G66" i="24"/>
  <c r="P86" i="1"/>
  <c r="V86" i="1" s="1"/>
  <c r="P41" i="1"/>
  <c r="V41" i="1" s="1"/>
  <c r="P160" i="1"/>
  <c r="V160" i="1" s="1"/>
  <c r="Z8" i="3" l="1"/>
  <c r="AB8" i="3" s="1"/>
  <c r="AD8" i="3"/>
  <c r="AF8" i="3" s="1"/>
  <c r="E88" i="24"/>
  <c r="L126" i="22"/>
  <c r="J126" i="22" s="1"/>
  <c r="Z62" i="3"/>
  <c r="AB62" i="3" s="1"/>
  <c r="AD62" i="3"/>
  <c r="AF62" i="3" s="1"/>
  <c r="P16" i="1"/>
  <c r="V16" i="1" s="1"/>
  <c r="P33" i="1"/>
  <c r="V33" i="1" s="1"/>
  <c r="P237" i="1"/>
  <c r="V237" i="1" s="1"/>
  <c r="P238" i="1"/>
  <c r="V238" i="1" s="1"/>
  <c r="X238" i="1" s="1"/>
  <c r="P219" i="1"/>
  <c r="V219" i="1" s="1"/>
  <c r="V217" i="1" s="1"/>
  <c r="P149" i="1"/>
  <c r="V149" i="1" s="1"/>
  <c r="X149" i="1" s="1"/>
  <c r="V148" i="1"/>
  <c r="L93" i="22"/>
  <c r="J93" i="22" s="1"/>
  <c r="Z240" i="1"/>
  <c r="Y15" i="38"/>
  <c r="Z15" i="38" s="1"/>
  <c r="AC15" i="38" s="1"/>
  <c r="AD74" i="3"/>
  <c r="AF74" i="3" s="1"/>
  <c r="AH74" i="3"/>
  <c r="AJ74" i="3" s="1"/>
  <c r="AD41" i="3"/>
  <c r="AF41" i="3" s="1"/>
  <c r="Z41" i="3"/>
  <c r="AB41" i="3" s="1"/>
  <c r="L113" i="22"/>
  <c r="L98" i="45" s="1"/>
  <c r="M98" i="45" s="1"/>
  <c r="L138" i="22"/>
  <c r="L129" i="45" s="1"/>
  <c r="M129" i="45" s="1"/>
  <c r="Z74" i="3"/>
  <c r="AB74" i="3" s="1"/>
  <c r="Z35" i="3"/>
  <c r="AB35" i="3" s="1"/>
  <c r="AD35" i="3"/>
  <c r="AF35" i="3" s="1"/>
  <c r="P211" i="1"/>
  <c r="V223" i="1"/>
  <c r="V222" i="1" s="1"/>
  <c r="P184" i="1"/>
  <c r="V184" i="1" s="1"/>
  <c r="AD112" i="3"/>
  <c r="AF112" i="3" s="1"/>
  <c r="Z112" i="3"/>
  <c r="AB112" i="3" s="1"/>
  <c r="AD14" i="3"/>
  <c r="AF14" i="3" s="1"/>
  <c r="Z14" i="3"/>
  <c r="AB14" i="3" s="1"/>
  <c r="Z73" i="3"/>
  <c r="AB73" i="3" s="1"/>
  <c r="AD73" i="3"/>
  <c r="AF73" i="3" s="1"/>
  <c r="Z9" i="3"/>
  <c r="AB9" i="3" s="1"/>
  <c r="AD9" i="3"/>
  <c r="AF9" i="3" s="1"/>
  <c r="Z63" i="3"/>
  <c r="AB63" i="3" s="1"/>
  <c r="AD63" i="3"/>
  <c r="AF63" i="3" s="1"/>
  <c r="Z23" i="3"/>
  <c r="AB23" i="3" s="1"/>
  <c r="AD23" i="3"/>
  <c r="AF23" i="3" s="1"/>
  <c r="AD64" i="3"/>
  <c r="AF64" i="3" s="1"/>
  <c r="Z64" i="3"/>
  <c r="AB64" i="3" s="1"/>
  <c r="AD71" i="3"/>
  <c r="AF71" i="3" s="1"/>
  <c r="Z71" i="3"/>
  <c r="AB71" i="3" s="1"/>
  <c r="Z103" i="3"/>
  <c r="AB103" i="3" s="1"/>
  <c r="AD103" i="3"/>
  <c r="AF103" i="3" s="1"/>
  <c r="Z70" i="3"/>
  <c r="AB70" i="3" s="1"/>
  <c r="AD70" i="3"/>
  <c r="AF70" i="3" s="1"/>
  <c r="AD54" i="3"/>
  <c r="AF54" i="3" s="1"/>
  <c r="Z54" i="3"/>
  <c r="AB54" i="3" s="1"/>
  <c r="AD45" i="3"/>
  <c r="AF45" i="3" s="1"/>
  <c r="Z45" i="3"/>
  <c r="AB45" i="3" s="1"/>
  <c r="AD43" i="3"/>
  <c r="AF43" i="3" s="1"/>
  <c r="Z43" i="3"/>
  <c r="AB43" i="3" s="1"/>
  <c r="Z44" i="3"/>
  <c r="AB44" i="3" s="1"/>
  <c r="AD44" i="3"/>
  <c r="AF44" i="3" s="1"/>
  <c r="AD31" i="3"/>
  <c r="AF31" i="3" s="1"/>
  <c r="Z31" i="3"/>
  <c r="AB31" i="3" s="1"/>
  <c r="Z120" i="3"/>
  <c r="AB120" i="3" s="1"/>
  <c r="AD120" i="3"/>
  <c r="AF120" i="3" s="1"/>
  <c r="Z60" i="3"/>
  <c r="AB60" i="3" s="1"/>
  <c r="AD60" i="3"/>
  <c r="AF60" i="3" s="1"/>
  <c r="AD33" i="3"/>
  <c r="AF33" i="3" s="1"/>
  <c r="Z33" i="3"/>
  <c r="AB33" i="3" s="1"/>
  <c r="Z53" i="3"/>
  <c r="AB53" i="3" s="1"/>
  <c r="AD53" i="3"/>
  <c r="AF53" i="3" s="1"/>
  <c r="Z25" i="3"/>
  <c r="AB25" i="3" s="1"/>
  <c r="AD25" i="3"/>
  <c r="AF25" i="3" s="1"/>
  <c r="AD19" i="3"/>
  <c r="AF19" i="3" s="1"/>
  <c r="Z19" i="3"/>
  <c r="AB19" i="3" s="1"/>
  <c r="Z99" i="3"/>
  <c r="AB99" i="3" s="1"/>
  <c r="AD99" i="3"/>
  <c r="AF99" i="3" s="1"/>
  <c r="Z57" i="3"/>
  <c r="AB57" i="3" s="1"/>
  <c r="AD57" i="3"/>
  <c r="AF57" i="3" s="1"/>
  <c r="AD65" i="3"/>
  <c r="AF65" i="3" s="1"/>
  <c r="Z65" i="3"/>
  <c r="AB65" i="3" s="1"/>
  <c r="AD69" i="3"/>
  <c r="AF69" i="3" s="1"/>
  <c r="Z69" i="3"/>
  <c r="AB69" i="3" s="1"/>
  <c r="AD72" i="3"/>
  <c r="AF72" i="3" s="1"/>
  <c r="Z72" i="3"/>
  <c r="AB72" i="3" s="1"/>
  <c r="Z28" i="3"/>
  <c r="AB28" i="3" s="1"/>
  <c r="AD28" i="3"/>
  <c r="AF28" i="3" s="1"/>
  <c r="Z78" i="3"/>
  <c r="AB78" i="3" s="1"/>
  <c r="AD78" i="3"/>
  <c r="AF78" i="3" s="1"/>
  <c r="AD126" i="3"/>
  <c r="AF126" i="3" s="1"/>
  <c r="Z126" i="3"/>
  <c r="AB126" i="3" s="1"/>
  <c r="AD105" i="3"/>
  <c r="AF105" i="3" s="1"/>
  <c r="Z105" i="3"/>
  <c r="AB105" i="3" s="1"/>
  <c r="Z20" i="3"/>
  <c r="AB20" i="3" s="1"/>
  <c r="AD20" i="3"/>
  <c r="AF20" i="3" s="1"/>
  <c r="AD96" i="3"/>
  <c r="AF96" i="3" s="1"/>
  <c r="Z96" i="3"/>
  <c r="AB96" i="3" s="1"/>
  <c r="Z13" i="3"/>
  <c r="AB13" i="3" s="1"/>
  <c r="AD13" i="3"/>
  <c r="AF13" i="3" s="1"/>
  <c r="AD22" i="3"/>
  <c r="AF22" i="3" s="1"/>
  <c r="Z22" i="3"/>
  <c r="AB22" i="3" s="1"/>
  <c r="AD109" i="3"/>
  <c r="AF109" i="3" s="1"/>
  <c r="Z109" i="3"/>
  <c r="AB109" i="3" s="1"/>
  <c r="Z39" i="3"/>
  <c r="AB39" i="3" s="1"/>
  <c r="AD39" i="3"/>
  <c r="AF39" i="3" s="1"/>
  <c r="AD119" i="3"/>
  <c r="AF119" i="3" s="1"/>
  <c r="Z119" i="3"/>
  <c r="AB119" i="3" s="1"/>
  <c r="Z61" i="3"/>
  <c r="AB61" i="3" s="1"/>
  <c r="AD61" i="3"/>
  <c r="AF61" i="3" s="1"/>
  <c r="Z32" i="3"/>
  <c r="AB32" i="3" s="1"/>
  <c r="AD32" i="3"/>
  <c r="AF32" i="3" s="1"/>
  <c r="Z58" i="3"/>
  <c r="AB58" i="3" s="1"/>
  <c r="AD58" i="3"/>
  <c r="AF58" i="3" s="1"/>
  <c r="Z90" i="3"/>
  <c r="AB90" i="3" s="1"/>
  <c r="AD90" i="3"/>
  <c r="AF90" i="3" s="1"/>
  <c r="AD115" i="3"/>
  <c r="AF115" i="3" s="1"/>
  <c r="Z115" i="3"/>
  <c r="AB115" i="3" s="1"/>
  <c r="AD42" i="3"/>
  <c r="AF42" i="3" s="1"/>
  <c r="Z42" i="3"/>
  <c r="AB42" i="3" s="1"/>
  <c r="AD59" i="3"/>
  <c r="AF59" i="3" s="1"/>
  <c r="Z59" i="3"/>
  <c r="AB59" i="3" s="1"/>
  <c r="L152" i="45"/>
  <c r="M152" i="45" s="1"/>
  <c r="L123" i="22"/>
  <c r="L122" i="45" s="1"/>
  <c r="M122" i="45" s="1"/>
  <c r="L108" i="22"/>
  <c r="L94" i="45" s="1"/>
  <c r="M94" i="45" s="1"/>
  <c r="P147" i="23"/>
  <c r="S147" i="23" s="1"/>
  <c r="U147" i="23" s="1"/>
  <c r="K149" i="55" s="1"/>
  <c r="M66" i="24"/>
  <c r="P128" i="23" s="1"/>
  <c r="S128" i="23" s="1"/>
  <c r="J131" i="22"/>
  <c r="J118" i="22"/>
  <c r="J132" i="22"/>
  <c r="P146" i="23"/>
  <c r="S146" i="23" s="1"/>
  <c r="U146" i="23" s="1"/>
  <c r="F57" i="25" s="1"/>
  <c r="W81" i="23"/>
  <c r="L125" i="22"/>
  <c r="J125" i="22" s="1"/>
  <c r="V180" i="23"/>
  <c r="L111" i="22"/>
  <c r="J111" i="22" s="1"/>
  <c r="L105" i="22"/>
  <c r="J105" i="22" s="1"/>
  <c r="L114" i="22"/>
  <c r="L165" i="22"/>
  <c r="J165" i="22" s="1"/>
  <c r="L134" i="22"/>
  <c r="L126" i="45" s="1"/>
  <c r="M126" i="45" s="1"/>
  <c r="L120" i="22"/>
  <c r="L102" i="45" s="1"/>
  <c r="M102" i="45" s="1"/>
  <c r="L117" i="22"/>
  <c r="J117" i="22" s="1"/>
  <c r="L152" i="22"/>
  <c r="L144" i="45" s="1"/>
  <c r="M144" i="45" s="1"/>
  <c r="L136" i="22"/>
  <c r="J136" i="22" s="1"/>
  <c r="L124" i="22"/>
  <c r="L124" i="45" s="1"/>
  <c r="M124" i="45" s="1"/>
  <c r="L128" i="22"/>
  <c r="L120" i="45" s="1"/>
  <c r="M120" i="45" s="1"/>
  <c r="L116" i="22"/>
  <c r="L100" i="45" s="1"/>
  <c r="M100" i="45" s="1"/>
  <c r="L135" i="22"/>
  <c r="J135" i="22" s="1"/>
  <c r="L121" i="22"/>
  <c r="L110" i="45" s="1"/>
  <c r="M110" i="45" s="1"/>
  <c r="L129" i="22"/>
  <c r="J129" i="22" s="1"/>
  <c r="L133" i="22"/>
  <c r="L123" i="45" s="1"/>
  <c r="M123" i="45" s="1"/>
  <c r="L137" i="22"/>
  <c r="J137" i="22" s="1"/>
  <c r="W15" i="48"/>
  <c r="L33" i="22"/>
  <c r="J33" i="22" s="1"/>
  <c r="Z81" i="1"/>
  <c r="AC178" i="48"/>
  <c r="L174" i="22"/>
  <c r="J174" i="22" s="1"/>
  <c r="U379" i="23"/>
  <c r="E56" i="24"/>
  <c r="G56" i="24" s="1"/>
  <c r="J56" i="24" s="1"/>
  <c r="U379" i="48"/>
  <c r="W20" i="48"/>
  <c r="P89" i="3"/>
  <c r="V89" i="3" s="1"/>
  <c r="V102" i="3"/>
  <c r="V100" i="3" s="1"/>
  <c r="P100" i="3"/>
  <c r="L159" i="22"/>
  <c r="J159" i="22" s="1"/>
  <c r="J147" i="22"/>
  <c r="L141" i="45"/>
  <c r="M141" i="45" s="1"/>
  <c r="G68" i="24"/>
  <c r="M68" i="24" s="1"/>
  <c r="P129" i="23" s="1"/>
  <c r="S129" i="23" s="1"/>
  <c r="U129" i="23" s="1"/>
  <c r="K107" i="31" s="1"/>
  <c r="L107" i="31" s="1"/>
  <c r="P75" i="1"/>
  <c r="L157" i="22"/>
  <c r="L140" i="45" s="1"/>
  <c r="M140" i="45" s="1"/>
  <c r="U365" i="48"/>
  <c r="V256" i="1"/>
  <c r="V255" i="1" s="1"/>
  <c r="P117" i="3"/>
  <c r="J106" i="22"/>
  <c r="P52" i="1"/>
  <c r="G77" i="24"/>
  <c r="M77" i="24" s="1"/>
  <c r="N77" i="24" s="1"/>
  <c r="W14" i="48"/>
  <c r="V14" i="1"/>
  <c r="V13" i="1" s="1"/>
  <c r="P241" i="1"/>
  <c r="L109" i="22"/>
  <c r="J109" i="22" s="1"/>
  <c r="L104" i="22"/>
  <c r="L92" i="45" s="1"/>
  <c r="M92" i="45" s="1"/>
  <c r="L163" i="22"/>
  <c r="J163" i="22" s="1"/>
  <c r="L122" i="22"/>
  <c r="J122" i="22" s="1"/>
  <c r="P168" i="1"/>
  <c r="V168" i="1" s="1"/>
  <c r="W51" i="23"/>
  <c r="L139" i="22"/>
  <c r="L128" i="45" s="1"/>
  <c r="M128" i="45" s="1"/>
  <c r="L127" i="22"/>
  <c r="J127" i="22" s="1"/>
  <c r="U381" i="48"/>
  <c r="L160" i="22"/>
  <c r="L137" i="45" s="1"/>
  <c r="M137" i="45" s="1"/>
  <c r="W62" i="48"/>
  <c r="L172" i="22"/>
  <c r="L115" i="22"/>
  <c r="L113" i="45" s="1"/>
  <c r="M113" i="45" s="1"/>
  <c r="W13" i="23"/>
  <c r="L155" i="22"/>
  <c r="L142" i="45" s="1"/>
  <c r="M142" i="45" s="1"/>
  <c r="L103" i="22"/>
  <c r="P193" i="1"/>
  <c r="V193" i="1" s="1"/>
  <c r="P35" i="1"/>
  <c r="V35" i="1" s="1"/>
  <c r="X35" i="1" s="1"/>
  <c r="Z35" i="1" s="1"/>
  <c r="U381" i="23"/>
  <c r="U368" i="48"/>
  <c r="U370" i="48"/>
  <c r="P144" i="1"/>
  <c r="P26" i="3"/>
  <c r="P119" i="1"/>
  <c r="P154" i="1"/>
  <c r="V154" i="1" s="1"/>
  <c r="P57" i="1"/>
  <c r="P161" i="1"/>
  <c r="V161" i="1" s="1"/>
  <c r="P42" i="1"/>
  <c r="V43" i="1"/>
  <c r="V42" i="1" s="1"/>
  <c r="P94" i="1"/>
  <c r="P174" i="1"/>
  <c r="M70" i="24"/>
  <c r="N70" i="24" s="1"/>
  <c r="K147" i="31"/>
  <c r="L147" i="31" s="1"/>
  <c r="K148" i="55"/>
  <c r="M148" i="55" s="1"/>
  <c r="J89" i="24"/>
  <c r="U374" i="48"/>
  <c r="H17" i="33"/>
  <c r="G17" i="33" s="1"/>
  <c r="W63" i="23"/>
  <c r="U374" i="23"/>
  <c r="X125" i="3"/>
  <c r="P109" i="31"/>
  <c r="K127" i="31"/>
  <c r="L127" i="31" s="1"/>
  <c r="K128" i="55"/>
  <c r="M128" i="55" s="1"/>
  <c r="V220" i="1"/>
  <c r="V241" i="1"/>
  <c r="G90" i="24"/>
  <c r="J90" i="24" s="1"/>
  <c r="M90" i="24" s="1"/>
  <c r="G88" i="24"/>
  <c r="J88" i="24" s="1"/>
  <c r="M88" i="24" s="1"/>
  <c r="L135" i="45"/>
  <c r="M135" i="45" s="1"/>
  <c r="J150" i="22"/>
  <c r="J149" i="22"/>
  <c r="L134" i="45"/>
  <c r="M134" i="45" s="1"/>
  <c r="V119" i="1"/>
  <c r="V211" i="1"/>
  <c r="V174" i="1"/>
  <c r="V38" i="1"/>
  <c r="V94" i="1"/>
  <c r="P38" i="1"/>
  <c r="V26" i="3"/>
  <c r="X27" i="3"/>
  <c r="AH27" i="3" s="1"/>
  <c r="AJ27" i="3" s="1"/>
  <c r="X118" i="3"/>
  <c r="AH118" i="3" s="1"/>
  <c r="AJ118" i="3" s="1"/>
  <c r="V117" i="3"/>
  <c r="P7" i="3"/>
  <c r="V84" i="1"/>
  <c r="M84" i="24"/>
  <c r="P47" i="23"/>
  <c r="V75" i="1"/>
  <c r="P84" i="1"/>
  <c r="J148" i="22"/>
  <c r="L133" i="45"/>
  <c r="M133" i="45" s="1"/>
  <c r="X38" i="3"/>
  <c r="AH38" i="3" s="1"/>
  <c r="AJ38" i="3" s="1"/>
  <c r="V76" i="3"/>
  <c r="X77" i="3"/>
  <c r="AH77" i="3" s="1"/>
  <c r="AJ77" i="3" s="1"/>
  <c r="V107" i="3"/>
  <c r="X108" i="3"/>
  <c r="AH108" i="3" s="1"/>
  <c r="AJ108" i="3" s="1"/>
  <c r="L145" i="45"/>
  <c r="M145" i="45" s="1"/>
  <c r="X234" i="1"/>
  <c r="P76" i="3"/>
  <c r="P8" i="1"/>
  <c r="V11" i="1"/>
  <c r="P107" i="3"/>
  <c r="Z238" i="1" l="1"/>
  <c r="Y13" i="38"/>
  <c r="Z13" i="38" s="1"/>
  <c r="Z149" i="1"/>
  <c r="X233" i="1"/>
  <c r="M8" i="14"/>
  <c r="L117" i="45"/>
  <c r="M117" i="45" s="1"/>
  <c r="J113" i="22"/>
  <c r="P236" i="1"/>
  <c r="P217" i="1"/>
  <c r="P216" i="1" s="1"/>
  <c r="V236" i="1"/>
  <c r="X148" i="1"/>
  <c r="V147" i="1"/>
  <c r="P147" i="1"/>
  <c r="L80" i="45"/>
  <c r="M80" i="45" s="1"/>
  <c r="F25" i="39"/>
  <c r="G25" i="39"/>
  <c r="K148" i="31"/>
  <c r="L148" i="31" s="1"/>
  <c r="P148" i="31" s="1"/>
  <c r="J138" i="22"/>
  <c r="J123" i="22"/>
  <c r="AD27" i="3"/>
  <c r="AF27" i="3" s="1"/>
  <c r="Z27" i="3"/>
  <c r="AB27" i="3" s="1"/>
  <c r="AD118" i="3"/>
  <c r="AF118" i="3" s="1"/>
  <c r="Z118" i="3"/>
  <c r="AB118" i="3" s="1"/>
  <c r="Z77" i="3"/>
  <c r="AB77" i="3" s="1"/>
  <c r="AD77" i="3"/>
  <c r="AF77" i="3" s="1"/>
  <c r="Z38" i="3"/>
  <c r="AB38" i="3" s="1"/>
  <c r="AD38" i="3"/>
  <c r="AF38" i="3" s="1"/>
  <c r="AD108" i="3"/>
  <c r="AF108" i="3" s="1"/>
  <c r="Z108" i="3"/>
  <c r="AB108" i="3" s="1"/>
  <c r="AF125" i="3"/>
  <c r="AD125" i="3"/>
  <c r="J108" i="22"/>
  <c r="G96" i="24"/>
  <c r="K123" i="31"/>
  <c r="L123" i="31" s="1"/>
  <c r="P123" i="31" s="1"/>
  <c r="K124" i="55"/>
  <c r="M124" i="55" s="1"/>
  <c r="E60" i="24"/>
  <c r="X17" i="33"/>
  <c r="L116" i="45"/>
  <c r="M116" i="45" s="1"/>
  <c r="AH125" i="3"/>
  <c r="J152" i="22"/>
  <c r="L150" i="45"/>
  <c r="M150" i="45" s="1"/>
  <c r="L90" i="45"/>
  <c r="M90" i="45" s="1"/>
  <c r="J116" i="22"/>
  <c r="J128" i="22"/>
  <c r="L119" i="45"/>
  <c r="M119" i="45" s="1"/>
  <c r="J134" i="22"/>
  <c r="J133" i="22"/>
  <c r="J120" i="22"/>
  <c r="J121" i="22"/>
  <c r="L97" i="45"/>
  <c r="M97" i="45" s="1"/>
  <c r="J124" i="22"/>
  <c r="L110" i="22"/>
  <c r="W22" i="23"/>
  <c r="L111" i="45"/>
  <c r="M111" i="45" s="1"/>
  <c r="L115" i="45"/>
  <c r="M115" i="45" s="1"/>
  <c r="L127" i="45"/>
  <c r="M127" i="45" s="1"/>
  <c r="L146" i="22"/>
  <c r="J114" i="22"/>
  <c r="L99" i="45"/>
  <c r="M99" i="45" s="1"/>
  <c r="L107" i="22"/>
  <c r="T6" i="31" s="1"/>
  <c r="L168" i="22"/>
  <c r="L11" i="45"/>
  <c r="M11" i="45" s="1"/>
  <c r="L90" i="22"/>
  <c r="Z234" i="1"/>
  <c r="Z233" i="1" s="1"/>
  <c r="P87" i="3"/>
  <c r="X102" i="3"/>
  <c r="AH102" i="3" s="1"/>
  <c r="AJ102" i="3" s="1"/>
  <c r="X256" i="1"/>
  <c r="Z256" i="1" s="1"/>
  <c r="Z255" i="1" s="1"/>
  <c r="K109" i="55"/>
  <c r="M109" i="55" s="1"/>
  <c r="L138" i="45"/>
  <c r="M138" i="45" s="1"/>
  <c r="Y17" i="33"/>
  <c r="J157" i="22"/>
  <c r="J160" i="22"/>
  <c r="L148" i="45"/>
  <c r="M148" i="45" s="1"/>
  <c r="L95" i="45"/>
  <c r="M95" i="45" s="1"/>
  <c r="J139" i="22"/>
  <c r="J155" i="22"/>
  <c r="J104" i="22"/>
  <c r="L112" i="45"/>
  <c r="M112" i="45" s="1"/>
  <c r="L173" i="22"/>
  <c r="J173" i="22" s="1"/>
  <c r="L89" i="45"/>
  <c r="M89" i="45" s="1"/>
  <c r="J103" i="22"/>
  <c r="L109" i="45"/>
  <c r="M109" i="45" s="1"/>
  <c r="L121" i="45"/>
  <c r="M121" i="45" s="1"/>
  <c r="J115" i="22"/>
  <c r="P15" i="1"/>
  <c r="P7" i="1" s="1"/>
  <c r="V152" i="1"/>
  <c r="P152" i="1"/>
  <c r="P74" i="1"/>
  <c r="P130" i="23"/>
  <c r="S130" i="23" s="1"/>
  <c r="U130" i="23" s="1"/>
  <c r="K108" i="31" s="1"/>
  <c r="L108" i="31" s="1"/>
  <c r="M108" i="31" s="1"/>
  <c r="M89" i="24"/>
  <c r="P62" i="23" s="1"/>
  <c r="S62" i="23" s="1"/>
  <c r="U62" i="23" s="1"/>
  <c r="P151" i="23"/>
  <c r="V216" i="1"/>
  <c r="P147" i="31"/>
  <c r="M147" i="31"/>
  <c r="E95" i="24"/>
  <c r="V74" i="1"/>
  <c r="L153" i="45"/>
  <c r="M153" i="45" s="1"/>
  <c r="J172" i="22"/>
  <c r="M107" i="31"/>
  <c r="P107" i="31"/>
  <c r="H7" i="33"/>
  <c r="G7" i="33" s="1"/>
  <c r="X26" i="3"/>
  <c r="N50" i="46" s="1"/>
  <c r="D50" i="46" s="1"/>
  <c r="I50" i="46" s="1"/>
  <c r="W34" i="23"/>
  <c r="U372" i="48"/>
  <c r="X107" i="3"/>
  <c r="U372" i="23"/>
  <c r="H14" i="33"/>
  <c r="G14" i="33" s="1"/>
  <c r="M56" i="24"/>
  <c r="O9" i="23" s="1"/>
  <c r="E29" i="39"/>
  <c r="Y9" i="38"/>
  <c r="Y8" i="38" s="1"/>
  <c r="G39" i="26"/>
  <c r="S47" i="23"/>
  <c r="U47" i="23" s="1"/>
  <c r="V8" i="1"/>
  <c r="U128" i="23"/>
  <c r="P9" i="23"/>
  <c r="P111" i="23"/>
  <c r="M127" i="31"/>
  <c r="P127" i="31"/>
  <c r="P6" i="3"/>
  <c r="P36" i="3" s="1"/>
  <c r="V7" i="3"/>
  <c r="X89" i="3"/>
  <c r="AH89" i="3" s="1"/>
  <c r="AJ89" i="3" s="1"/>
  <c r="V87" i="3"/>
  <c r="U375" i="48"/>
  <c r="X76" i="3"/>
  <c r="W110" i="48"/>
  <c r="H11" i="33"/>
  <c r="G11" i="33" s="1"/>
  <c r="X117" i="3"/>
  <c r="Y35" i="38" l="1"/>
  <c r="I25" i="39"/>
  <c r="K25" i="39" s="1"/>
  <c r="X147" i="1"/>
  <c r="Z148" i="1"/>
  <c r="Z147" i="1" s="1"/>
  <c r="Z102" i="3"/>
  <c r="AB102" i="3" s="1"/>
  <c r="AD102" i="3"/>
  <c r="AF102" i="3" s="1"/>
  <c r="Z89" i="3"/>
  <c r="AB89" i="3" s="1"/>
  <c r="AD89" i="3"/>
  <c r="AF89" i="3" s="1"/>
  <c r="AB125" i="3"/>
  <c r="Z125" i="3"/>
  <c r="AF107" i="3"/>
  <c r="AD107" i="3"/>
  <c r="AD26" i="3"/>
  <c r="AF26" i="3"/>
  <c r="AF117" i="3"/>
  <c r="AD117" i="3"/>
  <c r="AF76" i="3"/>
  <c r="AD76" i="3"/>
  <c r="H13" i="33"/>
  <c r="G13" i="33" s="1"/>
  <c r="M123" i="31"/>
  <c r="X255" i="1"/>
  <c r="Y39" i="38" s="1"/>
  <c r="X7" i="33"/>
  <c r="X14" i="33"/>
  <c r="X11" i="33"/>
  <c r="AJ125" i="3"/>
  <c r="AH117" i="3"/>
  <c r="AH107" i="3"/>
  <c r="AH76" i="3"/>
  <c r="AH26" i="3"/>
  <c r="L158" i="22"/>
  <c r="J158" i="22" s="1"/>
  <c r="L153" i="22"/>
  <c r="T9" i="31" s="1"/>
  <c r="U380" i="23"/>
  <c r="U380" i="48"/>
  <c r="X100" i="3"/>
  <c r="W90" i="23"/>
  <c r="Y11" i="33"/>
  <c r="Y7" i="33"/>
  <c r="Y14" i="33"/>
  <c r="P6" i="1"/>
  <c r="K110" i="55"/>
  <c r="M110" i="55" s="1"/>
  <c r="F52" i="25"/>
  <c r="F41" i="30" s="1"/>
  <c r="P108" i="31"/>
  <c r="W62" i="23"/>
  <c r="S151" i="23"/>
  <c r="U151" i="23" s="1"/>
  <c r="F21" i="25"/>
  <c r="F21" i="30" s="1"/>
  <c r="K58" i="55"/>
  <c r="M58" i="55" s="1"/>
  <c r="K57" i="31"/>
  <c r="L57" i="31" s="1"/>
  <c r="M96" i="24"/>
  <c r="K45" i="31"/>
  <c r="L45" i="31" s="1"/>
  <c r="K46" i="55"/>
  <c r="M46" i="55" s="1"/>
  <c r="F15" i="25"/>
  <c r="J168" i="22"/>
  <c r="L146" i="45"/>
  <c r="M146" i="45" s="1"/>
  <c r="T39" i="26"/>
  <c r="S21" i="23"/>
  <c r="Z9" i="38"/>
  <c r="S9" i="23"/>
  <c r="V6" i="3"/>
  <c r="X7" i="3"/>
  <c r="AH7" i="3" s="1"/>
  <c r="L131" i="45"/>
  <c r="M131" i="45" s="1"/>
  <c r="J146" i="22"/>
  <c r="J90" i="22"/>
  <c r="L78" i="45"/>
  <c r="M78" i="45" s="1"/>
  <c r="J107" i="22"/>
  <c r="M40" i="46"/>
  <c r="L93" i="45"/>
  <c r="M93" i="45" s="1"/>
  <c r="S111" i="23"/>
  <c r="K108" i="55"/>
  <c r="F51" i="25"/>
  <c r="K106" i="31"/>
  <c r="L96" i="45"/>
  <c r="M96" i="45" s="1"/>
  <c r="J110" i="22"/>
  <c r="W61" i="48"/>
  <c r="X87" i="3"/>
  <c r="U373" i="48"/>
  <c r="H12" i="33"/>
  <c r="G12" i="33" s="1"/>
  <c r="U373" i="23"/>
  <c r="Z7" i="3" l="1"/>
  <c r="AD7" i="3"/>
  <c r="Z107" i="3"/>
  <c r="AB107" i="3"/>
  <c r="AB117" i="3"/>
  <c r="Z117" i="3"/>
  <c r="AB26" i="3"/>
  <c r="Z26" i="3"/>
  <c r="Z76" i="3"/>
  <c r="AB76" i="3"/>
  <c r="AF87" i="3"/>
  <c r="AF100" i="3"/>
  <c r="AD100" i="3"/>
  <c r="Y13" i="33"/>
  <c r="X13" i="33"/>
  <c r="X12" i="33"/>
  <c r="AJ117" i="3"/>
  <c r="AJ26" i="3"/>
  <c r="AJ76" i="3"/>
  <c r="AJ107" i="3"/>
  <c r="M42" i="46"/>
  <c r="T8" i="31"/>
  <c r="L136" i="45"/>
  <c r="M136" i="45" s="1"/>
  <c r="AH100" i="3"/>
  <c r="AH87" i="3"/>
  <c r="L102" i="22"/>
  <c r="T5" i="31" s="1"/>
  <c r="Y12" i="33"/>
  <c r="P57" i="31"/>
  <c r="M57" i="31"/>
  <c r="K129" i="55"/>
  <c r="M129" i="55" s="1"/>
  <c r="K128" i="31"/>
  <c r="L128" i="31" s="1"/>
  <c r="F58" i="25"/>
  <c r="Z8" i="38"/>
  <c r="E23" i="39"/>
  <c r="E22" i="39" s="1"/>
  <c r="AC9" i="38"/>
  <c r="U21" i="23"/>
  <c r="F10" i="46"/>
  <c r="F11" i="46" s="1"/>
  <c r="V36" i="3"/>
  <c r="U111" i="23"/>
  <c r="W111" i="23" s="1"/>
  <c r="J153" i="22"/>
  <c r="L139" i="45"/>
  <c r="M139" i="45" s="1"/>
  <c r="M43" i="46"/>
  <c r="U9" i="23"/>
  <c r="U370" i="23" s="1"/>
  <c r="L106" i="31"/>
  <c r="H6" i="33"/>
  <c r="G6" i="33" s="1"/>
  <c r="X6" i="3"/>
  <c r="F15" i="30"/>
  <c r="M108" i="55"/>
  <c r="P45" i="31"/>
  <c r="M45" i="31"/>
  <c r="AB87" i="3" l="1"/>
  <c r="Z87" i="3"/>
  <c r="AD87" i="3"/>
  <c r="AB100" i="3"/>
  <c r="Z100" i="3"/>
  <c r="X6" i="33"/>
  <c r="X8" i="33" s="1"/>
  <c r="AJ87" i="3"/>
  <c r="AJ100" i="3"/>
  <c r="AH6" i="3"/>
  <c r="AH36" i="3" s="1"/>
  <c r="AJ7" i="3"/>
  <c r="Y6" i="33"/>
  <c r="Y8" i="33" s="1"/>
  <c r="M128" i="31"/>
  <c r="P128" i="31"/>
  <c r="K7" i="31"/>
  <c r="L7" i="31" s="1"/>
  <c r="F7" i="25"/>
  <c r="K7" i="55"/>
  <c r="U7" i="55"/>
  <c r="U9" i="55" s="1"/>
  <c r="U10" i="55" s="1"/>
  <c r="J102" i="22"/>
  <c r="L88" i="45"/>
  <c r="M88" i="45" s="1"/>
  <c r="M39" i="46"/>
  <c r="F13" i="46"/>
  <c r="F12" i="46"/>
  <c r="P106" i="31"/>
  <c r="M106" i="31"/>
  <c r="C41" i="46"/>
  <c r="N49" i="46"/>
  <c r="D49" i="46" s="1"/>
  <c r="I49" i="46" s="1"/>
  <c r="X36" i="3"/>
  <c r="H8" i="33"/>
  <c r="U375" i="23"/>
  <c r="F39" i="25"/>
  <c r="K103" i="55"/>
  <c r="K99" i="31"/>
  <c r="F33" i="25"/>
  <c r="K20" i="55"/>
  <c r="K19" i="31"/>
  <c r="E27" i="39"/>
  <c r="E31" i="39" s="1"/>
  <c r="AF7" i="3" l="1"/>
  <c r="AF6" i="3" s="1"/>
  <c r="AF36" i="3" s="1"/>
  <c r="AD6" i="3"/>
  <c r="AD36" i="3" s="1"/>
  <c r="AJ6" i="3"/>
  <c r="AJ36" i="3" s="1"/>
  <c r="F36" i="30"/>
  <c r="F28" i="30"/>
  <c r="K6" i="31"/>
  <c r="L99" i="31"/>
  <c r="K62" i="31"/>
  <c r="K63" i="55"/>
  <c r="M103" i="55"/>
  <c r="M63" i="55" s="1"/>
  <c r="G8" i="33"/>
  <c r="K6" i="55"/>
  <c r="M7" i="55"/>
  <c r="D41" i="46"/>
  <c r="E41" i="46" s="1"/>
  <c r="F7" i="30"/>
  <c r="K8" i="55"/>
  <c r="M20" i="55"/>
  <c r="M8" i="55" s="1"/>
  <c r="S8" i="33"/>
  <c r="AC8" i="33"/>
  <c r="H34" i="33"/>
  <c r="K8" i="31"/>
  <c r="L19" i="31"/>
  <c r="N51" i="46"/>
  <c r="Z6" i="3" l="1"/>
  <c r="Z36" i="3" s="1"/>
  <c r="AB7" i="3"/>
  <c r="AB6" i="3" s="1"/>
  <c r="AB36" i="3" s="1"/>
  <c r="M6" i="55"/>
  <c r="AB8" i="33"/>
  <c r="P7" i="31"/>
  <c r="M7" i="31"/>
  <c r="L6" i="31"/>
  <c r="P99" i="31"/>
  <c r="L62" i="31"/>
  <c r="P62" i="31" s="1"/>
  <c r="M99" i="31"/>
  <c r="M62" i="31" s="1"/>
  <c r="D51" i="46"/>
  <c r="I51" i="46" s="1"/>
  <c r="L8" i="31"/>
  <c r="P8" i="31" s="1"/>
  <c r="M19" i="31"/>
  <c r="M8" i="31" s="1"/>
  <c r="P19" i="31"/>
  <c r="M6" i="31" l="1"/>
  <c r="P6" i="31"/>
  <c r="W18" i="23" l="1"/>
  <c r="W16" i="23" l="1"/>
  <c r="W15" i="23" l="1"/>
  <c r="W14" i="23" l="1"/>
  <c r="O347" i="23" l="1"/>
  <c r="O346" i="23" s="1"/>
  <c r="L362" i="23"/>
  <c r="O344" i="23" l="1"/>
  <c r="O343" i="23" s="1"/>
  <c r="O323" i="23" s="1"/>
  <c r="O301" i="23" s="1"/>
  <c r="O300" i="23" s="1"/>
  <c r="O3" i="23"/>
  <c r="O8" i="23"/>
  <c r="L5" i="23"/>
  <c r="O242" i="23" l="1"/>
  <c r="O184" i="23" s="1"/>
  <c r="O183" i="23" s="1"/>
  <c r="O362" i="23"/>
  <c r="U358" i="23"/>
  <c r="K314" i="31"/>
  <c r="L314" i="31" s="1"/>
  <c r="K316" i="55"/>
  <c r="M316" i="55" s="1"/>
  <c r="O177" i="23" l="1"/>
  <c r="O127" i="23" s="1"/>
  <c r="O75" i="23" s="1"/>
  <c r="O10" i="23" s="1"/>
  <c r="O7" i="23" s="1"/>
  <c r="O360" i="23" s="1"/>
  <c r="O361" i="23"/>
  <c r="M314" i="31"/>
  <c r="P314" i="31"/>
  <c r="O349" i="23" l="1"/>
  <c r="O5" i="23" s="1"/>
  <c r="L167" i="1"/>
  <c r="X167" i="1" s="1"/>
  <c r="Z167" i="1" s="1"/>
  <c r="Q347" i="23" l="1"/>
  <c r="Q346" i="23" s="1"/>
  <c r="L250" i="1"/>
  <c r="X250" i="1" s="1"/>
  <c r="Z250" i="1" l="1"/>
  <c r="M21" i="14"/>
  <c r="Q344" i="23"/>
  <c r="Q343" i="23" s="1"/>
  <c r="Q323" i="23" s="1"/>
  <c r="Q301" i="23" s="1"/>
  <c r="Q300" i="23" s="1"/>
  <c r="N347" i="23"/>
  <c r="N346" i="23" s="1"/>
  <c r="Y25" i="38"/>
  <c r="Z25" i="38" s="1"/>
  <c r="AC25" i="38" s="1"/>
  <c r="N344" i="23" l="1"/>
  <c r="N343" i="23" s="1"/>
  <c r="N323" i="23" s="1"/>
  <c r="N301" i="23" s="1"/>
  <c r="N300" i="23" s="1"/>
  <c r="Q242" i="23"/>
  <c r="Q184" i="23" s="1"/>
  <c r="Q183" i="23" s="1"/>
  <c r="Q362" i="23"/>
  <c r="L27" i="1"/>
  <c r="X27" i="1" s="1"/>
  <c r="Z27" i="1" s="1"/>
  <c r="L188" i="1"/>
  <c r="X188" i="1" s="1"/>
  <c r="Z188" i="1" s="1"/>
  <c r="L138" i="1"/>
  <c r="X138" i="1" s="1"/>
  <c r="Z138" i="1" s="1"/>
  <c r="L132" i="1"/>
  <c r="X132" i="1" s="1"/>
  <c r="Z132" i="1" s="1"/>
  <c r="L208" i="1"/>
  <c r="X208" i="1" s="1"/>
  <c r="L166" i="1"/>
  <c r="X166" i="1" s="1"/>
  <c r="Z166" i="1" s="1"/>
  <c r="L193" i="1"/>
  <c r="X193" i="1" s="1"/>
  <c r="Z193" i="1" s="1"/>
  <c r="L204" i="1"/>
  <c r="X204" i="1" s="1"/>
  <c r="Z204" i="1" s="1"/>
  <c r="L121" i="1"/>
  <c r="X121" i="1" s="1"/>
  <c r="Z121" i="1" s="1"/>
  <c r="L154" i="1"/>
  <c r="X154" i="1" s="1"/>
  <c r="Z154" i="1" s="1"/>
  <c r="L158" i="1"/>
  <c r="X158" i="1" s="1"/>
  <c r="Z158" i="1" s="1"/>
  <c r="L186" i="1"/>
  <c r="X186" i="1" s="1"/>
  <c r="Z186" i="1" s="1"/>
  <c r="L25" i="1"/>
  <c r="X25" i="1" s="1"/>
  <c r="L123" i="1"/>
  <c r="X123" i="1" s="1"/>
  <c r="Z123" i="1" s="1"/>
  <c r="L64" i="1"/>
  <c r="X64" i="1" s="1"/>
  <c r="Z64" i="1" s="1"/>
  <c r="L104" i="1"/>
  <c r="X104" i="1" s="1"/>
  <c r="Z104" i="1" s="1"/>
  <c r="L108" i="1"/>
  <c r="X108" i="1" s="1"/>
  <c r="Z108" i="1" s="1"/>
  <c r="L51" i="1"/>
  <c r="X51" i="1" s="1"/>
  <c r="Z51" i="1" s="1"/>
  <c r="L56" i="1"/>
  <c r="X56" i="1" s="1"/>
  <c r="Z56" i="1" s="1"/>
  <c r="L199" i="1"/>
  <c r="X199" i="1" s="1"/>
  <c r="Z199" i="1" s="1"/>
  <c r="L12" i="1"/>
  <c r="X12" i="1" s="1"/>
  <c r="Z12" i="1" s="1"/>
  <c r="L129" i="1"/>
  <c r="X129" i="1" s="1"/>
  <c r="Z129" i="1" s="1"/>
  <c r="L102" i="1"/>
  <c r="X102" i="1" s="1"/>
  <c r="Z102" i="1" s="1"/>
  <c r="L45" i="1"/>
  <c r="X45" i="1" s="1"/>
  <c r="L115" i="1"/>
  <c r="X115" i="1" s="1"/>
  <c r="L165" i="1"/>
  <c r="X165" i="1" s="1"/>
  <c r="Z165" i="1" s="1"/>
  <c r="L17" i="1"/>
  <c r="X17" i="1" s="1"/>
  <c r="Z17" i="1" s="1"/>
  <c r="L87" i="1"/>
  <c r="X87" i="1" s="1"/>
  <c r="Z87" i="1" s="1"/>
  <c r="L11" i="1"/>
  <c r="X11" i="1" s="1"/>
  <c r="L20" i="1"/>
  <c r="X20" i="1" s="1"/>
  <c r="Z20" i="1" s="1"/>
  <c r="L179" i="1"/>
  <c r="X179" i="1" s="1"/>
  <c r="L40" i="1"/>
  <c r="X40" i="1" s="1"/>
  <c r="Z40" i="1" s="1"/>
  <c r="L111" i="1"/>
  <c r="X111" i="1" s="1"/>
  <c r="Z111" i="1" s="1"/>
  <c r="L184" i="1"/>
  <c r="X184" i="1" s="1"/>
  <c r="Z184" i="1" s="1"/>
  <c r="L197" i="1"/>
  <c r="X197" i="1" s="1"/>
  <c r="Z197" i="1" s="1"/>
  <c r="L19" i="1"/>
  <c r="X19" i="1" s="1"/>
  <c r="Z19" i="1" s="1"/>
  <c r="L178" i="1"/>
  <c r="X178" i="1" s="1"/>
  <c r="L168" i="1"/>
  <c r="X168" i="1" s="1"/>
  <c r="Z168" i="1" s="1"/>
  <c r="L48" i="1"/>
  <c r="X48" i="1" s="1"/>
  <c r="L105" i="1"/>
  <c r="X105" i="1" s="1"/>
  <c r="Z105" i="1" s="1"/>
  <c r="L30" i="1"/>
  <c r="X30" i="1" s="1"/>
  <c r="Z30" i="1" s="1"/>
  <c r="L128" i="1"/>
  <c r="X128" i="1" s="1"/>
  <c r="Z128" i="1" s="1"/>
  <c r="L93" i="1"/>
  <c r="X93" i="1" s="1"/>
  <c r="Z93" i="1" s="1"/>
  <c r="L73" i="1"/>
  <c r="V31" i="12" s="1"/>
  <c r="L109" i="1"/>
  <c r="X109" i="1" s="1"/>
  <c r="Z109" i="1" s="1"/>
  <c r="L176" i="1"/>
  <c r="X176" i="1" s="1"/>
  <c r="Z176" i="1" s="1"/>
  <c r="L162" i="1"/>
  <c r="X162" i="1" s="1"/>
  <c r="Z162" i="1" s="1"/>
  <c r="L49" i="1"/>
  <c r="X49" i="1" s="1"/>
  <c r="L171" i="1"/>
  <c r="X171" i="1" s="1"/>
  <c r="Z171" i="1" s="1"/>
  <c r="L203" i="1"/>
  <c r="X203" i="1" s="1"/>
  <c r="Z203" i="1" s="1"/>
  <c r="L164" i="1"/>
  <c r="X164" i="1" s="1"/>
  <c r="Z164" i="1" s="1"/>
  <c r="L170" i="1"/>
  <c r="X170" i="1" s="1"/>
  <c r="Z170" i="1" s="1"/>
  <c r="L18" i="1"/>
  <c r="X18" i="1" s="1"/>
  <c r="L62" i="1"/>
  <c r="X62" i="1" s="1"/>
  <c r="Z62" i="1" s="1"/>
  <c r="L112" i="1"/>
  <c r="X112" i="1" s="1"/>
  <c r="L28" i="1"/>
  <c r="X28" i="1" s="1"/>
  <c r="Z28" i="1" s="1"/>
  <c r="L136" i="1"/>
  <c r="X136" i="1" s="1"/>
  <c r="Z136" i="1" s="1"/>
  <c r="L44" i="1"/>
  <c r="X44" i="1" s="1"/>
  <c r="L198" i="1"/>
  <c r="X198" i="1" s="1"/>
  <c r="Z198" i="1" s="1"/>
  <c r="L55" i="1"/>
  <c r="L161" i="1"/>
  <c r="X161" i="1" s="1"/>
  <c r="Z161" i="1" s="1"/>
  <c r="L33" i="1"/>
  <c r="X33" i="1" s="1"/>
  <c r="L46" i="1"/>
  <c r="X46" i="1" s="1"/>
  <c r="L173" i="1"/>
  <c r="X173" i="1" s="1"/>
  <c r="Z173" i="1" s="1"/>
  <c r="L96" i="1"/>
  <c r="X96" i="1" s="1"/>
  <c r="L194" i="1"/>
  <c r="X194" i="1" s="1"/>
  <c r="Z194" i="1" s="1"/>
  <c r="L114" i="1"/>
  <c r="X114" i="1" s="1"/>
  <c r="L26" i="1"/>
  <c r="L219" i="1"/>
  <c r="X219" i="1" s="1"/>
  <c r="L84" i="22" s="1"/>
  <c r="L139" i="1"/>
  <c r="X139" i="1" s="1"/>
  <c r="Z139" i="1" s="1"/>
  <c r="L110" i="1"/>
  <c r="X110" i="1" s="1"/>
  <c r="Z110" i="1" s="1"/>
  <c r="L47" i="1"/>
  <c r="X47" i="1" s="1"/>
  <c r="L157" i="1"/>
  <c r="X157" i="1" s="1"/>
  <c r="Z157" i="1" s="1"/>
  <c r="L140" i="1"/>
  <c r="X140" i="1" s="1"/>
  <c r="Z140" i="1" s="1"/>
  <c r="L68" i="1"/>
  <c r="X68" i="1" s="1"/>
  <c r="Z68" i="1" s="1"/>
  <c r="L65" i="1"/>
  <c r="X65" i="1" s="1"/>
  <c r="Z65" i="1" s="1"/>
  <c r="L98" i="1"/>
  <c r="X98" i="1" s="1"/>
  <c r="L155" i="1"/>
  <c r="X155" i="1" s="1"/>
  <c r="Z155" i="1" s="1"/>
  <c r="L127" i="1"/>
  <c r="X127" i="1" s="1"/>
  <c r="Z127" i="1" s="1"/>
  <c r="L135" i="1"/>
  <c r="X135" i="1" s="1"/>
  <c r="Z135" i="1" s="1"/>
  <c r="L107" i="1"/>
  <c r="X107" i="1" s="1"/>
  <c r="Z107" i="1" s="1"/>
  <c r="L131" i="1"/>
  <c r="X131" i="1" s="1"/>
  <c r="Z131" i="1" s="1"/>
  <c r="L106" i="1"/>
  <c r="X106" i="1" s="1"/>
  <c r="Z106" i="1" s="1"/>
  <c r="L122" i="1"/>
  <c r="X122" i="1" s="1"/>
  <c r="Z122" i="1" s="1"/>
  <c r="L185" i="1"/>
  <c r="X185" i="1" s="1"/>
  <c r="Z185" i="1" s="1"/>
  <c r="L83" i="1"/>
  <c r="X83" i="1" s="1"/>
  <c r="Z83" i="1" s="1"/>
  <c r="L200" i="1"/>
  <c r="X200" i="1" s="1"/>
  <c r="Z200" i="1" s="1"/>
  <c r="L97" i="1"/>
  <c r="X97" i="1" s="1"/>
  <c r="L137" i="1"/>
  <c r="X137" i="1" s="1"/>
  <c r="Z137" i="1" s="1"/>
  <c r="L66" i="1"/>
  <c r="X66" i="1" s="1"/>
  <c r="Z66" i="1" s="1"/>
  <c r="L100" i="1"/>
  <c r="X100" i="1" s="1"/>
  <c r="Z100" i="1" s="1"/>
  <c r="L60" i="1"/>
  <c r="X60" i="1" s="1"/>
  <c r="Z60" i="1" s="1"/>
  <c r="L125" i="1"/>
  <c r="X125" i="1" s="1"/>
  <c r="Z125" i="1" s="1"/>
  <c r="L160" i="1"/>
  <c r="X160" i="1" s="1"/>
  <c r="Z160" i="1" s="1"/>
  <c r="L187" i="1"/>
  <c r="X187" i="1" s="1"/>
  <c r="Z187" i="1" s="1"/>
  <c r="L126" i="1"/>
  <c r="X126" i="1" s="1"/>
  <c r="Z126" i="1" s="1"/>
  <c r="L177" i="1"/>
  <c r="X177" i="1" s="1"/>
  <c r="L89" i="1"/>
  <c r="X89" i="1" s="1"/>
  <c r="Z89" i="1" s="1"/>
  <c r="L156" i="1"/>
  <c r="X156" i="1" s="1"/>
  <c r="Z156" i="1" s="1"/>
  <c r="L50" i="1"/>
  <c r="X50" i="1" s="1"/>
  <c r="L101" i="1"/>
  <c r="X101" i="1" s="1"/>
  <c r="Z101" i="1" s="1"/>
  <c r="L22" i="1"/>
  <c r="X22" i="1" s="1"/>
  <c r="Z22" i="1" s="1"/>
  <c r="L54" i="1"/>
  <c r="L99" i="1"/>
  <c r="X99" i="1" s="1"/>
  <c r="L207" i="1"/>
  <c r="X207" i="1" s="1"/>
  <c r="Z207" i="1" s="1"/>
  <c r="L113" i="1"/>
  <c r="X113" i="1" s="1"/>
  <c r="L103" i="1"/>
  <c r="X103" i="1" s="1"/>
  <c r="Z103" i="1" s="1"/>
  <c r="L180" i="1"/>
  <c r="X180" i="1" s="1"/>
  <c r="Z180" i="1" s="1"/>
  <c r="L69" i="1"/>
  <c r="X69" i="1" s="1"/>
  <c r="Z69" i="1" s="1"/>
  <c r="L59" i="1"/>
  <c r="X59" i="1" s="1"/>
  <c r="Z59" i="1" s="1"/>
  <c r="L163" i="1"/>
  <c r="X163" i="1" s="1"/>
  <c r="Z163" i="1" s="1"/>
  <c r="L36" i="1"/>
  <c r="X36" i="1" s="1"/>
  <c r="L205" i="1"/>
  <c r="X205" i="1" s="1"/>
  <c r="Z205" i="1" s="1"/>
  <c r="L202" i="1"/>
  <c r="X202" i="1" s="1"/>
  <c r="Z202" i="1" s="1"/>
  <c r="L77" i="1"/>
  <c r="X77" i="1" s="1"/>
  <c r="L21" i="1"/>
  <c r="X21" i="1" s="1"/>
  <c r="Z21" i="1" s="1"/>
  <c r="L134" i="1"/>
  <c r="X134" i="1" s="1"/>
  <c r="Z134" i="1" s="1"/>
  <c r="L201" i="1"/>
  <c r="X201" i="1" s="1"/>
  <c r="Z201" i="1" s="1"/>
  <c r="L61" i="1"/>
  <c r="X61" i="1" s="1"/>
  <c r="L124" i="1"/>
  <c r="X124" i="1" s="1"/>
  <c r="Z124" i="1" s="1"/>
  <c r="L82" i="1"/>
  <c r="X82" i="1" s="1"/>
  <c r="L88" i="1"/>
  <c r="X88" i="1" s="1"/>
  <c r="Z88" i="1" s="1"/>
  <c r="L169" i="1"/>
  <c r="X169" i="1" s="1"/>
  <c r="Z169" i="1" s="1"/>
  <c r="L210" i="1"/>
  <c r="X210" i="1" s="1"/>
  <c r="L63" i="1"/>
  <c r="X63" i="1" s="1"/>
  <c r="Z63" i="1" s="1"/>
  <c r="S215" i="1" l="1"/>
  <c r="V215" i="1" s="1"/>
  <c r="X215" i="1" s="1"/>
  <c r="Z215" i="1" s="1"/>
  <c r="V50" i="12"/>
  <c r="Q177" i="23"/>
  <c r="Q127" i="23" s="1"/>
  <c r="Q75" i="23" s="1"/>
  <c r="Q10" i="23" s="1"/>
  <c r="Q8" i="23" s="1"/>
  <c r="Q7" i="23" s="1"/>
  <c r="Q360" i="23" s="1"/>
  <c r="Q361" i="23"/>
  <c r="N242" i="23"/>
  <c r="N184" i="23" s="1"/>
  <c r="N183" i="23" s="1"/>
  <c r="N362" i="23"/>
  <c r="L57" i="22"/>
  <c r="J57" i="22" s="1"/>
  <c r="Z112" i="1"/>
  <c r="L78" i="22"/>
  <c r="J78" i="22" s="1"/>
  <c r="Z179" i="1"/>
  <c r="L27" i="22"/>
  <c r="J27" i="22" s="1"/>
  <c r="Z61" i="1"/>
  <c r="L39" i="22"/>
  <c r="L35" i="45" s="1"/>
  <c r="M35" i="45" s="1"/>
  <c r="Z98" i="1"/>
  <c r="J84" i="22"/>
  <c r="Z219" i="1"/>
  <c r="L77" i="22"/>
  <c r="J77" i="22" s="1"/>
  <c r="Z178" i="1"/>
  <c r="L72" i="22"/>
  <c r="J72" i="22" s="1"/>
  <c r="Z208" i="1"/>
  <c r="L38" i="22"/>
  <c r="L34" i="45" s="1"/>
  <c r="M34" i="45" s="1"/>
  <c r="Z97" i="1"/>
  <c r="L74" i="22"/>
  <c r="L155" i="45" s="1"/>
  <c r="M155" i="45" s="1"/>
  <c r="Z210" i="1"/>
  <c r="L59" i="22"/>
  <c r="J59" i="22" s="1"/>
  <c r="Z114" i="1"/>
  <c r="L28" i="22"/>
  <c r="L52" i="45" s="1"/>
  <c r="M52" i="45" s="1"/>
  <c r="Z77" i="1"/>
  <c r="L58" i="22"/>
  <c r="L29" i="45" s="1"/>
  <c r="M29" i="45" s="1"/>
  <c r="Z113" i="1"/>
  <c r="L40" i="22"/>
  <c r="J40" i="22" s="1"/>
  <c r="Z99" i="1"/>
  <c r="L30" i="22"/>
  <c r="J30" i="22" s="1"/>
  <c r="Z82" i="1"/>
  <c r="L76" i="22"/>
  <c r="J76" i="22" s="1"/>
  <c r="Z177" i="1"/>
  <c r="L37" i="22"/>
  <c r="J37" i="22" s="1"/>
  <c r="Z96" i="1"/>
  <c r="L60" i="22"/>
  <c r="L31" i="45" s="1"/>
  <c r="M31" i="45" s="1"/>
  <c r="Z115" i="1"/>
  <c r="L18" i="22"/>
  <c r="J18" i="22" s="1"/>
  <c r="Z46" i="1"/>
  <c r="L19" i="22"/>
  <c r="L24" i="45" s="1"/>
  <c r="M24" i="45" s="1"/>
  <c r="Z47" i="1"/>
  <c r="L21" i="22"/>
  <c r="J21" i="22" s="1"/>
  <c r="Z49" i="1"/>
  <c r="L17" i="22"/>
  <c r="L22" i="45" s="1"/>
  <c r="M22" i="45" s="1"/>
  <c r="Z45" i="1"/>
  <c r="L20" i="22"/>
  <c r="J20" i="22" s="1"/>
  <c r="Z48" i="1"/>
  <c r="L22" i="22"/>
  <c r="L27" i="45" s="1"/>
  <c r="M27" i="45" s="1"/>
  <c r="Z50" i="1"/>
  <c r="L16" i="22"/>
  <c r="J16" i="22" s="1"/>
  <c r="Z44" i="1"/>
  <c r="L13" i="22"/>
  <c r="J13" i="22" s="1"/>
  <c r="Z36" i="1"/>
  <c r="L12" i="22"/>
  <c r="J12" i="22" s="1"/>
  <c r="Z33" i="1"/>
  <c r="L14" i="22"/>
  <c r="L10" i="45" s="1"/>
  <c r="M10" i="45" s="1"/>
  <c r="Z25" i="1"/>
  <c r="L9" i="22"/>
  <c r="L7" i="45" s="1"/>
  <c r="M7" i="45" s="1"/>
  <c r="Z18" i="1"/>
  <c r="L6" i="22"/>
  <c r="L3" i="45" s="1"/>
  <c r="M3" i="45" s="1"/>
  <c r="Z11" i="1"/>
  <c r="L42" i="22"/>
  <c r="J42" i="22" s="1"/>
  <c r="L8" i="22"/>
  <c r="L6" i="45" s="1"/>
  <c r="M6" i="45" s="1"/>
  <c r="L52" i="22"/>
  <c r="L45" i="22"/>
  <c r="L41" i="45" s="1"/>
  <c r="M41" i="45" s="1"/>
  <c r="L41" i="22"/>
  <c r="J41" i="22" s="1"/>
  <c r="L43" i="22"/>
  <c r="L75" i="22"/>
  <c r="L66" i="22"/>
  <c r="L25" i="22"/>
  <c r="L67" i="22"/>
  <c r="L49" i="22"/>
  <c r="L70" i="22"/>
  <c r="L31" i="22"/>
  <c r="J31" i="22" s="1"/>
  <c r="L44" i="22"/>
  <c r="L40" i="45" s="1"/>
  <c r="M40" i="45" s="1"/>
  <c r="L51" i="22"/>
  <c r="L46" i="22"/>
  <c r="S55" i="1"/>
  <c r="V55" i="1" s="1"/>
  <c r="X55" i="1" s="1"/>
  <c r="Z55" i="1" s="1"/>
  <c r="DR28" i="11"/>
  <c r="L85" i="1"/>
  <c r="V32" i="12"/>
  <c r="S26" i="1" s="1"/>
  <c r="S73" i="1"/>
  <c r="V73" i="1" s="1"/>
  <c r="X73" i="1" s="1"/>
  <c r="Z73" i="1" s="1"/>
  <c r="L183" i="1"/>
  <c r="DT28" i="11"/>
  <c r="DR34" i="11"/>
  <c r="G18" i="17"/>
  <c r="G72" i="17" s="1"/>
  <c r="L245" i="1"/>
  <c r="X245" i="1" s="1"/>
  <c r="M16" i="14" s="1"/>
  <c r="G17" i="26"/>
  <c r="T17" i="26" s="1"/>
  <c r="L58" i="1"/>
  <c r="L86" i="1"/>
  <c r="X86" i="1" s="1"/>
  <c r="L41" i="1"/>
  <c r="X41" i="1" s="1"/>
  <c r="Z41" i="1" s="1"/>
  <c r="G12" i="17"/>
  <c r="G66" i="17" s="1"/>
  <c r="L239" i="1"/>
  <c r="X239" i="1" s="1"/>
  <c r="M11" i="14" s="1"/>
  <c r="G20" i="17"/>
  <c r="G74" i="17" s="1"/>
  <c r="L247" i="1"/>
  <c r="X247" i="1" s="1"/>
  <c r="M18" i="14" s="1"/>
  <c r="DS28" i="11"/>
  <c r="L120" i="1"/>
  <c r="I94" i="1"/>
  <c r="L95" i="1"/>
  <c r="G17" i="17"/>
  <c r="G71" i="17" s="1"/>
  <c r="L244" i="1"/>
  <c r="X244" i="1" s="1"/>
  <c r="G21" i="17"/>
  <c r="G75" i="17" s="1"/>
  <c r="L248" i="1"/>
  <c r="X248" i="1" s="1"/>
  <c r="I236" i="1"/>
  <c r="L237" i="1"/>
  <c r="I38" i="1"/>
  <c r="L39" i="1"/>
  <c r="G22" i="17"/>
  <c r="G76" i="17" s="1"/>
  <c r="L249" i="1"/>
  <c r="X249" i="1" s="1"/>
  <c r="I251" i="1"/>
  <c r="G24" i="17"/>
  <c r="L252" i="1"/>
  <c r="G25" i="17"/>
  <c r="G79" i="17" s="1"/>
  <c r="G120" i="17" s="1"/>
  <c r="G121" i="17" s="1"/>
  <c r="L253" i="1"/>
  <c r="X253" i="1" s="1"/>
  <c r="M23" i="14" s="1"/>
  <c r="G16" i="17"/>
  <c r="G70" i="17" s="1"/>
  <c r="L243" i="1"/>
  <c r="X243" i="1" s="1"/>
  <c r="M14" i="14" s="1"/>
  <c r="I152" i="1"/>
  <c r="L153" i="1"/>
  <c r="I52" i="1"/>
  <c r="L53" i="1"/>
  <c r="L14" i="1"/>
  <c r="M20" i="14" l="1"/>
  <c r="Y24" i="38"/>
  <c r="G25" i="33" s="1"/>
  <c r="Z244" i="1"/>
  <c r="M15" i="14"/>
  <c r="Z248" i="1"/>
  <c r="M19" i="14"/>
  <c r="L157" i="45"/>
  <c r="M157" i="45" s="1"/>
  <c r="Q349" i="23"/>
  <c r="Q5" i="23" s="1"/>
  <c r="N177" i="23"/>
  <c r="N127" i="23" s="1"/>
  <c r="N75" i="23" s="1"/>
  <c r="N10" i="23" s="1"/>
  <c r="N8" i="23" s="1"/>
  <c r="N7" i="23" s="1"/>
  <c r="N360" i="23" s="1"/>
  <c r="N361" i="23"/>
  <c r="L28" i="45"/>
  <c r="M28" i="45" s="1"/>
  <c r="L65" i="45"/>
  <c r="M65" i="45" s="1"/>
  <c r="L66" i="45"/>
  <c r="M66" i="45" s="1"/>
  <c r="L68" i="45"/>
  <c r="M68" i="45" s="1"/>
  <c r="L30" i="45"/>
  <c r="M30" i="45" s="1"/>
  <c r="L72" i="45"/>
  <c r="M72" i="45" s="1"/>
  <c r="J58" i="22"/>
  <c r="L53" i="45"/>
  <c r="M53" i="45" s="1"/>
  <c r="L25" i="45"/>
  <c r="M25" i="45" s="1"/>
  <c r="J28" i="22"/>
  <c r="L16" i="45"/>
  <c r="M16" i="45" s="1"/>
  <c r="L23" i="45"/>
  <c r="M23" i="45" s="1"/>
  <c r="J74" i="22"/>
  <c r="L36" i="45"/>
  <c r="M36" i="45" s="1"/>
  <c r="L33" i="45"/>
  <c r="M33" i="45" s="1"/>
  <c r="L50" i="45"/>
  <c r="M50" i="45" s="1"/>
  <c r="J17" i="22"/>
  <c r="J60" i="22"/>
  <c r="L26" i="45"/>
  <c r="M26" i="45" s="1"/>
  <c r="J9" i="22"/>
  <c r="L21" i="45"/>
  <c r="M21" i="45" s="1"/>
  <c r="L95" i="22"/>
  <c r="J95" i="22" s="1"/>
  <c r="Z243" i="1"/>
  <c r="L94" i="22"/>
  <c r="J94" i="22" s="1"/>
  <c r="Z239" i="1"/>
  <c r="L99" i="22"/>
  <c r="J99" i="22" s="1"/>
  <c r="Z249" i="1"/>
  <c r="J14" i="22"/>
  <c r="L101" i="22"/>
  <c r="J101" i="22" s="1"/>
  <c r="Z253" i="1"/>
  <c r="Z86" i="1"/>
  <c r="J19" i="22"/>
  <c r="J22" i="22"/>
  <c r="J39" i="22"/>
  <c r="J38" i="22"/>
  <c r="L64" i="45"/>
  <c r="M64" i="45" s="1"/>
  <c r="L98" i="22"/>
  <c r="J98" i="22" s="1"/>
  <c r="Z247" i="1"/>
  <c r="L96" i="22"/>
  <c r="J96" i="22" s="1"/>
  <c r="Z245" i="1"/>
  <c r="J6" i="22"/>
  <c r="L38" i="45"/>
  <c r="M38" i="45" s="1"/>
  <c r="L37" i="45"/>
  <c r="M37" i="45" s="1"/>
  <c r="J45" i="22"/>
  <c r="J8" i="22"/>
  <c r="J44" i="22"/>
  <c r="J46" i="22"/>
  <c r="L42" i="45"/>
  <c r="M42" i="45" s="1"/>
  <c r="J67" i="22"/>
  <c r="L63" i="45"/>
  <c r="M63" i="45" s="1"/>
  <c r="L45" i="45"/>
  <c r="M45" i="45" s="1"/>
  <c r="J49" i="22"/>
  <c r="J25" i="22"/>
  <c r="L17" i="45"/>
  <c r="M17" i="45" s="1"/>
  <c r="L48" i="45"/>
  <c r="M48" i="45" s="1"/>
  <c r="J51" i="22"/>
  <c r="J52" i="22"/>
  <c r="L49" i="45"/>
  <c r="M49" i="45" s="1"/>
  <c r="J75" i="22"/>
  <c r="L156" i="45"/>
  <c r="M156" i="45" s="1"/>
  <c r="J70" i="22"/>
  <c r="L61" i="45"/>
  <c r="M61" i="45" s="1"/>
  <c r="L59" i="45"/>
  <c r="M59" i="45" s="1"/>
  <c r="J66" i="22"/>
  <c r="J43" i="22"/>
  <c r="L39" i="45"/>
  <c r="M39" i="45" s="1"/>
  <c r="I15" i="1"/>
  <c r="L16" i="1"/>
  <c r="L84" i="1"/>
  <c r="X85" i="1"/>
  <c r="I220" i="1"/>
  <c r="L221" i="1"/>
  <c r="L94" i="1"/>
  <c r="X95" i="1"/>
  <c r="Y22" i="38"/>
  <c r="G26" i="33" s="1"/>
  <c r="S15" i="1"/>
  <c r="V26" i="1"/>
  <c r="I84" i="1"/>
  <c r="I42" i="1"/>
  <c r="L43" i="1"/>
  <c r="I144" i="1"/>
  <c r="L145" i="1"/>
  <c r="Y18" i="38"/>
  <c r="Z18" i="38" s="1"/>
  <c r="Y19" i="38"/>
  <c r="Z19" i="38" s="1"/>
  <c r="I174" i="1"/>
  <c r="L175" i="1"/>
  <c r="L152" i="1"/>
  <c r="X153" i="1"/>
  <c r="G65" i="17"/>
  <c r="G10" i="17"/>
  <c r="X120" i="1"/>
  <c r="L13" i="1"/>
  <c r="X14" i="1"/>
  <c r="Y20" i="38"/>
  <c r="Z20" i="38" s="1"/>
  <c r="AC20" i="38" s="1"/>
  <c r="I8" i="1"/>
  <c r="L10" i="1"/>
  <c r="Y28" i="38"/>
  <c r="Z28" i="38" s="1"/>
  <c r="AC28" i="38" s="1"/>
  <c r="L251" i="1"/>
  <c r="X252" i="1"/>
  <c r="I75" i="1"/>
  <c r="L76" i="1"/>
  <c r="G78" i="17"/>
  <c r="G77" i="17" s="1"/>
  <c r="G122" i="17" s="1"/>
  <c r="G23" i="17"/>
  <c r="L38" i="1"/>
  <c r="X39" i="1"/>
  <c r="Z39" i="1" s="1"/>
  <c r="Z38" i="1" s="1"/>
  <c r="X58" i="1"/>
  <c r="I217" i="1"/>
  <c r="L218" i="1"/>
  <c r="L52" i="1"/>
  <c r="Y23" i="38"/>
  <c r="Z23" i="38" s="1"/>
  <c r="AC23" i="38" s="1"/>
  <c r="I241" i="1"/>
  <c r="I232" i="1" s="1"/>
  <c r="I231" i="1" s="1"/>
  <c r="E9" i="46" s="1"/>
  <c r="G15" i="17"/>
  <c r="L242" i="1"/>
  <c r="I90" i="1"/>
  <c r="L91" i="1"/>
  <c r="L236" i="1"/>
  <c r="X237" i="1"/>
  <c r="M10" i="14" s="1"/>
  <c r="Y14" i="38"/>
  <c r="Z14" i="38" s="1"/>
  <c r="AC14" i="38" s="1"/>
  <c r="M22" i="14" l="1"/>
  <c r="Y27" i="38"/>
  <c r="G23" i="33" s="1"/>
  <c r="L55" i="22"/>
  <c r="J55" i="22" s="1"/>
  <c r="Z85" i="1"/>
  <c r="Z84" i="1" s="1"/>
  <c r="N349" i="23"/>
  <c r="N5" i="23" s="1"/>
  <c r="L84" i="45"/>
  <c r="M84" i="45" s="1"/>
  <c r="L86" i="45"/>
  <c r="M86" i="45" s="1"/>
  <c r="L82" i="45"/>
  <c r="M82" i="45" s="1"/>
  <c r="L81" i="45"/>
  <c r="M81" i="45" s="1"/>
  <c r="L48" i="22"/>
  <c r="J48" i="22" s="1"/>
  <c r="Z120" i="1"/>
  <c r="L26" i="22"/>
  <c r="L18" i="45" s="1"/>
  <c r="M18" i="45" s="1"/>
  <c r="Z58" i="1"/>
  <c r="L85" i="45"/>
  <c r="M85" i="45" s="1"/>
  <c r="L54" i="22"/>
  <c r="J54" i="22" s="1"/>
  <c r="L65" i="22"/>
  <c r="J65" i="22" s="1"/>
  <c r="Z153" i="1"/>
  <c r="Z152" i="1" s="1"/>
  <c r="L92" i="22"/>
  <c r="J92" i="22" s="1"/>
  <c r="Z237" i="1"/>
  <c r="Z236" i="1" s="1"/>
  <c r="L100" i="22"/>
  <c r="L87" i="45" s="1"/>
  <c r="M87" i="45" s="1"/>
  <c r="Z252" i="1"/>
  <c r="L36" i="22"/>
  <c r="J36" i="22" s="1"/>
  <c r="Z95" i="1"/>
  <c r="Z94" i="1" s="1"/>
  <c r="L24" i="22"/>
  <c r="J24" i="22" s="1"/>
  <c r="Z14" i="1"/>
  <c r="Z13" i="1" s="1"/>
  <c r="Z22" i="38"/>
  <c r="G21" i="39"/>
  <c r="L72" i="1"/>
  <c r="I57" i="1"/>
  <c r="I7" i="1" s="1"/>
  <c r="L75" i="1"/>
  <c r="X76" i="1"/>
  <c r="X10" i="1"/>
  <c r="L8" i="1"/>
  <c r="L90" i="1"/>
  <c r="X91" i="1"/>
  <c r="L241" i="1"/>
  <c r="L232" i="1" s="1"/>
  <c r="X242" i="1"/>
  <c r="M13" i="14" s="1"/>
  <c r="L144" i="1"/>
  <c r="X145" i="1"/>
  <c r="Z145" i="1" s="1"/>
  <c r="Z144" i="1" s="1"/>
  <c r="L220" i="1"/>
  <c r="X221" i="1"/>
  <c r="G25" i="26"/>
  <c r="T25" i="26" s="1"/>
  <c r="X152" i="1"/>
  <c r="G69" i="17"/>
  <c r="G68" i="17" s="1"/>
  <c r="G112" i="17" s="1"/>
  <c r="G14" i="17"/>
  <c r="G6" i="17" s="1"/>
  <c r="G5" i="17" s="1"/>
  <c r="G29" i="17" s="1"/>
  <c r="L217" i="1"/>
  <c r="X218" i="1"/>
  <c r="I222" i="1"/>
  <c r="I216" i="1" s="1"/>
  <c r="L223" i="1"/>
  <c r="G16" i="26"/>
  <c r="T16" i="26" s="1"/>
  <c r="X84" i="1"/>
  <c r="X13" i="1"/>
  <c r="G9" i="26"/>
  <c r="T9" i="26" s="1"/>
  <c r="G40" i="26"/>
  <c r="Y12" i="38"/>
  <c r="X236" i="1"/>
  <c r="F29" i="39" s="1"/>
  <c r="L42" i="1"/>
  <c r="X43" i="1"/>
  <c r="G18" i="26"/>
  <c r="T18" i="26" s="1"/>
  <c r="X94" i="1"/>
  <c r="I211" i="1"/>
  <c r="L212" i="1"/>
  <c r="L15" i="1"/>
  <c r="X16" i="1"/>
  <c r="L174" i="1"/>
  <c r="X175" i="1"/>
  <c r="Z175" i="1" s="1"/>
  <c r="Z174" i="1" s="1"/>
  <c r="X38" i="1"/>
  <c r="G101" i="17"/>
  <c r="G102" i="17" s="1"/>
  <c r="G64" i="17"/>
  <c r="X26" i="1"/>
  <c r="V15" i="1"/>
  <c r="Z24" i="38"/>
  <c r="L83" i="22" l="1"/>
  <c r="J83" i="22" s="1"/>
  <c r="H25" i="33"/>
  <c r="X25" i="33" s="1"/>
  <c r="AB24" i="38"/>
  <c r="Z91" i="1"/>
  <c r="Z90" i="1" s="1"/>
  <c r="M5" i="14"/>
  <c r="Z27" i="38"/>
  <c r="J26" i="22"/>
  <c r="L79" i="45"/>
  <c r="M79" i="45" s="1"/>
  <c r="J100" i="22"/>
  <c r="L54" i="45"/>
  <c r="M54" i="45" s="1"/>
  <c r="L44" i="45"/>
  <c r="M44" i="45" s="1"/>
  <c r="L57" i="45"/>
  <c r="M57" i="45" s="1"/>
  <c r="L97" i="22"/>
  <c r="L83" i="45" s="1"/>
  <c r="M83" i="45" s="1"/>
  <c r="Z242" i="1"/>
  <c r="Z241" i="1" s="1"/>
  <c r="L29" i="22"/>
  <c r="J29" i="22" s="1"/>
  <c r="Z76" i="1"/>
  <c r="Z75" i="1" s="1"/>
  <c r="L32" i="45"/>
  <c r="M32" i="45" s="1"/>
  <c r="L86" i="22"/>
  <c r="J86" i="22" s="1"/>
  <c r="Z221" i="1"/>
  <c r="Z220" i="1" s="1"/>
  <c r="L71" i="45"/>
  <c r="M71" i="45" s="1"/>
  <c r="Z218" i="1"/>
  <c r="Z217" i="1" s="1"/>
  <c r="L15" i="22"/>
  <c r="J15" i="22" s="1"/>
  <c r="Z43" i="1"/>
  <c r="Z42" i="1" s="1"/>
  <c r="L4" i="45"/>
  <c r="M4" i="45" s="1"/>
  <c r="L7" i="22"/>
  <c r="J7" i="22" s="1"/>
  <c r="Z16" i="1"/>
  <c r="L10" i="22"/>
  <c r="L13" i="45" s="1"/>
  <c r="M13" i="45" s="1"/>
  <c r="Z26" i="1"/>
  <c r="L5" i="22"/>
  <c r="Z10" i="1"/>
  <c r="Z8" i="1" s="1"/>
  <c r="L32" i="22"/>
  <c r="J32" i="22" s="1"/>
  <c r="G20" i="26"/>
  <c r="T20" i="26" s="1"/>
  <c r="G21" i="33"/>
  <c r="H26" i="33"/>
  <c r="X26" i="33" s="1"/>
  <c r="I21" i="39"/>
  <c r="K21" i="39" s="1"/>
  <c r="G103" i="17"/>
  <c r="G60" i="17"/>
  <c r="G59" i="17" s="1"/>
  <c r="L231" i="1"/>
  <c r="X8" i="1"/>
  <c r="G8" i="26"/>
  <c r="L206" i="1"/>
  <c r="L182" i="1" s="1"/>
  <c r="I182" i="1"/>
  <c r="I151" i="1" s="1"/>
  <c r="I150" i="1" s="1"/>
  <c r="X174" i="1"/>
  <c r="X144" i="1"/>
  <c r="G15" i="26"/>
  <c r="X75" i="1"/>
  <c r="L57" i="1"/>
  <c r="L7" i="1" s="1"/>
  <c r="Z12" i="38"/>
  <c r="Y11" i="38"/>
  <c r="Y36" i="38" s="1"/>
  <c r="X15" i="1"/>
  <c r="G10" i="26"/>
  <c r="T10" i="26" s="1"/>
  <c r="G11" i="26"/>
  <c r="T11" i="26" s="1"/>
  <c r="X42" i="1"/>
  <c r="T40" i="26"/>
  <c r="G41" i="26"/>
  <c r="T41" i="26" s="1"/>
  <c r="Y17" i="38"/>
  <c r="X241" i="1"/>
  <c r="G29" i="39" s="1"/>
  <c r="X90" i="1"/>
  <c r="L222" i="1"/>
  <c r="L216" i="1" s="1"/>
  <c r="X223" i="1"/>
  <c r="G20" i="39"/>
  <c r="L211" i="1"/>
  <c r="X212" i="1"/>
  <c r="G32" i="26"/>
  <c r="T32" i="26" s="1"/>
  <c r="X217" i="1"/>
  <c r="G33" i="26"/>
  <c r="T33" i="26" s="1"/>
  <c r="X220" i="1"/>
  <c r="J5" i="22" l="1"/>
  <c r="X14" i="16"/>
  <c r="X15" i="16" s="1"/>
  <c r="M38" i="46"/>
  <c r="J97" i="22"/>
  <c r="L51" i="45"/>
  <c r="M51" i="45" s="1"/>
  <c r="L5" i="45"/>
  <c r="M5" i="45" s="1"/>
  <c r="J10" i="22"/>
  <c r="L20" i="45"/>
  <c r="M20" i="45" s="1"/>
  <c r="L88" i="22"/>
  <c r="J88" i="22" s="1"/>
  <c r="Z223" i="1"/>
  <c r="Z222" i="1" s="1"/>
  <c r="Z216" i="1" s="1"/>
  <c r="L73" i="45"/>
  <c r="M73" i="45" s="1"/>
  <c r="L79" i="22"/>
  <c r="J79" i="22" s="1"/>
  <c r="Z212" i="1"/>
  <c r="Z211" i="1" s="1"/>
  <c r="Z15" i="1"/>
  <c r="L2" i="45"/>
  <c r="M2" i="45" s="1"/>
  <c r="L55" i="45"/>
  <c r="M55" i="45" s="1"/>
  <c r="AB22" i="38"/>
  <c r="AC22" i="38" s="1"/>
  <c r="Y26" i="33"/>
  <c r="H19" i="39"/>
  <c r="I19" i="39" s="1"/>
  <c r="K19" i="39" s="1"/>
  <c r="H23" i="33"/>
  <c r="AB27" i="38"/>
  <c r="AC27" i="38" s="1"/>
  <c r="Y25" i="33"/>
  <c r="V35" i="12"/>
  <c r="V36" i="12" s="1"/>
  <c r="AC24" i="38"/>
  <c r="I20" i="39"/>
  <c r="T8" i="26"/>
  <c r="G85" i="30"/>
  <c r="W355" i="23"/>
  <c r="W355" i="48"/>
  <c r="T15" i="26"/>
  <c r="X222" i="1"/>
  <c r="X216" i="1" s="1"/>
  <c r="G34" i="26"/>
  <c r="T34" i="26" s="1"/>
  <c r="G28" i="26"/>
  <c r="T28" i="26" s="1"/>
  <c r="X211" i="1"/>
  <c r="Z11" i="38"/>
  <c r="AC12" i="38"/>
  <c r="F23" i="39"/>
  <c r="F22" i="39" s="1"/>
  <c r="I257" i="1"/>
  <c r="D9" i="46"/>
  <c r="Z17" i="38"/>
  <c r="G26" i="39" s="1"/>
  <c r="Y16" i="38"/>
  <c r="Y37" i="38" s="1"/>
  <c r="L151" i="1"/>
  <c r="L150" i="1" s="1"/>
  <c r="L257" i="1" s="1"/>
  <c r="S72" i="1" l="1"/>
  <c r="V72" i="1" s="1"/>
  <c r="I26" i="39"/>
  <c r="K26" i="39" s="1"/>
  <c r="G22" i="39"/>
  <c r="G17" i="39"/>
  <c r="H21" i="33"/>
  <c r="S21" i="33" s="1"/>
  <c r="X23" i="33"/>
  <c r="X21" i="33" s="1"/>
  <c r="L67" i="45"/>
  <c r="M67" i="45" s="1"/>
  <c r="L70" i="45"/>
  <c r="M70" i="45" s="1"/>
  <c r="Y23" i="33"/>
  <c r="Y21" i="33" s="1"/>
  <c r="F27" i="39"/>
  <c r="F31" i="39" s="1"/>
  <c r="H23" i="39"/>
  <c r="H22" i="39" s="1"/>
  <c r="AE14" i="16"/>
  <c r="AE15" i="16" s="1"/>
  <c r="AB35" i="12"/>
  <c r="AA35" i="12"/>
  <c r="E129" i="24"/>
  <c r="G129" i="24" s="1"/>
  <c r="J129" i="24" s="1"/>
  <c r="H30" i="26"/>
  <c r="U30" i="26" s="1"/>
  <c r="X30" i="26" s="1"/>
  <c r="V4" i="12"/>
  <c r="S206" i="1"/>
  <c r="AA36" i="12"/>
  <c r="AB36" i="12"/>
  <c r="K20" i="39"/>
  <c r="Z16" i="38"/>
  <c r="S57" i="1" l="1"/>
  <c r="G27" i="39"/>
  <c r="G31" i="39" s="1"/>
  <c r="I23" i="39"/>
  <c r="I22" i="39" s="1"/>
  <c r="X72" i="1"/>
  <c r="V57" i="1"/>
  <c r="M129" i="24"/>
  <c r="R152" i="23" s="1"/>
  <c r="S152" i="23" s="1"/>
  <c r="U152" i="23" s="1"/>
  <c r="R136" i="23"/>
  <c r="S182" i="1"/>
  <c r="V206" i="1"/>
  <c r="L64" i="22" l="1"/>
  <c r="J64" i="22" s="1"/>
  <c r="Z72" i="1"/>
  <c r="Z57" i="1" s="1"/>
  <c r="K23" i="39"/>
  <c r="K22" i="39" s="1"/>
  <c r="S136" i="23"/>
  <c r="X57" i="1"/>
  <c r="G13" i="26"/>
  <c r="K130" i="55"/>
  <c r="M130" i="55" s="1"/>
  <c r="K129" i="31"/>
  <c r="L129" i="31" s="1"/>
  <c r="F59" i="25"/>
  <c r="F48" i="30" s="1"/>
  <c r="X206" i="1"/>
  <c r="L76" i="45" l="1"/>
  <c r="M76" i="45" s="1"/>
  <c r="L89" i="22"/>
  <c r="L77" i="45" s="1"/>
  <c r="M77" i="45" s="1"/>
  <c r="Z206" i="1"/>
  <c r="M129" i="31"/>
  <c r="P129" i="31"/>
  <c r="T13" i="26"/>
  <c r="L130" i="1"/>
  <c r="I74" i="1"/>
  <c r="I6" i="1" s="1"/>
  <c r="U136" i="23"/>
  <c r="J89" i="22" l="1"/>
  <c r="I4" i="1"/>
  <c r="C9" i="46"/>
  <c r="X130" i="1"/>
  <c r="L119" i="1"/>
  <c r="K116" i="55"/>
  <c r="K115" i="31"/>
  <c r="F53" i="25"/>
  <c r="L74" i="1" l="1"/>
  <c r="L6" i="1" s="1"/>
  <c r="L4" i="1" s="1"/>
  <c r="L50" i="22"/>
  <c r="J50" i="22" s="1"/>
  <c r="Z130" i="1"/>
  <c r="Z119" i="1" s="1"/>
  <c r="Z74" i="1" s="1"/>
  <c r="I9" i="46"/>
  <c r="L115" i="31"/>
  <c r="K105" i="31"/>
  <c r="X119" i="1"/>
  <c r="X74" i="1" s="1"/>
  <c r="G19" i="26"/>
  <c r="M116" i="55"/>
  <c r="M107" i="55" s="1"/>
  <c r="K107" i="55"/>
  <c r="F42" i="30"/>
  <c r="F39" i="30" s="1"/>
  <c r="F50" i="25"/>
  <c r="L46" i="45" l="1"/>
  <c r="M46" i="45" s="1"/>
  <c r="W125" i="48"/>
  <c r="M115" i="31"/>
  <c r="M105" i="31" s="1"/>
  <c r="P115" i="31"/>
  <c r="L105" i="31"/>
  <c r="T19" i="26"/>
  <c r="U14" i="26" l="1"/>
  <c r="P105" i="31"/>
  <c r="S347" i="23" l="1"/>
  <c r="S346" i="23" s="1"/>
  <c r="R347" i="23"/>
  <c r="R346" i="23" s="1"/>
  <c r="S344" i="23" l="1"/>
  <c r="S343" i="23" s="1"/>
  <c r="S323" i="23" s="1"/>
  <c r="S301" i="23" s="1"/>
  <c r="S300" i="23" s="1"/>
  <c r="R344" i="23"/>
  <c r="R343" i="23" s="1"/>
  <c r="R323" i="23" s="1"/>
  <c r="R301" i="23" s="1"/>
  <c r="R300" i="23" s="1"/>
  <c r="R8" i="23"/>
  <c r="R3" i="23"/>
  <c r="F153" i="6"/>
  <c r="G263" i="6"/>
  <c r="R242" i="23" l="1"/>
  <c r="R184" i="23" s="1"/>
  <c r="R183" i="23" s="1"/>
  <c r="R362" i="23"/>
  <c r="S242" i="23"/>
  <c r="S184" i="23" s="1"/>
  <c r="S183" i="23" s="1"/>
  <c r="S362" i="23"/>
  <c r="G318" i="6"/>
  <c r="G4" i="6" s="1"/>
  <c r="H263" i="6"/>
  <c r="N4" i="6"/>
  <c r="H153" i="6"/>
  <c r="F210" i="6"/>
  <c r="F4" i="6" s="1"/>
  <c r="R361" i="23" l="1"/>
  <c r="S361" i="23"/>
  <c r="H4" i="6"/>
  <c r="P183" i="1"/>
  <c r="H212" i="6"/>
  <c r="P66" i="3"/>
  <c r="H3" i="6" l="1"/>
  <c r="P37" i="3"/>
  <c r="P75" i="3" s="1"/>
  <c r="P124" i="3" s="1"/>
  <c r="V66" i="3"/>
  <c r="V183" i="1"/>
  <c r="P182" i="1"/>
  <c r="P151" i="1" s="1"/>
  <c r="P150" i="1" s="1"/>
  <c r="V182" i="1" l="1"/>
  <c r="X183" i="1"/>
  <c r="V37" i="3"/>
  <c r="V75" i="3" s="1"/>
  <c r="X66" i="3"/>
  <c r="AH66" i="3" s="1"/>
  <c r="AJ66" i="3" s="1"/>
  <c r="P127" i="3"/>
  <c r="P4" i="23"/>
  <c r="Z66" i="3" l="1"/>
  <c r="AB66" i="3" s="1"/>
  <c r="AD66" i="3"/>
  <c r="AF66" i="3" s="1"/>
  <c r="L130" i="22"/>
  <c r="T7" i="31" s="1"/>
  <c r="T10" i="31" s="1"/>
  <c r="T11" i="31" s="1"/>
  <c r="L69" i="22"/>
  <c r="Z183" i="1"/>
  <c r="Z182" i="1" s="1"/>
  <c r="P254" i="1"/>
  <c r="P128" i="3"/>
  <c r="X37" i="3"/>
  <c r="H9" i="33"/>
  <c r="G9" i="33" s="1"/>
  <c r="G10" i="46"/>
  <c r="G11" i="46" s="1"/>
  <c r="X182" i="1"/>
  <c r="G27" i="26"/>
  <c r="T27" i="26" s="1"/>
  <c r="AF37" i="3" l="1"/>
  <c r="AF75" i="3" s="1"/>
  <c r="AD37" i="3"/>
  <c r="AD75" i="3" s="1"/>
  <c r="X9" i="33"/>
  <c r="X10" i="33" s="1"/>
  <c r="G10" i="33"/>
  <c r="M41" i="46"/>
  <c r="D42" i="46" s="1"/>
  <c r="D43" i="46" s="1"/>
  <c r="D40" i="46" s="1"/>
  <c r="AH37" i="3"/>
  <c r="AH75" i="3" s="1"/>
  <c r="L118" i="45"/>
  <c r="M118" i="45" s="1"/>
  <c r="J130" i="22"/>
  <c r="J69" i="22"/>
  <c r="L60" i="45"/>
  <c r="M60" i="45" s="1"/>
  <c r="P258" i="1"/>
  <c r="P259" i="1"/>
  <c r="Y9" i="33"/>
  <c r="Y10" i="33" s="1"/>
  <c r="H10" i="33"/>
  <c r="N52" i="46"/>
  <c r="X75" i="3"/>
  <c r="P130" i="3"/>
  <c r="P251" i="1"/>
  <c r="P232" i="1" s="1"/>
  <c r="P129" i="3"/>
  <c r="AB37" i="3" l="1"/>
  <c r="AB75" i="3" s="1"/>
  <c r="Z37" i="3"/>
  <c r="Z75" i="3" s="1"/>
  <c r="AJ37" i="3"/>
  <c r="AJ75" i="3" s="1"/>
  <c r="AB10" i="33"/>
  <c r="AC10" i="33"/>
  <c r="C42" i="46"/>
  <c r="E42" i="46" s="1"/>
  <c r="P231" i="1"/>
  <c r="P257" i="1"/>
  <c r="P4" i="1" s="1"/>
  <c r="N53" i="46"/>
  <c r="D53" i="46" s="1"/>
  <c r="I53" i="46" s="1"/>
  <c r="D52" i="46"/>
  <c r="I52" i="46" s="1"/>
  <c r="H35" i="33"/>
  <c r="S10" i="33"/>
  <c r="H13" i="46"/>
  <c r="H12" i="46"/>
  <c r="U347" i="23" l="1"/>
  <c r="U346" i="23" s="1"/>
  <c r="U344" i="23" l="1"/>
  <c r="U343" i="23" s="1"/>
  <c r="U323" i="23" s="1"/>
  <c r="V323" i="23" s="1"/>
  <c r="U369" i="23"/>
  <c r="U301" i="23"/>
  <c r="U300" i="23" l="1"/>
  <c r="U362" i="23" s="1"/>
  <c r="U368" i="23"/>
  <c r="U242" i="23"/>
  <c r="V300" i="23" l="1"/>
  <c r="U184" i="23"/>
  <c r="V242" i="23"/>
  <c r="W242" i="23"/>
  <c r="U365" i="23"/>
  <c r="U183" i="23" l="1"/>
  <c r="V184" i="23"/>
  <c r="U361" i="23" l="1"/>
  <c r="V183" i="23"/>
  <c r="F11" i="25" l="1"/>
  <c r="U75" i="23"/>
  <c r="U10" i="23" l="1"/>
  <c r="V75" i="23"/>
  <c r="F8" i="25"/>
  <c r="F6" i="25" s="1"/>
  <c r="F11" i="30"/>
  <c r="F8" i="30" s="1"/>
  <c r="J8" i="30" l="1"/>
  <c r="F6" i="30"/>
  <c r="G5" i="30" s="1"/>
  <c r="G81" i="30" s="1"/>
  <c r="G84" i="30" s="1"/>
  <c r="V10" i="23"/>
  <c r="U8" i="23"/>
  <c r="G3" i="30" l="1"/>
  <c r="G86" i="30"/>
  <c r="P347" i="23"/>
  <c r="P346" i="23" s="1"/>
  <c r="P344" i="23"/>
  <c r="P343" i="23" s="1"/>
  <c r="P323" i="23"/>
  <c r="P301" i="23"/>
  <c r="P242" i="23"/>
  <c r="P184" i="23"/>
  <c r="P177" i="23"/>
  <c r="P127" i="23"/>
  <c r="P75" i="23"/>
  <c r="P10" i="23"/>
  <c r="P8" i="23"/>
  <c r="P3" i="23"/>
  <c r="J368" i="23"/>
  <c r="H369" i="23"/>
  <c r="H365" i="23"/>
  <c r="H367" i="23"/>
  <c r="H368" i="23"/>
  <c r="J366" i="23"/>
  <c r="I367" i="23"/>
  <c r="J367" i="23"/>
  <c r="I365" i="23"/>
  <c r="I369" i="23"/>
  <c r="I366" i="23"/>
  <c r="I368" i="23"/>
  <c r="J369" i="23"/>
  <c r="H366" i="23"/>
  <c r="J365" i="23"/>
  <c r="I323" i="23"/>
  <c r="I301" i="23"/>
  <c r="I242" i="23"/>
  <c r="I184" i="23"/>
  <c r="I177" i="23"/>
  <c r="I127" i="23"/>
  <c r="I75" i="23"/>
  <c r="I10" i="23"/>
  <c r="I8" i="23"/>
  <c r="J362" i="23"/>
  <c r="J360" i="23"/>
  <c r="H361" i="23"/>
  <c r="I183" i="23" l="1"/>
  <c r="I361" i="23" s="1"/>
  <c r="P183" i="23"/>
  <c r="P361" i="23" s="1"/>
  <c r="P300" i="23"/>
  <c r="P362" i="23" s="1"/>
  <c r="I7" i="23"/>
  <c r="I360" i="23" s="1"/>
  <c r="P7" i="23"/>
  <c r="P360" i="23" s="1"/>
  <c r="I300" i="23"/>
  <c r="I362" i="23" s="1"/>
  <c r="H362" i="23"/>
  <c r="J361" i="23"/>
  <c r="H5" i="23" l="1"/>
  <c r="H360" i="23"/>
  <c r="P349" i="23"/>
  <c r="P5" i="23" s="1"/>
  <c r="J5" i="23"/>
  <c r="I349" i="23"/>
  <c r="I5" i="23" l="1"/>
  <c r="I358" i="23"/>
  <c r="S54" i="1"/>
  <c r="V54" i="1" s="1"/>
  <c r="X54" i="1" l="1"/>
  <c r="Z54" i="1" l="1"/>
  <c r="U127" i="23"/>
  <c r="V127" i="23" s="1"/>
  <c r="S8" i="23"/>
  <c r="S10" i="23"/>
  <c r="S75" i="23"/>
  <c r="S127" i="23"/>
  <c r="R10" i="23"/>
  <c r="R75" i="23"/>
  <c r="R127" i="23"/>
  <c r="E130" i="24"/>
  <c r="E134" i="24" s="1"/>
  <c r="S214" i="1"/>
  <c r="S53" i="1"/>
  <c r="S52" i="1" s="1"/>
  <c r="S7" i="1" s="1"/>
  <c r="S6" i="1" s="1"/>
  <c r="G130" i="24" l="1"/>
  <c r="J130" i="24" s="1"/>
  <c r="M130" i="24" s="1"/>
  <c r="R182" i="23" s="1"/>
  <c r="S182" i="23" s="1"/>
  <c r="W127" i="23"/>
  <c r="V214" i="1"/>
  <c r="S213" i="1"/>
  <c r="S151" i="1" s="1"/>
  <c r="S150" i="1" s="1"/>
  <c r="S257" i="1" s="1"/>
  <c r="S4" i="1" s="1"/>
  <c r="R181" i="23"/>
  <c r="V53" i="1"/>
  <c r="V52" i="1" l="1"/>
  <c r="V7" i="1" s="1"/>
  <c r="V6" i="1" s="1"/>
  <c r="X53" i="1"/>
  <c r="S181" i="23"/>
  <c r="R177" i="23"/>
  <c r="R7" i="23" s="1"/>
  <c r="V213" i="1"/>
  <c r="V151" i="1" s="1"/>
  <c r="V150" i="1" s="1"/>
  <c r="X214" i="1"/>
  <c r="D10" i="46" l="1"/>
  <c r="D11" i="46" s="1"/>
  <c r="R360" i="23"/>
  <c r="R349" i="23"/>
  <c r="R5" i="23" s="1"/>
  <c r="Z214" i="1"/>
  <c r="Z213" i="1" s="1"/>
  <c r="Z151" i="1" s="1"/>
  <c r="Z150" i="1" s="1"/>
  <c r="L68" i="22"/>
  <c r="X213" i="1"/>
  <c r="X151" i="1" s="1"/>
  <c r="X150" i="1" s="1"/>
  <c r="G29" i="26"/>
  <c r="U182" i="23"/>
  <c r="U181" i="23"/>
  <c r="S177" i="23"/>
  <c r="S7" i="23" s="1"/>
  <c r="Z53" i="1"/>
  <c r="Z52" i="1" s="1"/>
  <c r="Z7" i="1" s="1"/>
  <c r="Z6" i="1" s="1"/>
  <c r="X52" i="1"/>
  <c r="X7" i="1" s="1"/>
  <c r="X6" i="1" s="1"/>
  <c r="L23" i="22"/>
  <c r="G12" i="26"/>
  <c r="C10" i="46"/>
  <c r="L3" i="22" l="1"/>
  <c r="L2" i="22"/>
  <c r="C11" i="46"/>
  <c r="C39" i="46"/>
  <c r="T12" i="26"/>
  <c r="H7" i="26"/>
  <c r="T29" i="26"/>
  <c r="H24" i="26"/>
  <c r="C38" i="46"/>
  <c r="S349" i="23"/>
  <c r="S5" i="23" s="1"/>
  <c r="S360" i="23"/>
  <c r="J68" i="22"/>
  <c r="L62" i="45"/>
  <c r="M62" i="45" s="1"/>
  <c r="M37" i="46"/>
  <c r="D39" i="46" s="1"/>
  <c r="U177" i="23"/>
  <c r="U7" i="23" s="1"/>
  <c r="K153" i="31"/>
  <c r="F64" i="25"/>
  <c r="F5" i="25" s="1"/>
  <c r="F102" i="25" s="1"/>
  <c r="F105" i="25" s="1"/>
  <c r="K154" i="55"/>
  <c r="D13" i="46"/>
  <c r="D12" i="46"/>
  <c r="L19" i="45"/>
  <c r="M19" i="45" s="1"/>
  <c r="J23" i="22"/>
  <c r="J3" i="22" s="1"/>
  <c r="M36" i="46"/>
  <c r="D38" i="46" s="1"/>
  <c r="K155" i="55"/>
  <c r="M155" i="55" s="1"/>
  <c r="K154" i="31"/>
  <c r="L154" i="31" s="1"/>
  <c r="D44" i="46" l="1"/>
  <c r="U360" i="23"/>
  <c r="U349" i="23"/>
  <c r="H36" i="26"/>
  <c r="U24" i="26"/>
  <c r="X24" i="26" s="1"/>
  <c r="M154" i="31"/>
  <c r="P154" i="31"/>
  <c r="U7" i="26"/>
  <c r="X7" i="26" s="1"/>
  <c r="H47" i="26"/>
  <c r="H22" i="26"/>
  <c r="K150" i="55"/>
  <c r="K5" i="55" s="1"/>
  <c r="K307" i="55" s="1"/>
  <c r="M154" i="55"/>
  <c r="M150" i="55" s="1"/>
  <c r="M5" i="55" s="1"/>
  <c r="F106" i="25"/>
  <c r="F109" i="25"/>
  <c r="F107" i="25"/>
  <c r="K149" i="31"/>
  <c r="K5" i="31" s="1"/>
  <c r="K305" i="31" s="1"/>
  <c r="K315" i="31" s="1"/>
  <c r="K3" i="31" s="1"/>
  <c r="L153" i="31"/>
  <c r="C13" i="46"/>
  <c r="C12" i="46"/>
  <c r="P153" i="31" l="1"/>
  <c r="M153" i="31"/>
  <c r="M149" i="31" s="1"/>
  <c r="M5" i="31" s="1"/>
  <c r="L149" i="31"/>
  <c r="V349" i="23"/>
  <c r="U5" i="23"/>
  <c r="M307" i="55"/>
  <c r="K317" i="55"/>
  <c r="K3" i="55" s="1"/>
  <c r="U36" i="26"/>
  <c r="X36" i="26" s="1"/>
  <c r="U22" i="26"/>
  <c r="X22" i="26" s="1"/>
  <c r="P149" i="31" l="1"/>
  <c r="L5" i="31"/>
  <c r="P5" i="31" l="1"/>
  <c r="L305" i="31"/>
  <c r="P305" i="31" l="1"/>
  <c r="M305" i="31"/>
  <c r="L315" i="31"/>
  <c r="L3" i="31" s="1"/>
  <c r="N122" i="3"/>
  <c r="V122" i="3" s="1"/>
  <c r="V4" i="4"/>
  <c r="V121" i="3" l="1"/>
  <c r="V124" i="3" s="1"/>
  <c r="X122" i="3"/>
  <c r="N121" i="3"/>
  <c r="N124" i="3" s="1"/>
  <c r="N127" i="3" s="1"/>
  <c r="N254" i="1" l="1"/>
  <c r="N128" i="3"/>
  <c r="H15" i="33"/>
  <c r="Z122" i="3"/>
  <c r="AH122" i="3"/>
  <c r="AD122" i="3"/>
  <c r="X121" i="3"/>
  <c r="X124" i="3" s="1"/>
  <c r="X127" i="3" s="1"/>
  <c r="S4" i="23"/>
  <c r="S3" i="23" s="1"/>
  <c r="V127" i="3"/>
  <c r="H10" i="46" s="1"/>
  <c r="H11" i="46" s="1"/>
  <c r="AJ122" i="3" l="1"/>
  <c r="AJ121" i="3" s="1"/>
  <c r="AJ124" i="3" s="1"/>
  <c r="AJ127" i="3" s="1"/>
  <c r="AJ128" i="3" s="1"/>
  <c r="AH121" i="3"/>
  <c r="AH124" i="3" s="1"/>
  <c r="AH127" i="3" s="1"/>
  <c r="AH128" i="3" s="1"/>
  <c r="Y15" i="33"/>
  <c r="Y16" i="33" s="1"/>
  <c r="X15" i="33"/>
  <c r="X16" i="33" s="1"/>
  <c r="G15" i="33"/>
  <c r="G16" i="33" s="1"/>
  <c r="G18" i="33" s="1"/>
  <c r="H16" i="33"/>
  <c r="N130" i="3"/>
  <c r="V128" i="3"/>
  <c r="X128" i="3" s="1"/>
  <c r="X129" i="3" s="1"/>
  <c r="AF122" i="3"/>
  <c r="AF121" i="3" s="1"/>
  <c r="AF124" i="3" s="1"/>
  <c r="AF127" i="3" s="1"/>
  <c r="AF128" i="3" s="1"/>
  <c r="AD121" i="3"/>
  <c r="AD124" i="3" s="1"/>
  <c r="AD127" i="3" s="1"/>
  <c r="AD128" i="3" s="1"/>
  <c r="V254" i="1"/>
  <c r="N251" i="1"/>
  <c r="N232" i="1" s="1"/>
  <c r="N258" i="1"/>
  <c r="N259" i="1"/>
  <c r="H32" i="33"/>
  <c r="N55" i="46"/>
  <c r="AB29" i="38"/>
  <c r="X32" i="33"/>
  <c r="F3" i="25"/>
  <c r="G32" i="33"/>
  <c r="C43" i="46"/>
  <c r="E43" i="46" s="1"/>
  <c r="G31" i="19"/>
  <c r="Z121" i="3"/>
  <c r="Z124" i="3" s="1"/>
  <c r="Z127" i="3" s="1"/>
  <c r="Z128" i="3" s="1"/>
  <c r="AB122" i="3"/>
  <c r="AB121" i="3" s="1"/>
  <c r="AB124" i="3" s="1"/>
  <c r="AB127" i="3" s="1"/>
  <c r="AB128" i="3" s="1"/>
  <c r="N129" i="3"/>
  <c r="V129" i="3" s="1"/>
  <c r="W9" i="48" l="1"/>
  <c r="H19" i="33"/>
  <c r="W9" i="23"/>
  <c r="H36" i="33"/>
  <c r="H18" i="33"/>
  <c r="S16" i="33"/>
  <c r="G31" i="33"/>
  <c r="G27" i="33"/>
  <c r="G28" i="33" s="1"/>
  <c r="AH129" i="3"/>
  <c r="AJ129" i="3" s="1"/>
  <c r="H20" i="33"/>
  <c r="N231" i="1"/>
  <c r="N257" i="1"/>
  <c r="N4" i="1" s="1"/>
  <c r="X18" i="33"/>
  <c r="AB16" i="33"/>
  <c r="X254" i="1"/>
  <c r="V258" i="1"/>
  <c r="V251" i="1"/>
  <c r="V232" i="1" s="1"/>
  <c r="AC16" i="33"/>
  <c r="Y18" i="33"/>
  <c r="D55" i="46"/>
  <c r="I55" i="46" s="1"/>
  <c r="N54" i="46"/>
  <c r="D54" i="46" s="1"/>
  <c r="I54" i="46" s="1"/>
  <c r="G42" i="26" l="1"/>
  <c r="Z254" i="1"/>
  <c r="Z251" i="1" s="1"/>
  <c r="Z232" i="1" s="1"/>
  <c r="M24" i="14"/>
  <c r="Y29" i="38"/>
  <c r="Z29" i="38" s="1"/>
  <c r="AD130" i="3"/>
  <c r="X251" i="1"/>
  <c r="Z130" i="3"/>
  <c r="AB18" i="33"/>
  <c r="X31" i="33"/>
  <c r="X27" i="33"/>
  <c r="H37" i="33"/>
  <c r="H27" i="33"/>
  <c r="S18" i="33"/>
  <c r="H31" i="33"/>
  <c r="Y19" i="33"/>
  <c r="Y27" i="33"/>
  <c r="Y31" i="33"/>
  <c r="AC18" i="33"/>
  <c r="X258" i="1"/>
  <c r="X20" i="33"/>
  <c r="S20" i="33"/>
  <c r="G20" i="33"/>
  <c r="J7" i="30"/>
  <c r="H18" i="39"/>
  <c r="X19" i="33"/>
  <c r="G19" i="33"/>
  <c r="V231" i="1"/>
  <c r="E10" i="46" s="1"/>
  <c r="V257" i="1"/>
  <c r="V4" i="1" s="1"/>
  <c r="AD129" i="3"/>
  <c r="AF129" i="3" s="1"/>
  <c r="Z129" i="3"/>
  <c r="AB129" i="3" s="1"/>
  <c r="I18" i="39" l="1"/>
  <c r="H17" i="39"/>
  <c r="H27" i="39" s="1"/>
  <c r="X232" i="1"/>
  <c r="H29" i="39"/>
  <c r="I29" i="39" s="1"/>
  <c r="Y28" i="33"/>
  <c r="AC27" i="33"/>
  <c r="Y26" i="38"/>
  <c r="Y7" i="38" s="1"/>
  <c r="Y6" i="38" s="1"/>
  <c r="H28" i="33"/>
  <c r="S29" i="33" s="1"/>
  <c r="S27" i="33"/>
  <c r="I10" i="46"/>
  <c r="E11" i="46"/>
  <c r="AB27" i="33"/>
  <c r="X28" i="33"/>
  <c r="Z257" i="1"/>
  <c r="Z231" i="1"/>
  <c r="H38" i="26"/>
  <c r="T42" i="26"/>
  <c r="Y38" i="38" l="1"/>
  <c r="K29" i="39"/>
  <c r="X231" i="1"/>
  <c r="E13" i="46" s="1"/>
  <c r="X257" i="1"/>
  <c r="X4" i="1" s="1"/>
  <c r="Y34" i="38"/>
  <c r="H31" i="39"/>
  <c r="U38" i="26"/>
  <c r="X38" i="26" s="1"/>
  <c r="H43" i="26"/>
  <c r="Z26" i="38"/>
  <c r="Z7" i="38" s="1"/>
  <c r="Z6" i="38" s="1"/>
  <c r="Z33" i="38"/>
  <c r="AC29" i="38"/>
  <c r="AD29" i="38" s="1"/>
  <c r="L18" i="39"/>
  <c r="K18" i="39"/>
  <c r="K17" i="39" s="1"/>
  <c r="K27" i="39" s="1"/>
  <c r="K31" i="39" s="1"/>
  <c r="I17" i="39"/>
  <c r="E12" i="46" l="1"/>
  <c r="C40" i="46"/>
  <c r="Y33" i="38"/>
  <c r="U44" i="26"/>
  <c r="X44" i="26" s="1"/>
  <c r="H44" i="26"/>
  <c r="I27" i="39"/>
  <c r="I31" i="39" s="1"/>
  <c r="M17" i="39"/>
  <c r="L17" i="39"/>
  <c r="Y4" i="38"/>
  <c r="H46" i="26" l="1"/>
  <c r="U45" i="26"/>
  <c r="C44" i="46"/>
  <c r="E40" i="46"/>
  <c r="X45" i="26" l="1"/>
  <c r="U46" i="26"/>
  <c r="U47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SPwC-X460</author>
  </authors>
  <commentList>
    <comment ref="A1" authorId="0" shapeId="0" xr:uid="{00000000-0006-0000-1000-000001000000}">
      <text>
        <r>
          <rPr>
            <sz val="9"/>
            <color indexed="81"/>
            <rFont val="돋움"/>
            <family val="3"/>
            <charset val="129"/>
          </rPr>
          <t>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1" authorId="0" shapeId="0" xr:uid="{00000000-0006-0000-1000-000002000000}">
      <text>
        <r>
          <rPr>
            <sz val="9"/>
            <color indexed="81"/>
            <rFont val="돋움"/>
            <family val="3"/>
            <charset val="129"/>
          </rPr>
          <t>계정과목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C1" authorId="0" shapeId="0" xr:uid="{00000000-0006-0000-1000-000003000000}">
      <text>
        <r>
          <rPr>
            <sz val="9"/>
            <color indexed="81"/>
            <rFont val="돋움"/>
            <family val="3"/>
            <charset val="129"/>
          </rPr>
          <t>계정과목명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 shapeId="0" xr:uid="{00000000-0006-0000-1000-000004000000}">
      <text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보고부문</t>
        </r>
        <r>
          <rPr>
            <sz val="9"/>
            <color indexed="81"/>
            <rFont val="Tahoma"/>
            <family val="2"/>
          </rPr>
          <t xml:space="preserve"> 
(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E1" authorId="0" shapeId="0" xr:uid="{00000000-0006-0000-1000-000005000000}">
      <text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보고부문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) 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1" authorId="0" shapeId="0" xr:uid="{00000000-0006-0000-1000-000006000000}">
      <text>
        <r>
          <rPr>
            <sz val="9"/>
            <color indexed="81"/>
            <rFont val="돋움"/>
            <family val="3"/>
            <charset val="129"/>
          </rPr>
          <t>해당거래의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통화코드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G1" authorId="0" shapeId="0" xr:uid="{00000000-0006-0000-1000-000007000000}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금액
</t>
        </r>
      </text>
    </comment>
    <comment ref="H1" authorId="0" shapeId="0" xr:uid="{00000000-0006-0000-1000-000008000000}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회사의</t>
        </r>
        <r>
          <rPr>
            <sz val="9"/>
            <color indexed="81"/>
            <rFont val="Tahoma"/>
            <family val="2"/>
          </rPr>
          <t xml:space="preserve"> Local Currency </t>
        </r>
        <r>
          <rPr>
            <sz val="9"/>
            <color indexed="81"/>
            <rFont val="돋움"/>
            <family val="3"/>
            <charset val="129"/>
          </rPr>
          <t xml:space="preserve">코드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1000-000009000000}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회사의</t>
        </r>
        <r>
          <rPr>
            <sz val="9"/>
            <color indexed="81"/>
            <rFont val="Tahoma"/>
            <family val="2"/>
          </rPr>
          <t xml:space="preserve"> Local Currency </t>
        </r>
        <r>
          <rPr>
            <sz val="9"/>
            <color indexed="81"/>
            <rFont val="돋움"/>
            <family val="3"/>
            <charset val="129"/>
          </rPr>
          <t>금액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1" authorId="0" shapeId="0" xr:uid="{00000000-0006-0000-1000-00000A000000}">
      <text>
        <r>
          <rPr>
            <sz val="9"/>
            <color indexed="81"/>
            <rFont val="돋움"/>
            <family val="3"/>
            <charset val="129"/>
          </rPr>
          <t>IFRS 조정 내역일 경우 X 표시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tc={BD9DC888-E6CD-4D9D-8F75-6E24219408A0}</author>
    <author>tc={63BA142C-A847-4F51-843F-E88F074944CA}</author>
  </authors>
  <commentList>
    <comment ref="V17" authorId="0" shapeId="0" xr:uid="{00000000-0006-0000-1E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전기말환율로 FIX: 20년말 전액손상으로 환산평가하지 않음</t>
      </text>
    </comment>
    <comment ref="W17" authorId="1" shapeId="0" xr:uid="{00000000-0006-0000-1E00-000002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전기말환율로 FIX: 20년말 전액손상으로 환산평가하지 않음</t>
      </text>
    </comment>
  </commentList>
</comments>
</file>

<file path=xl/sharedStrings.xml><?xml version="1.0" encoding="utf-8"?>
<sst xmlns="http://schemas.openxmlformats.org/spreadsheetml/2006/main" count="12568" uniqueCount="2926">
  <si>
    <t>자산</t>
  </si>
  <si>
    <t>현금및현금성자산</t>
  </si>
  <si>
    <t>재고자산</t>
  </si>
  <si>
    <t>당기법인세자산</t>
  </si>
  <si>
    <t>기타유동자산</t>
  </si>
  <si>
    <t>유형자산</t>
  </si>
  <si>
    <t>무형자산</t>
  </si>
  <si>
    <t>기타비유동자산</t>
  </si>
  <si>
    <t>부채</t>
  </si>
  <si>
    <t>유동부채</t>
  </si>
  <si>
    <t>자본금</t>
  </si>
  <si>
    <t>지배주주지분</t>
  </si>
  <si>
    <t>자본잉여금</t>
  </si>
  <si>
    <t>이익잉여금</t>
  </si>
  <si>
    <t>자본총계</t>
  </si>
  <si>
    <t>드림어스컴퍼니</t>
  </si>
  <si>
    <t>CODE_ERP</t>
  </si>
  <si>
    <t>FSC</t>
  </si>
  <si>
    <t>TB Upload</t>
  </si>
  <si>
    <t>계정과목</t>
  </si>
  <si>
    <t>I.유동자산</t>
  </si>
  <si>
    <t>보통예금(원화)</t>
  </si>
  <si>
    <t>보통예금(외화)</t>
  </si>
  <si>
    <t>매출채권및기타채권</t>
  </si>
  <si>
    <t>외상매출금(원화)</t>
  </si>
  <si>
    <t>대손충당금(외상매출금_원화)</t>
  </si>
  <si>
    <t>외상매출금(외화)</t>
  </si>
  <si>
    <t>대손충당금(외상매출금_외화)</t>
  </si>
  <si>
    <t>외상매출금(원화_추정_음원유통)</t>
  </si>
  <si>
    <t>외상매출금(원화_추정_FLO)</t>
  </si>
  <si>
    <t>외상매출금(원화_추정_일반)</t>
  </si>
  <si>
    <t>단기대여금(원화)</t>
  </si>
  <si>
    <t>미수금(원화_일반)</t>
  </si>
  <si>
    <t>미수금(외화_일반)</t>
  </si>
  <si>
    <t>미수금(원화_공연투자자산)</t>
  </si>
  <si>
    <t>미수금(외화_공연투자자산)</t>
  </si>
  <si>
    <t>미수수익</t>
  </si>
  <si>
    <t>임차보증금(유동)</t>
  </si>
  <si>
    <t>단기투자자산</t>
  </si>
  <si>
    <t>기타단기금융상품</t>
  </si>
  <si>
    <t>당기손익-공정가치측정금융자산(유동)</t>
  </si>
  <si>
    <t>기타포괄손익-공정가치측정금융자산(유동)</t>
  </si>
  <si>
    <t>상각후원가금융자산(유동)</t>
  </si>
  <si>
    <t>상품</t>
  </si>
  <si>
    <t>상품평가손실충당금</t>
  </si>
  <si>
    <t>제품</t>
  </si>
  <si>
    <t>제품평가손실충당금</t>
  </si>
  <si>
    <t>재공품</t>
  </si>
  <si>
    <t>재공품평가손실충당금</t>
  </si>
  <si>
    <t>원재료</t>
  </si>
  <si>
    <t>원재료평가손실충당금</t>
  </si>
  <si>
    <t>미착품</t>
  </si>
  <si>
    <t>선급법인세</t>
  </si>
  <si>
    <t>선급법인지방소득세</t>
  </si>
  <si>
    <t>미수법인세</t>
  </si>
  <si>
    <t>미수법인지방소득세</t>
  </si>
  <si>
    <t>선급비용(일반)</t>
  </si>
  <si>
    <t>선급비용(기타)</t>
  </si>
  <si>
    <t>선급비용(MG)</t>
  </si>
  <si>
    <t>기타유동자산(환불)</t>
  </si>
  <si>
    <t>선급금(원화_일반)</t>
  </si>
  <si>
    <t>선급금(원화_로열티)</t>
  </si>
  <si>
    <t>선급금(외화_로열티)</t>
  </si>
  <si>
    <t>선급금(외화_일반)</t>
  </si>
  <si>
    <t>선급금(원화_금형)</t>
  </si>
  <si>
    <t>선급금(원화_산업재산권)</t>
  </si>
  <si>
    <t>선급금(원화_출장)</t>
  </si>
  <si>
    <t>부가세대급금(일반)</t>
  </si>
  <si>
    <t>113350</t>
  </si>
  <si>
    <t>미수부가세</t>
  </si>
  <si>
    <t>II.비유동자산</t>
  </si>
  <si>
    <t>매출채권및기타채권(비유동)</t>
  </si>
  <si>
    <t>보증금(비유동_기타)</t>
  </si>
  <si>
    <t>전신전화가입권</t>
  </si>
  <si>
    <t>임차보증금(비유동)현재가치할인차금</t>
  </si>
  <si>
    <t>임차보증금(비유동)</t>
  </si>
  <si>
    <t>장기투자자산</t>
  </si>
  <si>
    <t>당기손익-공정가치측정금융자산(비유동)</t>
  </si>
  <si>
    <t>기타장기금융상품(비유동)</t>
  </si>
  <si>
    <t>기타포괄손익-공정가치측정금융자산(비유동)</t>
  </si>
  <si>
    <t>종속기업및관계기업투자</t>
  </si>
  <si>
    <t>종속기업투자주식</t>
  </si>
  <si>
    <t>900023</t>
  </si>
  <si>
    <t>관계기업투자주식</t>
  </si>
  <si>
    <t>기계장치</t>
  </si>
  <si>
    <t>기계장치감가상각누계액</t>
  </si>
  <si>
    <t>차량운반구</t>
  </si>
  <si>
    <t>차량운반구감가상각누계액</t>
  </si>
  <si>
    <t>차량운반구평가손실누계액</t>
  </si>
  <si>
    <t>공구와기구</t>
  </si>
  <si>
    <t>공구와기구감가상각누계액</t>
  </si>
  <si>
    <t>공구와기구평가손실누계액</t>
  </si>
  <si>
    <t>금형</t>
  </si>
  <si>
    <t>금형감가상각누계액</t>
  </si>
  <si>
    <t>금형평가손실누계액</t>
  </si>
  <si>
    <t>비품</t>
  </si>
  <si>
    <t>비품감가상각누계액</t>
  </si>
  <si>
    <t>비품평가손실누계액</t>
  </si>
  <si>
    <t>기타의유형자산</t>
  </si>
  <si>
    <t>기타의유형자산감가상각누계액</t>
  </si>
  <si>
    <t>기타의유형자산평가손실누계액</t>
  </si>
  <si>
    <t>사용권자산(건물)</t>
  </si>
  <si>
    <t>사용권자산(건물)감가상각누계액</t>
  </si>
  <si>
    <t>사용권자산(차량운반구)</t>
  </si>
  <si>
    <t>사용권자산(차량운반구)감가상각누계액</t>
  </si>
  <si>
    <t>125610</t>
  </si>
  <si>
    <t>의장권</t>
  </si>
  <si>
    <t>112620</t>
  </si>
  <si>
    <t>의장권감가상각누계액</t>
  </si>
  <si>
    <t>125700</t>
  </si>
  <si>
    <t>개발비</t>
  </si>
  <si>
    <t>125710</t>
  </si>
  <si>
    <t>개발비감가상각누계액</t>
  </si>
  <si>
    <t>125720</t>
  </si>
  <si>
    <t>개발비평가손실누계액</t>
  </si>
  <si>
    <t>특허권</t>
  </si>
  <si>
    <t>상표권</t>
  </si>
  <si>
    <t>125800</t>
  </si>
  <si>
    <t>실용신안권</t>
  </si>
  <si>
    <t>125310</t>
  </si>
  <si>
    <t>특허권감가상각누계액</t>
  </si>
  <si>
    <t>125810</t>
  </si>
  <si>
    <t>실용신안권감가상각누계액</t>
  </si>
  <si>
    <t>소프트웨어</t>
  </si>
  <si>
    <t>125920</t>
  </si>
  <si>
    <t>소프트웨어평가손실누계액</t>
  </si>
  <si>
    <t>125910</t>
  </si>
  <si>
    <t>소프트웨어감가상각누계액</t>
  </si>
  <si>
    <t>125650</t>
  </si>
  <si>
    <t>영업권</t>
  </si>
  <si>
    <t>125660</t>
  </si>
  <si>
    <t>영업권평가손실누계액</t>
  </si>
  <si>
    <t>음원음반유통권</t>
  </si>
  <si>
    <t>음원음반유통권감가상각누계액</t>
  </si>
  <si>
    <t>음악저작인접재산권</t>
  </si>
  <si>
    <t>음악저작인접재산권상각누계액</t>
  </si>
  <si>
    <t>장기선급비용</t>
  </si>
  <si>
    <t>매입채무및기타채무</t>
  </si>
  <si>
    <t>외상매입금(원화)</t>
  </si>
  <si>
    <t>외상매입금(외화)</t>
  </si>
  <si>
    <t>외상매입금(원화_추정_음원유통)</t>
  </si>
  <si>
    <t>외상매입금(원화_추정_FLO)</t>
  </si>
  <si>
    <t>외상매입금(원화_추정_고음질)</t>
  </si>
  <si>
    <t>외상매입금(원화_추정_일반)</t>
  </si>
  <si>
    <t>미지급금(원화)</t>
  </si>
  <si>
    <t>미지급금(외화)</t>
  </si>
  <si>
    <t>미지급금(공용법인카드)</t>
  </si>
  <si>
    <t>미지급금(개인법인카드)</t>
  </si>
  <si>
    <t>미지급금(수입부대비용)</t>
  </si>
  <si>
    <t>미지급금(원화_추정)</t>
  </si>
  <si>
    <t>미지급비용(원화)</t>
  </si>
  <si>
    <t>미지급비용(외화)</t>
  </si>
  <si>
    <t>미지급비용(원화_로열티)</t>
  </si>
  <si>
    <t>미지급비용(외화_로열티)</t>
  </si>
  <si>
    <t>미지급비용(연차휴가)</t>
  </si>
  <si>
    <t>임대보증금(유동)</t>
  </si>
  <si>
    <t>유동금융부채</t>
  </si>
  <si>
    <t>단기차입금(원화)</t>
  </si>
  <si>
    <t>전환사채(유동)</t>
  </si>
  <si>
    <t>전환사채상환할증금(유동)</t>
  </si>
  <si>
    <t>사채할인발행차금(유동)</t>
  </si>
  <si>
    <t>전환권조정(유동)</t>
  </si>
  <si>
    <t>기타유동부채</t>
  </si>
  <si>
    <t>선수금(원화)</t>
  </si>
  <si>
    <t>선수금(외화)</t>
  </si>
  <si>
    <t>선수금(컨텐츠)</t>
  </si>
  <si>
    <t>선수금(CMD)</t>
  </si>
  <si>
    <t>선수금(원화_가수금)</t>
  </si>
  <si>
    <t>선수수익(일반)</t>
  </si>
  <si>
    <t>선수수익(컨텐츠)</t>
  </si>
  <si>
    <t>선수수익(FLO)</t>
  </si>
  <si>
    <t>예수금(소득세)</t>
  </si>
  <si>
    <t>예수금(주민세)</t>
  </si>
  <si>
    <t>예수금(건강보험)</t>
  </si>
  <si>
    <t>예수금(국민연금)</t>
  </si>
  <si>
    <t>예수금(고용보험)</t>
  </si>
  <si>
    <t>예수금(기타)</t>
  </si>
  <si>
    <t>예수금(음반총액부가세)</t>
  </si>
  <si>
    <t>예수금(음반금융부채)</t>
  </si>
  <si>
    <t>부가세예수금</t>
  </si>
  <si>
    <t>판매보증충당부채(유동)</t>
  </si>
  <si>
    <t>계약부채</t>
  </si>
  <si>
    <t>리스부채(유동)</t>
  </si>
  <si>
    <t>II.비유동부채</t>
  </si>
  <si>
    <t>순확정급여부채</t>
  </si>
  <si>
    <t>퇴직급여충당금</t>
  </si>
  <si>
    <t>퇴직연금운용자산</t>
  </si>
  <si>
    <t>기타부채</t>
  </si>
  <si>
    <t>복구충당부채(비유동)</t>
  </si>
  <si>
    <t>리스부채(비유동)</t>
  </si>
  <si>
    <t>보통주자본금</t>
  </si>
  <si>
    <t>주식발행초과금</t>
  </si>
  <si>
    <t>전환권대가</t>
  </si>
  <si>
    <t>기타자본잉여금</t>
  </si>
  <si>
    <t>기타자본항목</t>
  </si>
  <si>
    <t>자기주식</t>
  </si>
  <si>
    <t>자기주식처분손실</t>
  </si>
  <si>
    <t>주식매수선택권</t>
  </si>
  <si>
    <t>기타자본조정</t>
  </si>
  <si>
    <t>연결1</t>
  </si>
  <si>
    <t>지분법 자본변동</t>
  </si>
  <si>
    <t>연결2</t>
  </si>
  <si>
    <t>부의 지분법 자본변동</t>
  </si>
  <si>
    <t>연결3</t>
  </si>
  <si>
    <t>해외사업환산(차)대</t>
  </si>
  <si>
    <t>보험수리적이익</t>
  </si>
  <si>
    <t>input_1</t>
  </si>
  <si>
    <t>전기이월이익잉여금</t>
  </si>
  <si>
    <t>input_2</t>
  </si>
  <si>
    <t>당기순이익</t>
  </si>
  <si>
    <t>비지배주주지분</t>
  </si>
  <si>
    <t>input_3</t>
  </si>
  <si>
    <t>부채와자본총계</t>
  </si>
  <si>
    <t>Iriver Inc</t>
  </si>
  <si>
    <t>Groovers Japan Co., Ltd.</t>
  </si>
  <si>
    <t>S.M. Life Design Company Japan Inc.</t>
  </si>
  <si>
    <t>그루버스</t>
  </si>
  <si>
    <t>Iriver Enterprise Ltd(연결)</t>
  </si>
  <si>
    <t>미지급법인세</t>
  </si>
  <si>
    <t>BS신설1</t>
  </si>
  <si>
    <t>BS신설2</t>
  </si>
  <si>
    <t>BS신설3</t>
  </si>
  <si>
    <t>BS신설4</t>
  </si>
  <si>
    <t>BS신설5</t>
  </si>
  <si>
    <t>BS신설6</t>
  </si>
  <si>
    <t>주식할인발행차금</t>
  </si>
  <si>
    <t>연결4</t>
  </si>
  <si>
    <t>단순합</t>
  </si>
  <si>
    <t>매출액</t>
  </si>
  <si>
    <t>상품매출</t>
  </si>
  <si>
    <t>제품매출</t>
  </si>
  <si>
    <t>음원유통판매매출</t>
  </si>
  <si>
    <t>음반유통수수료매출</t>
  </si>
  <si>
    <t>음원서비스매출</t>
  </si>
  <si>
    <t>고음질음원다운로드매출</t>
  </si>
  <si>
    <t>공연기획매출</t>
  </si>
  <si>
    <t>공연투자매출</t>
  </si>
  <si>
    <t>기타매출</t>
  </si>
  <si>
    <t>매출원가</t>
  </si>
  <si>
    <t>420090</t>
  </si>
  <si>
    <t>상품매출원가</t>
  </si>
  <si>
    <t>420199</t>
  </si>
  <si>
    <t>제품매출원가</t>
  </si>
  <si>
    <t>420503</t>
  </si>
  <si>
    <t>음원유통매출원가</t>
  </si>
  <si>
    <t>420502</t>
  </si>
  <si>
    <t>음반유통수수료매출원가</t>
  </si>
  <si>
    <t>420700</t>
  </si>
  <si>
    <t>음원서비스매출원가</t>
  </si>
  <si>
    <t>420800</t>
  </si>
  <si>
    <t>고음질음원다운로드매출원가</t>
  </si>
  <si>
    <t>420900</t>
  </si>
  <si>
    <t>공연기획매출원가</t>
  </si>
  <si>
    <t>421000</t>
  </si>
  <si>
    <t>공연투자매출원가</t>
  </si>
  <si>
    <t>420500</t>
  </si>
  <si>
    <t>기타매출원가</t>
  </si>
  <si>
    <t>매출총이익</t>
  </si>
  <si>
    <t>판매비와관리비</t>
  </si>
  <si>
    <t>621000</t>
  </si>
  <si>
    <t>급여</t>
  </si>
  <si>
    <t>622000</t>
  </si>
  <si>
    <t>퇴직급여</t>
  </si>
  <si>
    <t>623000</t>
  </si>
  <si>
    <t>복리후생비</t>
  </si>
  <si>
    <t>624000</t>
  </si>
  <si>
    <t>여비교통비</t>
  </si>
  <si>
    <t>625000</t>
  </si>
  <si>
    <t>접대비</t>
  </si>
  <si>
    <t>626000</t>
  </si>
  <si>
    <t>통신비</t>
  </si>
  <si>
    <t>627000</t>
  </si>
  <si>
    <t>수도광열비</t>
  </si>
  <si>
    <t>628000</t>
  </si>
  <si>
    <t>세금과공과</t>
  </si>
  <si>
    <t>630000</t>
  </si>
  <si>
    <t>임차료</t>
  </si>
  <si>
    <t>631000</t>
  </si>
  <si>
    <t>수선비</t>
  </si>
  <si>
    <t>632000</t>
  </si>
  <si>
    <t>보험료</t>
  </si>
  <si>
    <t>633000</t>
  </si>
  <si>
    <t>차량유지비</t>
  </si>
  <si>
    <t>634000</t>
  </si>
  <si>
    <t>경상개발비</t>
  </si>
  <si>
    <t>635000</t>
  </si>
  <si>
    <t>운반비</t>
  </si>
  <si>
    <t>636000</t>
  </si>
  <si>
    <t>포장비</t>
  </si>
  <si>
    <t>637000</t>
  </si>
  <si>
    <t>교육훈련비</t>
  </si>
  <si>
    <t>638000</t>
  </si>
  <si>
    <t>도서인쇄비</t>
  </si>
  <si>
    <t>639000</t>
  </si>
  <si>
    <t>소모품비</t>
  </si>
  <si>
    <t>640000</t>
  </si>
  <si>
    <t>지급수수료</t>
  </si>
  <si>
    <t>641000</t>
  </si>
  <si>
    <t>광고선전비</t>
  </si>
  <si>
    <t>642000</t>
  </si>
  <si>
    <t>해외시장개척비</t>
  </si>
  <si>
    <t>643000</t>
  </si>
  <si>
    <t>대손상각비</t>
  </si>
  <si>
    <t>644000</t>
  </si>
  <si>
    <t>수출제비용</t>
  </si>
  <si>
    <t>646000</t>
  </si>
  <si>
    <t>견본비</t>
  </si>
  <si>
    <t>647000</t>
  </si>
  <si>
    <t>제품보증수리비용</t>
  </si>
  <si>
    <t>649000</t>
  </si>
  <si>
    <t>복구충당부채전입액</t>
  </si>
  <si>
    <t>648000</t>
  </si>
  <si>
    <t>잡비</t>
  </si>
  <si>
    <t>영업이익</t>
  </si>
  <si>
    <t>금융수익</t>
  </si>
  <si>
    <t>711111</t>
  </si>
  <si>
    <t>이자수익(예금이자)</t>
  </si>
  <si>
    <t>711191</t>
  </si>
  <si>
    <t>이자수익(기타)</t>
  </si>
  <si>
    <t>711901</t>
  </si>
  <si>
    <t>외환차익(공정가치측정금융상품)</t>
  </si>
  <si>
    <t>711902</t>
  </si>
  <si>
    <t>외환차익(상각후원가측정자산)</t>
  </si>
  <si>
    <t>711903</t>
  </si>
  <si>
    <t>외환차익(상각후원가측정부채)</t>
  </si>
  <si>
    <t>712102</t>
  </si>
  <si>
    <t>외화환산이익(상각후원가측정자산)</t>
  </si>
  <si>
    <t>712103</t>
  </si>
  <si>
    <t>외화환산이익(상각후원가측정부채)</t>
  </si>
  <si>
    <t>713580</t>
  </si>
  <si>
    <t>당기손익공정가치측정금융자산평가이익</t>
  </si>
  <si>
    <t>713900</t>
  </si>
  <si>
    <t>당기손익공정가치측정금융자산처분이익</t>
  </si>
  <si>
    <t>금융비용</t>
  </si>
  <si>
    <t>731100</t>
  </si>
  <si>
    <t>이자비용(사채)</t>
  </si>
  <si>
    <t>731200</t>
  </si>
  <si>
    <t>이자비용(차입금)</t>
  </si>
  <si>
    <t>731400</t>
  </si>
  <si>
    <t>이자비용(리스부채)</t>
  </si>
  <si>
    <t>731702</t>
  </si>
  <si>
    <t>외환차손(상각후원가측정자산)</t>
  </si>
  <si>
    <t>731703</t>
  </si>
  <si>
    <t>외환차손(상각후원가측정부채)</t>
  </si>
  <si>
    <t>731701</t>
  </si>
  <si>
    <t>외환차손(공정가치측정금융상품)</t>
  </si>
  <si>
    <t>731902</t>
  </si>
  <si>
    <t>외화환산손실(상각후원가측정자산)</t>
  </si>
  <si>
    <t>731903</t>
  </si>
  <si>
    <t>외화환산손실(상각후원가측정부채)</t>
  </si>
  <si>
    <t>IS신설1</t>
  </si>
  <si>
    <t>당기손익공정가치측정금융자산평가손실</t>
  </si>
  <si>
    <t>IS신설2</t>
  </si>
  <si>
    <t>당기손익공정가치측정금융자산처분손실</t>
  </si>
  <si>
    <t>기타영업외수익</t>
  </si>
  <si>
    <t>712700</t>
  </si>
  <si>
    <t xml:space="preserve"> 유형자산처분이익</t>
  </si>
  <si>
    <t>712800</t>
  </si>
  <si>
    <t xml:space="preserve"> 무형자산처분이익</t>
  </si>
  <si>
    <t>713499</t>
  </si>
  <si>
    <t xml:space="preserve"> 잡이익</t>
  </si>
  <si>
    <t>기타영업외비용</t>
  </si>
  <si>
    <t>732800</t>
  </si>
  <si>
    <t xml:space="preserve"> 무형자산평가손실</t>
  </si>
  <si>
    <t>732900</t>
  </si>
  <si>
    <t xml:space="preserve"> 유형자산처분손실</t>
  </si>
  <si>
    <t>733280</t>
  </si>
  <si>
    <t xml:space="preserve"> 소송충당부채전입액</t>
  </si>
  <si>
    <t>733300</t>
  </si>
  <si>
    <t xml:space="preserve"> 잡손실</t>
  </si>
  <si>
    <t>관계기업투자</t>
  </si>
  <si>
    <t>연결IS_1</t>
  </si>
  <si>
    <t>지분법이익(손실)</t>
  </si>
  <si>
    <t>연결IS_2</t>
  </si>
  <si>
    <t>관계기업투자주식처분이익(손실)</t>
  </si>
  <si>
    <t>연결IS_3</t>
  </si>
  <si>
    <t>지분법적용투자주식손상차손</t>
  </si>
  <si>
    <t>종속기업투자주식손상차손</t>
  </si>
  <si>
    <t>732360</t>
  </si>
  <si>
    <t>법인세비용차감전순손익</t>
  </si>
  <si>
    <t>법인세비용</t>
  </si>
  <si>
    <t>5110000</t>
  </si>
  <si>
    <t>당기순이익(손실)</t>
  </si>
  <si>
    <t>연결IS_4</t>
  </si>
  <si>
    <t>연결IS_5</t>
  </si>
  <si>
    <t>유형자산상각비</t>
  </si>
  <si>
    <t>무형자산상각비</t>
  </si>
  <si>
    <t>이자비용(기타)</t>
  </si>
  <si>
    <t>IS신설3</t>
  </si>
  <si>
    <t>629000</t>
  </si>
  <si>
    <t>645000</t>
  </si>
  <si>
    <t>1.0. 기초조정</t>
  </si>
  <si>
    <t>CS합병시 주식할인차금 제거 (2015년)</t>
  </si>
  <si>
    <t>CODE</t>
  </si>
  <si>
    <t>2018 4Q</t>
  </si>
  <si>
    <t>2019 1Q</t>
  </si>
  <si>
    <t>2019 2Q</t>
  </si>
  <si>
    <t>2019 4Q</t>
  </si>
  <si>
    <t>합병차익취소</t>
  </si>
  <si>
    <t>ICS 합병시 처리</t>
  </si>
  <si>
    <t>MPMAN 합병시 처리</t>
  </si>
  <si>
    <t>이월이익잉여금</t>
  </si>
  <si>
    <t>2.0. Scope</t>
  </si>
  <si>
    <t xml:space="preserve">3.0. 내부거래 </t>
  </si>
  <si>
    <t>DR</t>
  </si>
  <si>
    <t>CR</t>
  </si>
  <si>
    <t>NET</t>
  </si>
  <si>
    <t>채권채무상계</t>
  </si>
  <si>
    <t>수익비용상계</t>
  </si>
  <si>
    <t>4.0. 미실현손익</t>
  </si>
  <si>
    <t>5.0. 공정가치차액</t>
  </si>
  <si>
    <t>AK-100,120,240,380</t>
  </si>
  <si>
    <t>결산일 현재 재고 금액</t>
  </si>
  <si>
    <t>아이리버 &gt; iriver inc 하향판매</t>
  </si>
  <si>
    <t>구분</t>
  </si>
  <si>
    <t>매출총이익률</t>
  </si>
  <si>
    <t>미실현손익</t>
  </si>
  <si>
    <t>아이리버 &gt; ent. 하향판매</t>
  </si>
  <si>
    <t>groovers JP</t>
  </si>
  <si>
    <t>제품(AK-100)</t>
  </si>
  <si>
    <t>제품(기타)</t>
  </si>
  <si>
    <t>당기순이익_I/S</t>
  </si>
  <si>
    <t>관계사 채권에 대한 대손충당금</t>
  </si>
  <si>
    <t>Enterprise</t>
  </si>
  <si>
    <t>Iriver Inc.</t>
  </si>
  <si>
    <t>Groovers JP</t>
  </si>
  <si>
    <t>대손충당금</t>
  </si>
  <si>
    <t>합계</t>
  </si>
  <si>
    <t>SMLDC</t>
  </si>
  <si>
    <t>독접적 판매권 공정가치차액 상각</t>
  </si>
  <si>
    <t>금액(in JPY)</t>
  </si>
  <si>
    <t>내용연수(월)</t>
  </si>
  <si>
    <t xml:space="preserve">2017 Q4 </t>
  </si>
  <si>
    <t xml:space="preserve">2018 Q1 </t>
  </si>
  <si>
    <t xml:space="preserve">2018 Q2 </t>
  </si>
  <si>
    <t xml:space="preserve">2018 Q3 </t>
  </si>
  <si>
    <t xml:space="preserve">2018 Q4 </t>
  </si>
  <si>
    <t xml:space="preserve">2019 Q1 </t>
  </si>
  <si>
    <t xml:space="preserve">2019 Q2 </t>
  </si>
  <si>
    <t xml:space="preserve">2019 Q3 </t>
  </si>
  <si>
    <t xml:space="preserve">2019 Q4 </t>
  </si>
  <si>
    <t xml:space="preserve">2020 Q1 </t>
  </si>
  <si>
    <t xml:space="preserve">2020 Q2 </t>
  </si>
  <si>
    <t xml:space="preserve">2020 Q3 </t>
  </si>
  <si>
    <t xml:space="preserve">2020 Q4 </t>
  </si>
  <si>
    <t xml:space="preserve">2021 Q1 </t>
  </si>
  <si>
    <t xml:space="preserve">2021 Q2 </t>
  </si>
  <si>
    <t xml:space="preserve">2021 Q3 </t>
  </si>
  <si>
    <t xml:space="preserve">2021 Q4 </t>
  </si>
  <si>
    <t>무형자산-기타의무형자산</t>
  </si>
  <si>
    <t>판매비와관리비-무형자산상각비</t>
  </si>
  <si>
    <t>법인세비용-법인세비용</t>
  </si>
  <si>
    <t>이연법인세부채-유동이연법인세부채</t>
  </si>
  <si>
    <t>IN JPY</t>
  </si>
  <si>
    <t>IN KRW</t>
  </si>
  <si>
    <t>기말환율</t>
  </si>
  <si>
    <t>평균환율</t>
  </si>
  <si>
    <t>공정가조정</t>
  </si>
  <si>
    <t>투자Code</t>
  </si>
  <si>
    <t>영업권 발생Center</t>
  </si>
  <si>
    <t>기초</t>
  </si>
  <si>
    <t>범위변동</t>
  </si>
  <si>
    <t>손상인식</t>
  </si>
  <si>
    <t>연결조정</t>
  </si>
  <si>
    <t>기타조정</t>
  </si>
  <si>
    <t>증감</t>
  </si>
  <si>
    <t>최초발생</t>
  </si>
  <si>
    <t>아이리버CS</t>
  </si>
  <si>
    <t>손상차손인식</t>
  </si>
  <si>
    <t>신규취득</t>
  </si>
  <si>
    <t>SMMCJP</t>
  </si>
  <si>
    <t>CURRENCY</t>
  </si>
  <si>
    <t>JPY</t>
  </si>
  <si>
    <t>KRW</t>
  </si>
  <si>
    <t>In local currency</t>
  </si>
  <si>
    <t>In KRW</t>
  </si>
  <si>
    <t>환산</t>
  </si>
  <si>
    <t>비고</t>
  </si>
  <si>
    <t>N/A</t>
  </si>
  <si>
    <t>SMMC(드림어스별도)</t>
  </si>
  <si>
    <t>손상&amp;환산</t>
  </si>
  <si>
    <t>무형자산처분손실</t>
  </si>
  <si>
    <t>IS신설4</t>
  </si>
  <si>
    <t>대사</t>
  </si>
  <si>
    <t>이연법인세부채(비유동)</t>
  </si>
  <si>
    <t>무형자산평가손실(손상차손)</t>
  </si>
  <si>
    <t>연결5</t>
  </si>
  <si>
    <t>6.0. 기타조정</t>
  </si>
  <si>
    <t>감가상각비</t>
  </si>
  <si>
    <t>연결조정합계</t>
  </si>
  <si>
    <t>7.0. 지분법</t>
  </si>
  <si>
    <t>8.0. 투자자본상계</t>
  </si>
  <si>
    <t>NCE</t>
  </si>
  <si>
    <t>AS-IS</t>
  </si>
  <si>
    <t>TO-BE</t>
  </si>
  <si>
    <t>ADJ.</t>
  </si>
  <si>
    <t>기본추정값</t>
  </si>
  <si>
    <t>조정액</t>
  </si>
  <si>
    <t>연결BS</t>
  </si>
  <si>
    <t>Entity</t>
  </si>
  <si>
    <t>유효지분율</t>
  </si>
  <si>
    <t>Scope</t>
  </si>
  <si>
    <t>No.</t>
  </si>
  <si>
    <t>투자회사</t>
  </si>
  <si>
    <t>피투자회사</t>
  </si>
  <si>
    <t>소재지</t>
  </si>
  <si>
    <t>2017년말</t>
  </si>
  <si>
    <t>2018년말</t>
  </si>
  <si>
    <t>법정지분율</t>
  </si>
  <si>
    <t>iriver Enterprise Ltd.</t>
  </si>
  <si>
    <t>홍콩</t>
  </si>
  <si>
    <t>iriver Inc.</t>
  </si>
  <si>
    <t>미국</t>
  </si>
  <si>
    <t>groovers Japan Co., Ltd</t>
  </si>
  <si>
    <t>일본</t>
  </si>
  <si>
    <t>LIFE DESIGN COMPANY Inc.</t>
  </si>
  <si>
    <t>SM Mobile Communications Japan Inc</t>
  </si>
  <si>
    <t>2018년 중 Groovers JP에 합병(7/1)</t>
  </si>
  <si>
    <t>(주)그루버스</t>
  </si>
  <si>
    <t>한국</t>
  </si>
  <si>
    <t>iriver China Co., Ltd.</t>
  </si>
  <si>
    <t>중국</t>
  </si>
  <si>
    <t>Dongguan iriver Electronics Co., Ltd.</t>
  </si>
  <si>
    <t>연결</t>
  </si>
  <si>
    <t>CE</t>
  </si>
  <si>
    <t>FVOCI평가손익</t>
  </si>
  <si>
    <t>지분법자본변동</t>
  </si>
  <si>
    <t>보험수리적손익</t>
  </si>
  <si>
    <t>당기자본</t>
  </si>
  <si>
    <t>전기자본</t>
  </si>
  <si>
    <t>SMMC JP</t>
  </si>
  <si>
    <t>자본변동</t>
  </si>
  <si>
    <t>유상증자</t>
  </si>
  <si>
    <t>건설중인자산</t>
  </si>
  <si>
    <t>(환산)</t>
  </si>
  <si>
    <t>연결조정(영업권)</t>
  </si>
  <si>
    <t>연결조정(기타)</t>
  </si>
  <si>
    <t>기타</t>
  </si>
  <si>
    <t>연결 I/S</t>
  </si>
  <si>
    <t>관계회사 재무정보</t>
  </si>
  <si>
    <t>#</t>
    <phoneticPr fontId="0" type="noConversion"/>
  </si>
  <si>
    <t>계정명</t>
  </si>
  <si>
    <t>BS</t>
    <phoneticPr fontId="0" type="noConversion"/>
  </si>
  <si>
    <t>유동자산</t>
  </si>
  <si>
    <t>비유동자산</t>
  </si>
  <si>
    <t>비유동부채</t>
  </si>
  <si>
    <t>자본</t>
  </si>
  <si>
    <t>IS</t>
    <phoneticPr fontId="0" type="noConversion"/>
  </si>
  <si>
    <t>영업이익(손실)</t>
  </si>
  <si>
    <t>기타포괄손익</t>
  </si>
  <si>
    <t>총포괄손익</t>
  </si>
  <si>
    <t>수령배당금</t>
  </si>
  <si>
    <t>관계회사_그루버스</t>
  </si>
  <si>
    <t>I/S당기순이익</t>
  </si>
  <si>
    <t>종속기업투자주식손상차손 reverse</t>
  </si>
  <si>
    <t>ENT,  INC., groovers jp 매출재분류 (연결관점에서는 Inc.의 매출이 제품매출)</t>
  </si>
  <si>
    <t>(*)</t>
  </si>
  <si>
    <t>기말</t>
  </si>
  <si>
    <t>투자회사</t>
    <phoneticPr fontId="10" type="noConversion"/>
  </si>
  <si>
    <t>피투자회사</t>
    <phoneticPr fontId="8" type="noConversion"/>
  </si>
  <si>
    <t>종속회사 지배회사자본(a1)</t>
    <phoneticPr fontId="10" type="noConversion"/>
  </si>
  <si>
    <t>공정가 조정(a2)</t>
  </si>
  <si>
    <t>지분법조정</t>
    <phoneticPr fontId="10" type="noConversion"/>
  </si>
  <si>
    <t>미실현손익</t>
    <phoneticPr fontId="10" type="noConversion"/>
  </si>
  <si>
    <t>기타</t>
    <phoneticPr fontId="10" type="noConversion"/>
  </si>
  <si>
    <t>합계(a1+a2+a3+a4)</t>
    <phoneticPr fontId="10" type="noConversion"/>
  </si>
  <si>
    <t>비지배유효지분율</t>
  </si>
  <si>
    <t>비지배지분A</t>
  </si>
  <si>
    <t>투자주식금액(b1)</t>
  </si>
  <si>
    <t>영업권미상각액(b2)</t>
  </si>
  <si>
    <t>합계(b1-b2)</t>
  </si>
  <si>
    <t>중복계산지분율</t>
    <phoneticPr fontId="8" type="noConversion"/>
  </si>
  <si>
    <t>비지배지분B</t>
  </si>
  <si>
    <t>비지배지분(A-B)</t>
    <phoneticPr fontId="8" type="noConversion"/>
  </si>
  <si>
    <t>자체 비지배지분</t>
    <phoneticPr fontId="8" type="noConversion"/>
  </si>
  <si>
    <t>비지배지분추정값</t>
    <phoneticPr fontId="8" type="noConversion"/>
  </si>
  <si>
    <t>N/A</t>
    <phoneticPr fontId="10" type="noConversion"/>
  </si>
  <si>
    <t>SMC</t>
  </si>
  <si>
    <t>Other</t>
    <phoneticPr fontId="8" type="noConversion"/>
  </si>
  <si>
    <t>NCI 검증</t>
    <phoneticPr fontId="8" type="noConversion"/>
  </si>
  <si>
    <t>회사명</t>
  </si>
  <si>
    <t>지배회사순이익</t>
    <phoneticPr fontId="8" type="noConversion"/>
  </si>
  <si>
    <t>1차조정</t>
    <phoneticPr fontId="8" type="noConversion"/>
  </si>
  <si>
    <t>2차조정</t>
    <phoneticPr fontId="8" type="noConversion"/>
  </si>
  <si>
    <t>TB수정</t>
    <phoneticPr fontId="8" type="noConversion"/>
  </si>
  <si>
    <t>미실현손익조정</t>
    <phoneticPr fontId="8" type="noConversion"/>
  </si>
  <si>
    <t>Fair Value상각 등</t>
    <phoneticPr fontId="8" type="noConversion"/>
  </si>
  <si>
    <t>조정NI</t>
    <phoneticPr fontId="8" type="noConversion"/>
  </si>
  <si>
    <t>비지배_유효지분율</t>
  </si>
  <si>
    <t>시산비지배손익</t>
    <phoneticPr fontId="8" type="noConversion"/>
  </si>
  <si>
    <t>비지배회사지분NI</t>
    <phoneticPr fontId="8" type="noConversion"/>
  </si>
  <si>
    <t>Total</t>
    <phoneticPr fontId="8" type="noConversion"/>
  </si>
  <si>
    <t>시산표대사</t>
    <phoneticPr fontId="8" type="noConversion"/>
  </si>
  <si>
    <t>차액</t>
    <phoneticPr fontId="8" type="noConversion"/>
  </si>
  <si>
    <t>NCE 검증</t>
    <phoneticPr fontId="8" type="noConversion"/>
  </si>
  <si>
    <t>기초NCE</t>
    <phoneticPr fontId="8" type="noConversion"/>
  </si>
  <si>
    <t>NCI</t>
    <phoneticPr fontId="8" type="noConversion"/>
  </si>
  <si>
    <t>매도가능평가손익</t>
    <phoneticPr fontId="8" type="noConversion"/>
  </si>
  <si>
    <t>지분법자본변동</t>
    <phoneticPr fontId="8" type="noConversion"/>
  </si>
  <si>
    <t>해외사업환산손익</t>
    <phoneticPr fontId="8" type="noConversion"/>
  </si>
  <si>
    <t>보험수리적손익</t>
    <phoneticPr fontId="8" type="noConversion"/>
  </si>
  <si>
    <t>배당</t>
    <phoneticPr fontId="8" type="noConversion"/>
  </si>
  <si>
    <t>증가(감소)</t>
    <phoneticPr fontId="8" type="noConversion"/>
  </si>
  <si>
    <t>자본거래손익</t>
    <phoneticPr fontId="8" type="noConversion"/>
  </si>
  <si>
    <t>기타</t>
    <phoneticPr fontId="8" type="noConversion"/>
  </si>
  <si>
    <t>기말NCE</t>
    <phoneticPr fontId="8" type="noConversion"/>
  </si>
  <si>
    <t>검증</t>
    <phoneticPr fontId="8" type="noConversion"/>
  </si>
  <si>
    <t>NI</t>
  </si>
  <si>
    <t>지배지분</t>
  </si>
  <si>
    <t>other adj.</t>
  </si>
  <si>
    <t>diff'</t>
  </si>
  <si>
    <t>-</t>
  </si>
  <si>
    <t>상품매출(내수)</t>
  </si>
  <si>
    <t>상품매출환입(내수)</t>
  </si>
  <si>
    <t>상품매출(수출)</t>
  </si>
  <si>
    <t>상품매출환입(수출)</t>
  </si>
  <si>
    <t>제품매출(내수)</t>
  </si>
  <si>
    <t>제품매출환입(내수)</t>
  </si>
  <si>
    <t>제품매출할인및에누리(수출)</t>
  </si>
  <si>
    <t>제품매출(수출)</t>
  </si>
  <si>
    <t>제품매출환입(수출)</t>
  </si>
  <si>
    <t>유형감가/차량운반구</t>
  </si>
  <si>
    <t>유형감가/비품</t>
  </si>
  <si>
    <t>유형감가/기타유형</t>
  </si>
  <si>
    <t>사용권감가/건물</t>
  </si>
  <si>
    <t>사용권감가/차량운반구</t>
  </si>
  <si>
    <t>연결법인코드</t>
  </si>
  <si>
    <t>계정번호</t>
  </si>
  <si>
    <t xml:space="preserve">G/L 계정설명 </t>
  </si>
  <si>
    <t>사업영역</t>
  </si>
  <si>
    <t>손익센터</t>
  </si>
  <si>
    <t>거래통화코드</t>
  </si>
  <si>
    <t>T198</t>
  </si>
  <si>
    <t>현금-원화</t>
  </si>
  <si>
    <t>보통예금</t>
  </si>
  <si>
    <t>단기금융상품</t>
  </si>
  <si>
    <t>외상매출금</t>
  </si>
  <si>
    <t>대손충당금(매출채권)</t>
  </si>
  <si>
    <t>외화외상매출금</t>
  </si>
  <si>
    <t>미수금</t>
  </si>
  <si>
    <t>선급금</t>
  </si>
  <si>
    <t>선급비용</t>
  </si>
  <si>
    <t>기계장치 감가상각누계액</t>
  </si>
  <si>
    <t>차량운반구 감가상각누계액</t>
  </si>
  <si>
    <t>차량운반구 감액손실누계액</t>
  </si>
  <si>
    <t>공구와기구 감가상각누계액</t>
  </si>
  <si>
    <t>공구와기구 감액손실누계액</t>
  </si>
  <si>
    <t>비품 감가상각누계액</t>
  </si>
  <si>
    <t>비품 감액손실누계액</t>
  </si>
  <si>
    <t>산업재산권</t>
  </si>
  <si>
    <t>기타의무형자산</t>
  </si>
  <si>
    <t>매입채무</t>
  </si>
  <si>
    <t>선수수익</t>
  </si>
  <si>
    <t>미지급금</t>
  </si>
  <si>
    <t>선수금</t>
  </si>
  <si>
    <t>예수금</t>
  </si>
  <si>
    <t>미지급세금</t>
  </si>
  <si>
    <t>미지급비용</t>
  </si>
  <si>
    <t>유동성장기부채-전환사채(유동)</t>
  </si>
  <si>
    <t>유동성장기부채-사할차(유동)</t>
  </si>
  <si>
    <t>유동성장기부채-전환권조정(유동)</t>
  </si>
  <si>
    <t>반품추정부채(유동)</t>
  </si>
  <si>
    <t>확정급여채무</t>
  </si>
  <si>
    <t>사외적립자산-퇴직보험등</t>
  </si>
  <si>
    <t>이연법인세부채</t>
  </si>
  <si>
    <t>기타의자본잉여금</t>
  </si>
  <si>
    <t>자본조정-기타</t>
  </si>
  <si>
    <t>상품매출-국내</t>
  </si>
  <si>
    <t>제품매출-국내</t>
  </si>
  <si>
    <t>상품매출-수출</t>
  </si>
  <si>
    <t>제품매출-수출</t>
  </si>
  <si>
    <t>감가상각비-공기구비품</t>
  </si>
  <si>
    <t>감가상각비-차량운반구</t>
  </si>
  <si>
    <t>이자수익</t>
  </si>
  <si>
    <t>외환차익</t>
  </si>
  <si>
    <t>외화환산이익</t>
  </si>
  <si>
    <t>단기금융상품평가이익</t>
  </si>
  <si>
    <t>단기금융상품처분이익</t>
  </si>
  <si>
    <t>유형자산처분이익</t>
  </si>
  <si>
    <t>무형자산처분이익</t>
  </si>
  <si>
    <t>잡이익</t>
  </si>
  <si>
    <t>이자비용</t>
  </si>
  <si>
    <t>외환차손</t>
  </si>
  <si>
    <t>외화환산손실</t>
  </si>
  <si>
    <t>단기금융상품평가손실</t>
  </si>
  <si>
    <t>소송충당부채전입</t>
  </si>
  <si>
    <t>무형자산손상차손</t>
  </si>
  <si>
    <t>유형자산처분손실</t>
  </si>
  <si>
    <t>잡손실</t>
  </si>
  <si>
    <t>기타유동자산-환불</t>
  </si>
  <si>
    <t>수익</t>
  </si>
  <si>
    <t>CFSItemNam</t>
  </si>
  <si>
    <t>A10000</t>
  </si>
  <si>
    <t>영업활동으로 인한 현금흐름</t>
  </si>
  <si>
    <t>A11000</t>
  </si>
  <si>
    <t>A11010</t>
  </si>
  <si>
    <t>당기순이익(Value)</t>
  </si>
  <si>
    <t>A12000</t>
  </si>
  <si>
    <t>현금의 유출이 없는 비용등의 가산</t>
  </si>
  <si>
    <t>A12010</t>
  </si>
  <si>
    <t>A12020</t>
  </si>
  <si>
    <t>A12030</t>
  </si>
  <si>
    <t>A12040</t>
  </si>
  <si>
    <t>A12050</t>
  </si>
  <si>
    <t>A12060</t>
  </si>
  <si>
    <t>단기매매증권처분손실</t>
  </si>
  <si>
    <t>A12070</t>
  </si>
  <si>
    <t>단기매매증권평가손실</t>
  </si>
  <si>
    <t>A12100</t>
  </si>
  <si>
    <t>만기보유증권처분손실</t>
  </si>
  <si>
    <t>A12110</t>
  </si>
  <si>
    <t>만기보유증권손상차손</t>
  </si>
  <si>
    <t>A12120</t>
  </si>
  <si>
    <t>지분법주식처분손실</t>
  </si>
  <si>
    <t>A12130</t>
  </si>
  <si>
    <t>지분법손실</t>
  </si>
  <si>
    <t>A12140</t>
  </si>
  <si>
    <t>지분법주식손상차손</t>
  </si>
  <si>
    <t>A12150</t>
  </si>
  <si>
    <t>투자부동산처분손실</t>
  </si>
  <si>
    <t>A12160</t>
  </si>
  <si>
    <t>투자부동산손상차손</t>
  </si>
  <si>
    <t>A12170</t>
  </si>
  <si>
    <t>파생상품평가손실</t>
  </si>
  <si>
    <t>A12180</t>
  </si>
  <si>
    <t>파생상품거래손실</t>
  </si>
  <si>
    <t>A12190</t>
  </si>
  <si>
    <t>기타투자자산처분손실</t>
  </si>
  <si>
    <t>A12200</t>
  </si>
  <si>
    <t>기타투자자산손상차손</t>
  </si>
  <si>
    <t>A12210</t>
  </si>
  <si>
    <t>A12220</t>
  </si>
  <si>
    <t>유형자산손상차손</t>
  </si>
  <si>
    <t>A12230</t>
  </si>
  <si>
    <t>유형자산폐기손실</t>
  </si>
  <si>
    <t>A12240</t>
  </si>
  <si>
    <t>A12250</t>
  </si>
  <si>
    <t>A12260</t>
  </si>
  <si>
    <t>재고자산평가손실</t>
  </si>
  <si>
    <t>A12270</t>
  </si>
  <si>
    <t>재고자산감모손실</t>
  </si>
  <si>
    <t>A12280</t>
  </si>
  <si>
    <t>재고자산매각손실</t>
  </si>
  <si>
    <t>A12290</t>
  </si>
  <si>
    <t>재고자산폐기손실</t>
  </si>
  <si>
    <t>A12300</t>
  </si>
  <si>
    <t>매출채권처분손실</t>
  </si>
  <si>
    <t>A12310</t>
  </si>
  <si>
    <t>자원개발투자손실</t>
  </si>
  <si>
    <t>A12320</t>
  </si>
  <si>
    <t>사채상환손실</t>
  </si>
  <si>
    <t>A12330</t>
  </si>
  <si>
    <t>사채할인발행차금상각</t>
  </si>
  <si>
    <t>A12340</t>
  </si>
  <si>
    <t>현재가치할인차금상각</t>
  </si>
  <si>
    <t>A12350</t>
  </si>
  <si>
    <t>전환권조정의 상각</t>
  </si>
  <si>
    <t>A12360</t>
  </si>
  <si>
    <t>주식보상비용</t>
  </si>
  <si>
    <t>A12370</t>
  </si>
  <si>
    <t>영업권상각비</t>
  </si>
  <si>
    <t>A12380</t>
  </si>
  <si>
    <t>기타의대손상각비</t>
  </si>
  <si>
    <t>A12390</t>
  </si>
  <si>
    <t>운휴자산감가상각비</t>
  </si>
  <si>
    <t>A12400</t>
  </si>
  <si>
    <t>A12410</t>
  </si>
  <si>
    <t>전기오류수정손실</t>
  </si>
  <si>
    <t>A12420</t>
  </si>
  <si>
    <t>기타특별손실</t>
  </si>
  <si>
    <t>A12430</t>
  </si>
  <si>
    <t>중단사업손실</t>
  </si>
  <si>
    <t>A12440</t>
  </si>
  <si>
    <t>A12450</t>
  </si>
  <si>
    <t>통화스왑평가손실</t>
  </si>
  <si>
    <t>A12460</t>
  </si>
  <si>
    <t>이자율스왑평가손실</t>
  </si>
  <si>
    <t>A12470</t>
  </si>
  <si>
    <t>미수금처분손실</t>
  </si>
  <si>
    <t>A12480</t>
  </si>
  <si>
    <t>차입금상환손실</t>
  </si>
  <si>
    <t>A12490</t>
  </si>
  <si>
    <t>A12500</t>
  </si>
  <si>
    <t>A12510</t>
  </si>
  <si>
    <t>A12520</t>
  </si>
  <si>
    <t>확정계약평가손실</t>
  </si>
  <si>
    <t>A12530</t>
  </si>
  <si>
    <t>매각예정자산처분손실</t>
  </si>
  <si>
    <t>A12540</t>
  </si>
  <si>
    <t>당기손익인식금융자산평가손실</t>
  </si>
  <si>
    <t>A12550</t>
  </si>
  <si>
    <t>당기손익인식금융자산처분손실</t>
  </si>
  <si>
    <t>A12560</t>
  </si>
  <si>
    <t>상각후원가인식금융자산처분손실</t>
  </si>
  <si>
    <t>A12570</t>
  </si>
  <si>
    <t>기타포괄손익인식금융자산처분손실</t>
  </si>
  <si>
    <t>A12580</t>
  </si>
  <si>
    <t>기타포괄손익인식금융자산손상차손</t>
  </si>
  <si>
    <t>A12590</t>
  </si>
  <si>
    <t>상각후원가인식금융자산손상차손</t>
  </si>
  <si>
    <t>A12600</t>
  </si>
  <si>
    <t>당기손익인식금융부채평가손실</t>
  </si>
  <si>
    <t>A12990</t>
  </si>
  <si>
    <t>기타비용</t>
  </si>
  <si>
    <t>A13000</t>
  </si>
  <si>
    <t>현금의 유입이 없는 수익등의 차감</t>
  </si>
  <si>
    <t>A13010</t>
  </si>
  <si>
    <t>A13020</t>
  </si>
  <si>
    <t>단기매매증권처분이익</t>
  </si>
  <si>
    <t>A13030</t>
  </si>
  <si>
    <t>단기매매증권평가이익</t>
  </si>
  <si>
    <t>A13060</t>
  </si>
  <si>
    <t>만기보유증권처분이익</t>
  </si>
  <si>
    <t>A13070</t>
  </si>
  <si>
    <t>만기보유증권손상차손환입</t>
  </si>
  <si>
    <t>A13080</t>
  </si>
  <si>
    <t>지분법주식처분이익</t>
  </si>
  <si>
    <t>A13090</t>
  </si>
  <si>
    <t>지분법이익</t>
  </si>
  <si>
    <t>A13100</t>
  </si>
  <si>
    <t>지분법주식손상차손환입</t>
  </si>
  <si>
    <t>A13110</t>
  </si>
  <si>
    <t>투자부동산처분이익</t>
  </si>
  <si>
    <t>A13120</t>
  </si>
  <si>
    <t>투자부동산손상차손환입</t>
  </si>
  <si>
    <t>A13130</t>
  </si>
  <si>
    <t>파생상품평가이익</t>
  </si>
  <si>
    <t>A13140</t>
  </si>
  <si>
    <t>파생상품거래이익</t>
  </si>
  <si>
    <t>A13150</t>
  </si>
  <si>
    <t>기타투자자산처분이익</t>
  </si>
  <si>
    <t>A13160</t>
  </si>
  <si>
    <t>기타투자자산손상차손환입</t>
  </si>
  <si>
    <t>A13170</t>
  </si>
  <si>
    <t>A13180</t>
  </si>
  <si>
    <t>유형자산손상차손환입</t>
  </si>
  <si>
    <t>A13190</t>
  </si>
  <si>
    <t>A13200</t>
  </si>
  <si>
    <t>무형자산손상차손환입</t>
  </si>
  <si>
    <t>A13210</t>
  </si>
  <si>
    <t>재고자산평가손실환입</t>
  </si>
  <si>
    <t>A13220</t>
  </si>
  <si>
    <t>부채성충당금환입액</t>
  </si>
  <si>
    <t>A13230</t>
  </si>
  <si>
    <t>대손충당금 환입</t>
  </si>
  <si>
    <t>A13240</t>
  </si>
  <si>
    <t>사채할인발행차금상각환입</t>
  </si>
  <si>
    <t>A13250</t>
  </si>
  <si>
    <t>현재가치할인차금상각환입</t>
  </si>
  <si>
    <t>A13260</t>
  </si>
  <si>
    <t>부의 영업권 환입</t>
  </si>
  <si>
    <t>A13270</t>
  </si>
  <si>
    <t>사채상환이익</t>
  </si>
  <si>
    <t>A13280</t>
  </si>
  <si>
    <t>채무면제이익</t>
  </si>
  <si>
    <t>A13290</t>
  </si>
  <si>
    <t>기타의 특별이익</t>
  </si>
  <si>
    <t>A13300</t>
  </si>
  <si>
    <t>전기오류수정익</t>
  </si>
  <si>
    <t>A13310</t>
  </si>
  <si>
    <t>자산수증이익</t>
  </si>
  <si>
    <t>A13320</t>
  </si>
  <si>
    <t>보험차익</t>
  </si>
  <si>
    <t>A13330</t>
  </si>
  <si>
    <t>통화옵션거래이익</t>
  </si>
  <si>
    <t>A13340</t>
  </si>
  <si>
    <t>이자율스왑평가이익</t>
  </si>
  <si>
    <t>A13350</t>
  </si>
  <si>
    <t>중단사업이익</t>
  </si>
  <si>
    <t>A13360</t>
  </si>
  <si>
    <t>주식보상비용환입</t>
  </si>
  <si>
    <t>A13370</t>
  </si>
  <si>
    <t>영업양도차익</t>
  </si>
  <si>
    <t>A13380</t>
  </si>
  <si>
    <t>A13390</t>
  </si>
  <si>
    <t>배당금수익(지주)</t>
  </si>
  <si>
    <t>A13400</t>
  </si>
  <si>
    <t>확정계약평가이익</t>
  </si>
  <si>
    <t>A13410</t>
  </si>
  <si>
    <t>매각예정자산처분이익</t>
  </si>
  <si>
    <t>A13420</t>
  </si>
  <si>
    <t>당기손익인식금융자산평가이익</t>
  </si>
  <si>
    <t>A13430</t>
  </si>
  <si>
    <t>당기손익인식금융자산처분이익</t>
  </si>
  <si>
    <t>A13440</t>
  </si>
  <si>
    <t>상각후원가인식금융자산처분이익</t>
  </si>
  <si>
    <t>A13450</t>
  </si>
  <si>
    <t>기타포괄손익인식금융자산처분이익</t>
  </si>
  <si>
    <t>A13470</t>
  </si>
  <si>
    <t>기타포괄손익인식금융자산손상차손환입</t>
  </si>
  <si>
    <t>A13480</t>
  </si>
  <si>
    <t>상각후원가인식금융자산손상차손환입</t>
  </si>
  <si>
    <t>A13490</t>
  </si>
  <si>
    <t>당기손익인식금융부채평가이익</t>
  </si>
  <si>
    <t>A13500</t>
  </si>
  <si>
    <t>배당금수익-지분법적용투자주식</t>
  </si>
  <si>
    <t>A13510</t>
  </si>
  <si>
    <t>배당금수익-당기손익인식금융자산</t>
  </si>
  <si>
    <t>A13520</t>
  </si>
  <si>
    <t>배당금수익-기타포괄손익인식금융자산</t>
  </si>
  <si>
    <t>A13990</t>
  </si>
  <si>
    <t>기타수익</t>
  </si>
  <si>
    <t>A14000</t>
  </si>
  <si>
    <t>영업활동으로 인한 자산부채의 변동</t>
  </si>
  <si>
    <t>A14010</t>
  </si>
  <si>
    <t>매출채권의 감소(증가)</t>
  </si>
  <si>
    <t>A14020</t>
  </si>
  <si>
    <t>미수금의 감소(증가)</t>
  </si>
  <si>
    <t>A14030</t>
  </si>
  <si>
    <t>미수수익의 감소(증가)</t>
  </si>
  <si>
    <t>A14040</t>
  </si>
  <si>
    <t>선급금의 감소(증가)</t>
  </si>
  <si>
    <t>A14050</t>
  </si>
  <si>
    <t>선급공사비의 감소(증가)</t>
  </si>
  <si>
    <t>A14060</t>
  </si>
  <si>
    <t>선급비용의 감소(증가)</t>
  </si>
  <si>
    <t>A14070</t>
  </si>
  <si>
    <t>예치보증금의 감소(증가)</t>
  </si>
  <si>
    <t>A14080</t>
  </si>
  <si>
    <t>이연법인세자산의 감소(증가)</t>
  </si>
  <si>
    <t>A14090</t>
  </si>
  <si>
    <t>부가세대급금의 감소(증가)</t>
  </si>
  <si>
    <t>A14100</t>
  </si>
  <si>
    <t>재고자산의 감소(증가)</t>
  </si>
  <si>
    <t>A14110</t>
  </si>
  <si>
    <t>영업권의 감소(증가)</t>
  </si>
  <si>
    <t>A14120</t>
  </si>
  <si>
    <t>부의 영업권의 증가(감소)</t>
  </si>
  <si>
    <t>A14130</t>
  </si>
  <si>
    <t>지분법적용투자주식 배당금 수령</t>
  </si>
  <si>
    <t>A14140</t>
  </si>
  <si>
    <t>선급법인세의 감소(증가)</t>
  </si>
  <si>
    <t>A14150</t>
  </si>
  <si>
    <t>장기매출채권의 감소(증가)</t>
  </si>
  <si>
    <t>A14160</t>
  </si>
  <si>
    <t>장기미수금의 감소(증가)</t>
  </si>
  <si>
    <t>A14170</t>
  </si>
  <si>
    <t>장기예치보증금의 감소(증가)</t>
  </si>
  <si>
    <t>A14180</t>
  </si>
  <si>
    <t>장기선급비용의 감소(증가)</t>
  </si>
  <si>
    <t>A14190</t>
  </si>
  <si>
    <t>매입채무의 증가(감소)</t>
  </si>
  <si>
    <t>A14200</t>
  </si>
  <si>
    <t>선수금의 증가(감소)</t>
  </si>
  <si>
    <t>A14210</t>
  </si>
  <si>
    <t>예수금의 증가(감소)</t>
  </si>
  <si>
    <t>A14220</t>
  </si>
  <si>
    <t>선수수익의 증가(감소)</t>
  </si>
  <si>
    <t>A14230</t>
  </si>
  <si>
    <t>미지급금의 증가(감소)</t>
  </si>
  <si>
    <t>A14240</t>
  </si>
  <si>
    <t>미지급비용의 증가(감소)</t>
  </si>
  <si>
    <t>A14250</t>
  </si>
  <si>
    <t>예수부가세의 증가(감소)</t>
  </si>
  <si>
    <t>A14260</t>
  </si>
  <si>
    <t>이연법인세부채의 증가(감소)</t>
  </si>
  <si>
    <t>A14270</t>
  </si>
  <si>
    <t>기타의 유동부채의 증가(감소)</t>
  </si>
  <si>
    <t>A14280</t>
  </si>
  <si>
    <t>유동부채성충당금의 증가(감소)</t>
  </si>
  <si>
    <t>A14290</t>
  </si>
  <si>
    <t>퇴직보험예치금의 증가(감소)</t>
  </si>
  <si>
    <t>A14300</t>
  </si>
  <si>
    <t>국민연금전환금의 증가(감소)</t>
  </si>
  <si>
    <t>A14310</t>
  </si>
  <si>
    <t>퇴직보험사외적립자산의 증가(감소)</t>
  </si>
  <si>
    <t>A14320</t>
  </si>
  <si>
    <t>장기외상매입금의 증가(감소)</t>
  </si>
  <si>
    <t>A14330</t>
  </si>
  <si>
    <t>장기미지급금의 증가(감소)</t>
  </si>
  <si>
    <t>A14340</t>
  </si>
  <si>
    <t>예수보증금의 증가(감소)</t>
  </si>
  <si>
    <t>A14350</t>
  </si>
  <si>
    <t>장기부채성충당금의 증가(감소)</t>
  </si>
  <si>
    <t>A14360</t>
  </si>
  <si>
    <t>장기미지급비용의 증가(감소)</t>
  </si>
  <si>
    <t>A14370</t>
  </si>
  <si>
    <t>퇴직금의 지급</t>
  </si>
  <si>
    <t>A14380</t>
  </si>
  <si>
    <t>미지급법인세의 증가(감소)</t>
  </si>
  <si>
    <t>A14390</t>
  </si>
  <si>
    <t>미수법인세환급액의 감소(증가)</t>
  </si>
  <si>
    <t>A14400</t>
  </si>
  <si>
    <t>미지급보증금의 증가(감소)</t>
  </si>
  <si>
    <t>A14410</t>
  </si>
  <si>
    <t>당기손익인식금융자산의 감소(증가)</t>
  </si>
  <si>
    <t>A14420</t>
  </si>
  <si>
    <t>영업활동 관련 파생상품의 감소(증가)</t>
  </si>
  <si>
    <t>A14430</t>
  </si>
  <si>
    <t>차량운반구(영업용자산)의 취득</t>
  </si>
  <si>
    <t>A14440</t>
  </si>
  <si>
    <t>차량운반구(영업용자산)의 처분</t>
  </si>
  <si>
    <t>A14990</t>
  </si>
  <si>
    <t>기타영업활동으로 인한 현금흐름</t>
  </si>
  <si>
    <t>A15060</t>
  </si>
  <si>
    <t>유동계약자산의 감소(증가)</t>
  </si>
  <si>
    <t>A15070</t>
  </si>
  <si>
    <t>비유동계약자산의 감소(증가)</t>
  </si>
  <si>
    <t>A15080</t>
  </si>
  <si>
    <t>유동계약부채의 증가(감소)</t>
  </si>
  <si>
    <t>A15090</t>
  </si>
  <si>
    <t>비유동계약부채의 증가(감소)</t>
  </si>
  <si>
    <t>A15000</t>
  </si>
  <si>
    <t>직접법에 의한 영업활동 현금흐름</t>
  </si>
  <si>
    <t>A15010</t>
  </si>
  <si>
    <t>배당금의 수취</t>
  </si>
  <si>
    <t>A15020</t>
  </si>
  <si>
    <t>이자수취</t>
  </si>
  <si>
    <t>A15030</t>
  </si>
  <si>
    <t>이자지급</t>
  </si>
  <si>
    <t>A15040</t>
  </si>
  <si>
    <t>법인세의 납부</t>
  </si>
  <si>
    <t>A15050</t>
  </si>
  <si>
    <t>법인세의 환급</t>
  </si>
  <si>
    <t>B10000</t>
  </si>
  <si>
    <t>투자활동으로 인한 현금흐름</t>
  </si>
  <si>
    <t>B11000</t>
  </si>
  <si>
    <t>투자활동으로 인한 현금유입액</t>
  </si>
  <si>
    <t>B11010</t>
  </si>
  <si>
    <t>단기대여금의 회수</t>
  </si>
  <si>
    <t>B11020</t>
  </si>
  <si>
    <t>단기금융상품의 처분</t>
  </si>
  <si>
    <t>B11030</t>
  </si>
  <si>
    <t>기타당좌자산의 감소</t>
  </si>
  <si>
    <t>B11040</t>
  </si>
  <si>
    <t>장기금융상품의 처분</t>
  </si>
  <si>
    <t>B11050</t>
  </si>
  <si>
    <t>장기대여금의 회수</t>
  </si>
  <si>
    <t>B11060</t>
  </si>
  <si>
    <t>자원개발투자자산의 감소</t>
  </si>
  <si>
    <t>B11070</t>
  </si>
  <si>
    <t>예수보증금의 증가</t>
  </si>
  <si>
    <t>B11080</t>
  </si>
  <si>
    <t>예치보증금의 감소</t>
  </si>
  <si>
    <t>B11090</t>
  </si>
  <si>
    <t>(투자)미수금의 감소</t>
  </si>
  <si>
    <t>B11100</t>
  </si>
  <si>
    <t>(투자)미지급금의 증가</t>
  </si>
  <si>
    <t>B11110</t>
  </si>
  <si>
    <t>(투자)선급비용의 감소</t>
  </si>
  <si>
    <t>B11120</t>
  </si>
  <si>
    <t>단기매매증권의 처분</t>
  </si>
  <si>
    <t>B11140</t>
  </si>
  <si>
    <t>만기보유증권의 처분</t>
  </si>
  <si>
    <t>B11150</t>
  </si>
  <si>
    <t>지분법투자주식의 처분</t>
  </si>
  <si>
    <t>B11160</t>
  </si>
  <si>
    <t>연결대상투자주식의 처분</t>
  </si>
  <si>
    <t>B11170</t>
  </si>
  <si>
    <t>연결범위제외로 인한 현금의 증가</t>
  </si>
  <si>
    <t>B11180</t>
  </si>
  <si>
    <t>투자부동산의 처분</t>
  </si>
  <si>
    <t>B11190</t>
  </si>
  <si>
    <t>매각예정자산의 처분</t>
  </si>
  <si>
    <t>B11200</t>
  </si>
  <si>
    <t>파생상품의 감소</t>
  </si>
  <si>
    <t>B11210</t>
  </si>
  <si>
    <t>기타투자자산의 감소</t>
  </si>
  <si>
    <t>B11220</t>
  </si>
  <si>
    <t>토지의 처분</t>
  </si>
  <si>
    <t>B11230</t>
  </si>
  <si>
    <t>건물의 처분</t>
  </si>
  <si>
    <t>B11240</t>
  </si>
  <si>
    <t>구축물의 처분</t>
  </si>
  <si>
    <t>B11250</t>
  </si>
  <si>
    <t>탱크의 처분</t>
  </si>
  <si>
    <t>B11260</t>
  </si>
  <si>
    <t>기계장치의 처분</t>
  </si>
  <si>
    <t>B11270</t>
  </si>
  <si>
    <t>장거리송유관의 처분</t>
  </si>
  <si>
    <t>B11280</t>
  </si>
  <si>
    <t>차량운반구의 처분</t>
  </si>
  <si>
    <t>B11290</t>
  </si>
  <si>
    <t>선박의 처분</t>
  </si>
  <si>
    <t>B11300</t>
  </si>
  <si>
    <t>B11310</t>
  </si>
  <si>
    <t>배관의 처분</t>
  </si>
  <si>
    <t>B11320</t>
  </si>
  <si>
    <t>촉매의 처분</t>
  </si>
  <si>
    <t>B11330</t>
  </si>
  <si>
    <t>건설중인 자산의 처분</t>
  </si>
  <si>
    <t>B11340</t>
  </si>
  <si>
    <t>기타유형자산의 처분</t>
  </si>
  <si>
    <t>B11350</t>
  </si>
  <si>
    <t>영업권의 처분</t>
  </si>
  <si>
    <t>B11360</t>
  </si>
  <si>
    <t>시설사용이용권의 처분</t>
  </si>
  <si>
    <t>B11370</t>
  </si>
  <si>
    <t>산업재산권의 처분</t>
  </si>
  <si>
    <t>B11380</t>
  </si>
  <si>
    <t>임차권리권의 처분</t>
  </si>
  <si>
    <t>B11390</t>
  </si>
  <si>
    <t>주파수이용권의 처분</t>
  </si>
  <si>
    <t>B11400</t>
  </si>
  <si>
    <t>회원권의 처분</t>
  </si>
  <si>
    <t>B11410</t>
  </si>
  <si>
    <t>기타무형자산의 처분</t>
  </si>
  <si>
    <t>B11420</t>
  </si>
  <si>
    <t>금융리스자산의 처분</t>
  </si>
  <si>
    <t>B11430</t>
  </si>
  <si>
    <t>사업부매각 및 영업의 양도</t>
  </si>
  <si>
    <t>B11440</t>
  </si>
  <si>
    <t>배당금 수령</t>
  </si>
  <si>
    <t>B11450</t>
  </si>
  <si>
    <t>장기대출채권의 감소</t>
  </si>
  <si>
    <t>B11460</t>
  </si>
  <si>
    <t>국고보조금의수령</t>
  </si>
  <si>
    <t>B11470</t>
  </si>
  <si>
    <t>단기투자자산의 감소</t>
  </si>
  <si>
    <t>B11480</t>
  </si>
  <si>
    <t>영업양도로인한 현금유입</t>
  </si>
  <si>
    <t>B11490</t>
  </si>
  <si>
    <t>통화스왑거래로인한현금유입</t>
  </si>
  <si>
    <t>B11500</t>
  </si>
  <si>
    <t>통화옵션거래로인한현금유입</t>
  </si>
  <si>
    <t>B11510</t>
  </si>
  <si>
    <t>당기손익인식금융자산의 처분</t>
  </si>
  <si>
    <t>B11520</t>
  </si>
  <si>
    <t>기타포괄손익인식금융자산의 처분</t>
  </si>
  <si>
    <t>B11530</t>
  </si>
  <si>
    <t>상각후원가인식금융자산의 처분</t>
  </si>
  <si>
    <t>B11550</t>
  </si>
  <si>
    <t>당기손익인식금융부채의 처분</t>
  </si>
  <si>
    <t>B11990</t>
  </si>
  <si>
    <t>기타투자유입</t>
  </si>
  <si>
    <t>B12000</t>
  </si>
  <si>
    <t>투자활동으로 인한 현금유출액</t>
  </si>
  <si>
    <t>B12010</t>
  </si>
  <si>
    <t>단기대여금의 증가</t>
  </si>
  <si>
    <t>B12020</t>
  </si>
  <si>
    <t>단기금융상품의 취득</t>
  </si>
  <si>
    <t>B12030</t>
  </si>
  <si>
    <t>기타당좌자산의 증가</t>
  </si>
  <si>
    <t>B12040</t>
  </si>
  <si>
    <t>장기금융상품의 취득</t>
  </si>
  <si>
    <t>B12050</t>
  </si>
  <si>
    <t>장기대여금의 증가</t>
  </si>
  <si>
    <t>B12060</t>
  </si>
  <si>
    <t>자원개발투자자산의 증가</t>
  </si>
  <si>
    <t>B12070</t>
  </si>
  <si>
    <t>예수보증금의 감소</t>
  </si>
  <si>
    <t>B12080</t>
  </si>
  <si>
    <t>예치보증금의 증가</t>
  </si>
  <si>
    <t>B12090</t>
  </si>
  <si>
    <t>(투자)선급비용의 증가</t>
  </si>
  <si>
    <t>B12100</t>
  </si>
  <si>
    <t>(투자)미수금의 증가</t>
  </si>
  <si>
    <t>B12110</t>
  </si>
  <si>
    <t>(투자)미지급금의 감소</t>
  </si>
  <si>
    <t>B12120</t>
  </si>
  <si>
    <t>단기매매증권의 취득</t>
  </si>
  <si>
    <t>B12140</t>
  </si>
  <si>
    <t>만기보유증권의 취득</t>
  </si>
  <si>
    <t>B12150</t>
  </si>
  <si>
    <t>지분법투자주식의 취득</t>
  </si>
  <si>
    <t>B12160</t>
  </si>
  <si>
    <t>연결대상투자주식의 취득</t>
  </si>
  <si>
    <t>B12170</t>
  </si>
  <si>
    <t>연결범위포함으로 인한 현금의 감소</t>
  </si>
  <si>
    <t>B12180</t>
  </si>
  <si>
    <t>투자부동산의 취득</t>
  </si>
  <si>
    <t>B12190</t>
  </si>
  <si>
    <t>매각예정자산의 증가</t>
  </si>
  <si>
    <t>B12200</t>
  </si>
  <si>
    <t>파생상품의 증가</t>
  </si>
  <si>
    <t>B12210</t>
  </si>
  <si>
    <t>기타투자자산의 취득</t>
  </si>
  <si>
    <t>B12220</t>
  </si>
  <si>
    <t>토지의 취득</t>
  </si>
  <si>
    <t>B12230</t>
  </si>
  <si>
    <t>건물의 취득</t>
  </si>
  <si>
    <t>B12240</t>
  </si>
  <si>
    <t>구축물의 취득</t>
  </si>
  <si>
    <t>B12250</t>
  </si>
  <si>
    <t>탱크의 취득</t>
  </si>
  <si>
    <t>B12260</t>
  </si>
  <si>
    <t>기계장치의 취득</t>
  </si>
  <si>
    <t>B12270</t>
  </si>
  <si>
    <t>장거리송유관의 취득</t>
  </si>
  <si>
    <t>B12280</t>
  </si>
  <si>
    <t>차량운반구의 취득</t>
  </si>
  <si>
    <t>B12290</t>
  </si>
  <si>
    <t>선박의 취득</t>
  </si>
  <si>
    <t>B12300</t>
  </si>
  <si>
    <t>B12310</t>
  </si>
  <si>
    <t>배관의 취득</t>
  </si>
  <si>
    <t>B12320</t>
  </si>
  <si>
    <t>촉매의 취득</t>
  </si>
  <si>
    <t>B12330</t>
  </si>
  <si>
    <t>건설중인 자산의 취득</t>
  </si>
  <si>
    <t>B12340</t>
  </si>
  <si>
    <t>기타유형자산의 취득</t>
  </si>
  <si>
    <t>B12350</t>
  </si>
  <si>
    <t>개발비의 증가</t>
  </si>
  <si>
    <t>B12360</t>
  </si>
  <si>
    <t>영업권의 취득</t>
  </si>
  <si>
    <t>B12370</t>
  </si>
  <si>
    <t>부의영업권의 발생</t>
  </si>
  <si>
    <t>B12380</t>
  </si>
  <si>
    <t>시설사용이용권의 취득</t>
  </si>
  <si>
    <t>B12390</t>
  </si>
  <si>
    <t>산업재산권의 취득</t>
  </si>
  <si>
    <t>B12400</t>
  </si>
  <si>
    <t>임차권리권의 취득</t>
  </si>
  <si>
    <t>B12410</t>
  </si>
  <si>
    <t>주파수이용권의 취득</t>
  </si>
  <si>
    <t>B12420</t>
  </si>
  <si>
    <t>회원권의 취득</t>
  </si>
  <si>
    <t>B12430</t>
  </si>
  <si>
    <t>기타무형자산의 취득</t>
  </si>
  <si>
    <t>B12440</t>
  </si>
  <si>
    <t>금융리스자산의 취득</t>
  </si>
  <si>
    <t>B12450</t>
  </si>
  <si>
    <t>장기대출채권의 증가</t>
  </si>
  <si>
    <t>B12460</t>
  </si>
  <si>
    <t>선급금-고정자산의 증가</t>
    <phoneticPr fontId="8" type="noConversion"/>
  </si>
  <si>
    <t>B12470</t>
  </si>
  <si>
    <t>단기투자자산의 증가</t>
  </si>
  <si>
    <t>B12480</t>
  </si>
  <si>
    <t>영업양수로인한 현금유출</t>
  </si>
  <si>
    <t>B12490</t>
  </si>
  <si>
    <t>통화스왑거래로인한현금유출</t>
  </si>
  <si>
    <t>B12500</t>
  </si>
  <si>
    <t>통화옵션거래로인한현금유출</t>
  </si>
  <si>
    <t>B12510</t>
  </si>
  <si>
    <t>당기손익인식금융자산의 취득</t>
  </si>
  <si>
    <t>B12520</t>
  </si>
  <si>
    <t>기타포괄손익인식금융자산의 취득</t>
  </si>
  <si>
    <t>B12530</t>
  </si>
  <si>
    <t>상각후원가인식금융자산의 취득</t>
  </si>
  <si>
    <t>B12550</t>
  </si>
  <si>
    <t>당기손익인식금융부채의 취득</t>
  </si>
  <si>
    <t>B12990</t>
  </si>
  <si>
    <t>기타투자유출</t>
  </si>
  <si>
    <t>C10000</t>
  </si>
  <si>
    <t>재무활동으로 인한 현금흐름</t>
  </si>
  <si>
    <t>C11000</t>
  </si>
  <si>
    <t>재무활동으로 인한 현금유입액</t>
  </si>
  <si>
    <t>C11010</t>
  </si>
  <si>
    <t>주식발행_보통주</t>
  </si>
  <si>
    <t>C11020</t>
  </si>
  <si>
    <t>주식발행_우선주</t>
  </si>
  <si>
    <t>C11030</t>
  </si>
  <si>
    <t>단기차입금의 차입</t>
  </si>
  <si>
    <t>C11040</t>
  </si>
  <si>
    <t>유동성장기부채의 증가</t>
  </si>
  <si>
    <t>C11050</t>
  </si>
  <si>
    <t>기타비유동장기부채의 증가</t>
  </si>
  <si>
    <t>C11060</t>
  </si>
  <si>
    <t>사채의 발행</t>
  </si>
  <si>
    <t>C11070</t>
  </si>
  <si>
    <t>장기차입금의 차입</t>
  </si>
  <si>
    <t>C11080</t>
  </si>
  <si>
    <t>장기성미지급금의 증가</t>
  </si>
  <si>
    <t>C11090</t>
  </si>
  <si>
    <t>유동화채무의 증가</t>
  </si>
  <si>
    <t>C11100</t>
  </si>
  <si>
    <t>C11110</t>
  </si>
  <si>
    <t>C11120</t>
  </si>
  <si>
    <t>자기주식의 처분</t>
  </si>
  <si>
    <t>C11130</t>
  </si>
  <si>
    <t>주식매입선택권의 행사</t>
  </si>
  <si>
    <t>C11140</t>
  </si>
  <si>
    <t>연결자본거래로 인한 현금유입액</t>
  </si>
  <si>
    <t>C11150</t>
  </si>
  <si>
    <t>소수주주지분의 변동</t>
  </si>
  <si>
    <t>C11160</t>
  </si>
  <si>
    <t>매각예정부채의 증가</t>
  </si>
  <si>
    <t>C11170</t>
  </si>
  <si>
    <t>금융리스부채의 증가</t>
  </si>
  <si>
    <t>C11180</t>
  </si>
  <si>
    <t>교환사채의 발행</t>
  </si>
  <si>
    <t>C11190</t>
  </si>
  <si>
    <t>신종자본증권의 발행</t>
  </si>
  <si>
    <t>C11200</t>
  </si>
  <si>
    <t>상환우선주의 발행</t>
  </si>
  <si>
    <t>C11990</t>
  </si>
  <si>
    <t>기타재무유입</t>
  </si>
  <si>
    <t>C12000</t>
  </si>
  <si>
    <t>재무활동으로 인한 현금유출액</t>
  </si>
  <si>
    <t>C12010</t>
  </si>
  <si>
    <t>단기차입금의 상환</t>
  </si>
  <si>
    <t>C12020</t>
  </si>
  <si>
    <t>유동성장기부채의 감소</t>
  </si>
  <si>
    <t>C12030</t>
  </si>
  <si>
    <t>기타비유동장기부채의 감소</t>
  </si>
  <si>
    <t>C12040</t>
  </si>
  <si>
    <t>사채의 상환</t>
  </si>
  <si>
    <t>C12050</t>
  </si>
  <si>
    <t>장기차입금의 상환</t>
  </si>
  <si>
    <t>C12060</t>
  </si>
  <si>
    <t>장기성미지급금의 상환</t>
  </si>
  <si>
    <t>C12070</t>
  </si>
  <si>
    <t>C12080</t>
  </si>
  <si>
    <t>C12090</t>
  </si>
  <si>
    <t>자기주식의 취득</t>
  </si>
  <si>
    <t>C12100</t>
  </si>
  <si>
    <t>자본금의 감소</t>
  </si>
  <si>
    <t>C12110</t>
  </si>
  <si>
    <t>상환우선주의 상환</t>
  </si>
  <si>
    <t>C12120</t>
  </si>
  <si>
    <t>배당금의 지급</t>
  </si>
  <si>
    <t>C12130</t>
  </si>
  <si>
    <t>연결자본거래로 인한 현금유출액</t>
  </si>
  <si>
    <t>C12140</t>
  </si>
  <si>
    <t>매각예정부채의 감소</t>
  </si>
  <si>
    <t>C12150</t>
  </si>
  <si>
    <t>금융리스부채의 감소</t>
  </si>
  <si>
    <t>C12160</t>
  </si>
  <si>
    <t>교환사채의 상환</t>
  </si>
  <si>
    <t>C12170</t>
  </si>
  <si>
    <t>신종자본증권의 상환</t>
  </si>
  <si>
    <t>C12990</t>
  </si>
  <si>
    <t>기타재무유출</t>
  </si>
  <si>
    <t>D10000</t>
  </si>
  <si>
    <t>외화환산으로 인한 현금의 변동</t>
  </si>
  <si>
    <t>D11000</t>
  </si>
  <si>
    <t>D11010</t>
  </si>
  <si>
    <t>외화환산으로 인한 현금의 변동(Value)</t>
  </si>
  <si>
    <t>E10000</t>
  </si>
  <si>
    <t>현금흐름표조정</t>
  </si>
  <si>
    <t>E11000</t>
  </si>
  <si>
    <t>E11010</t>
  </si>
  <si>
    <t>현금흐름표조정(Value)</t>
  </si>
  <si>
    <t>F10000</t>
  </si>
  <si>
    <t>현금의 증가</t>
  </si>
  <si>
    <t>G10000</t>
  </si>
  <si>
    <t>기초의 현금</t>
  </si>
  <si>
    <t>G11000</t>
  </si>
  <si>
    <t>G11010</t>
  </si>
  <si>
    <t>기초의 현금(Value)</t>
  </si>
  <si>
    <t>H10000</t>
  </si>
  <si>
    <t>기말의 현금</t>
  </si>
  <si>
    <t>H11000</t>
  </si>
  <si>
    <t>H11010</t>
  </si>
  <si>
    <t>기말의 현금(Value)</t>
  </si>
  <si>
    <t>I10000</t>
  </si>
  <si>
    <t>매각예정자산에 포함된 현금및현금성자산</t>
  </si>
  <si>
    <t>I11000</t>
  </si>
  <si>
    <t>I11010</t>
  </si>
  <si>
    <t>매각예정자산에 포함된 현금및현금성자산(Value)</t>
  </si>
  <si>
    <t>111111</t>
  </si>
  <si>
    <t>현금(외화)</t>
  </si>
  <si>
    <t>현금(원화)</t>
  </si>
  <si>
    <t>111131</t>
  </si>
  <si>
    <t>124500</t>
  </si>
  <si>
    <t>231100</t>
  </si>
  <si>
    <t>350100</t>
  </si>
  <si>
    <t>해외사업환산대</t>
  </si>
  <si>
    <t>해외사업환산차</t>
  </si>
  <si>
    <t>350560</t>
  </si>
  <si>
    <t>350630</t>
  </si>
  <si>
    <t>350900</t>
  </si>
  <si>
    <t>350910</t>
  </si>
  <si>
    <t>340100</t>
  </si>
  <si>
    <t>340300</t>
  </si>
  <si>
    <t>소송충당부채전입액</t>
  </si>
  <si>
    <t>공기구의 취득</t>
  </si>
  <si>
    <t>비품의 취득</t>
  </si>
  <si>
    <t>금형의 취득</t>
  </si>
  <si>
    <t>소트웨어의 취득</t>
  </si>
  <si>
    <t>CFSItemCod_Upload</t>
  </si>
  <si>
    <t>정산표 CODE</t>
  </si>
  <si>
    <t>A12400_1</t>
  </si>
  <si>
    <t>A12400_2</t>
  </si>
  <si>
    <t>B12300_1</t>
  </si>
  <si>
    <t>B12300_2</t>
  </si>
  <si>
    <t>B12300_3</t>
  </si>
  <si>
    <t>B12430_1</t>
  </si>
  <si>
    <t>B12430_2</t>
  </si>
  <si>
    <t>C12080_1</t>
  </si>
  <si>
    <t>C12080_2</t>
  </si>
  <si>
    <t>임차보증금의 증가</t>
  </si>
  <si>
    <t>임차보증금의 감소</t>
  </si>
  <si>
    <t>B11080_1</t>
  </si>
  <si>
    <t>B11080_2</t>
  </si>
  <si>
    <t>기타보증금의 감소</t>
  </si>
  <si>
    <t>공기구의 처분</t>
  </si>
  <si>
    <t>비품의 처분</t>
  </si>
  <si>
    <t>금형의 처분</t>
  </si>
  <si>
    <t>B11300_1</t>
  </si>
  <si>
    <t>B11300_2</t>
  </si>
  <si>
    <t>B11300_3</t>
  </si>
  <si>
    <t>소프트웨어의 처분</t>
  </si>
  <si>
    <t>B11410_1</t>
  </si>
  <si>
    <t>B11410_2</t>
  </si>
  <si>
    <t>SMMC JP Scope - in</t>
  </si>
  <si>
    <t>영업활동</t>
  </si>
  <si>
    <t>투자활동</t>
  </si>
  <si>
    <t>재무활동</t>
  </si>
  <si>
    <t>과               목</t>
  </si>
  <si>
    <t>Ⅰ.영업활동으로 인한 현금흐름</t>
  </si>
  <si>
    <t>1. 영업에서 창출된 현금흐름</t>
  </si>
  <si>
    <t> (2) 수익ㆍ비용의 조정</t>
  </si>
  <si>
    <t> (3) 영업활동으로 인한 자산ㆍ부채의 변동</t>
  </si>
  <si>
    <t>    기타채권의 감소(증가)</t>
  </si>
  <si>
    <t>    기타유동자산의 감소(증가)</t>
  </si>
  <si>
    <t>    기타유동부채의 증가(감소)</t>
  </si>
  <si>
    <t>    기타비유동부채의 증가(감소)</t>
  </si>
  <si>
    <t>2. 이자의 수취</t>
  </si>
  <si>
    <t>3. 이자의 지급</t>
  </si>
  <si>
    <t>4. 법인세의 납부</t>
  </si>
  <si>
    <t>Ⅱ.투자활동으로 인한 현금흐름</t>
  </si>
  <si>
    <t> (1) 투자활동으로 인한 현금유입액</t>
  </si>
  <si>
    <t> (2) 투자활동으로인한 현금유출액</t>
  </si>
  <si>
    <t>Ⅲ.재무활동으로 인한 현금흐름</t>
  </si>
  <si>
    <t> (1) 재무활동으로 인한 현금유입액</t>
  </si>
  <si>
    <t>      유상증자</t>
  </si>
  <si>
    <t> (2) 재무활동으로 인한 현금유출액</t>
  </si>
  <si>
    <t>      자기주식의 취득</t>
  </si>
  <si>
    <t>Ⅳ.현금및현금성자산의 증가(Ⅰ+Ⅱ+Ⅲ)</t>
  </si>
  <si>
    <t>Ⅴ.기초의 현금및현금성자산</t>
  </si>
  <si>
    <t>Ⅵ.외화표시 현금및현금성자산의 환율변동효과</t>
  </si>
  <si>
    <t>Ⅶ.기말의 현금및현금성자산</t>
  </si>
  <si>
    <t>반품충당부채전입액</t>
  </si>
  <si>
    <t>판매보증충당부채전입액</t>
  </si>
  <si>
    <t>대손상각비(환입액)</t>
  </si>
  <si>
    <t>복구충당부채전입액(환입액)</t>
  </si>
  <si>
    <t>당기손익-공정가치측정 금융자산평가이익</t>
  </si>
  <si>
    <t>당기손익-공정가치측정 금융자산처분이익</t>
  </si>
  <si>
    <t>당기손익-공정가치측정 금융자산평가손실</t>
  </si>
  <si>
    <t>(3) 영업활동으로 인한 자산ㆍ부채의 변동</t>
  </si>
  <si>
    <t>매출채권의 증가</t>
  </si>
  <si>
    <t>기타채권의 감소(증가)</t>
  </si>
  <si>
    <t>기타유동자산의 감소(증가)</t>
  </si>
  <si>
    <t>재고자산의 증가</t>
  </si>
  <si>
    <t>매입채무의 증가</t>
  </si>
  <si>
    <t>기타채무의 감소</t>
  </si>
  <si>
    <t>기타유동부채의 증가(감소)</t>
  </si>
  <si>
    <t>기타비유동부채의 증가(감소)</t>
  </si>
  <si>
    <t>순확정급여부채의 감소</t>
  </si>
  <si>
    <t>(1) 투자활동으로 인한 현금유입액</t>
  </si>
  <si>
    <t>단기대여금의 감소</t>
  </si>
  <si>
    <t>당기손익-공정가치측정 금융자산의 감소</t>
  </si>
  <si>
    <t>유형자산의 처분</t>
  </si>
  <si>
    <t>무형자산의 처분</t>
  </si>
  <si>
    <t>합병으로 인한 현금유입액</t>
  </si>
  <si>
    <t>(2) 투자활동으로인한 현금유출액</t>
  </si>
  <si>
    <t>당기손익인식금융자산의 증가</t>
  </si>
  <si>
    <t>당기손익-공정가치측정 금융자산의 증가</t>
  </si>
  <si>
    <t>유형자산의 취득</t>
  </si>
  <si>
    <t>무형자산의 취득</t>
  </si>
  <si>
    <t>(1) 재무활동으로 인한 현금유입액</t>
  </si>
  <si>
    <t>(2) 재무활동으로 인한 현금유출액</t>
  </si>
  <si>
    <t>A12400_3</t>
  </si>
  <si>
    <t>A12400_4</t>
  </si>
  <si>
    <t>당기손익-공정가치측정 금융자산처분손실</t>
  </si>
  <si>
    <t>Scope조정</t>
  </si>
  <si>
    <t>연결NI조정</t>
  </si>
  <si>
    <t>내부거래조정</t>
  </si>
  <si>
    <t>Event조정</t>
  </si>
  <si>
    <t>Etc</t>
  </si>
  <si>
    <t>Scope 조정</t>
  </si>
  <si>
    <t>연결 TB</t>
  </si>
  <si>
    <t>조정</t>
  </si>
  <si>
    <t>CF_기초현금</t>
  </si>
  <si>
    <t>내역</t>
  </si>
  <si>
    <t>금액</t>
  </si>
  <si>
    <t>1.0. 기초현금</t>
  </si>
  <si>
    <t>2.0. 기말현금</t>
  </si>
  <si>
    <t>연결NI 조정</t>
  </si>
  <si>
    <t>1.0. 공정가조정</t>
  </si>
  <si>
    <t>조정합계</t>
  </si>
  <si>
    <t>연결CF</t>
  </si>
  <si>
    <t>Event 조정</t>
  </si>
  <si>
    <t>1.0. 채권채무조정</t>
  </si>
  <si>
    <t>2.0. 수익비용조정</t>
  </si>
  <si>
    <t>2.0. 미실현손익</t>
  </si>
  <si>
    <t>3.0. 자금거래조정</t>
  </si>
  <si>
    <t>From</t>
  </si>
  <si>
    <t>To</t>
  </si>
  <si>
    <t>관계기업투자주식처분이익</t>
  </si>
  <si>
    <t>기타보증금의 증가</t>
  </si>
  <si>
    <t>사업양수에 따른 지급</t>
  </si>
  <si>
    <t>종속기업 취득에 따른 순현금흐름</t>
  </si>
  <si>
    <t>      단기차입금의 상환</t>
  </si>
  <si>
    <t>과                        목</t>
  </si>
  <si>
    <t>(2) 수익ㆍ비용의 조정</t>
  </si>
  <si>
    <t>회계연도</t>
  </si>
  <si>
    <t>전기기간</t>
  </si>
  <si>
    <t>연결단위</t>
  </si>
  <si>
    <t>CFSItemCod</t>
  </si>
  <si>
    <t>현지통화</t>
  </si>
  <si>
    <t>T198</t>
    <phoneticPr fontId="6" type="noConversion"/>
  </si>
  <si>
    <t>KRW</t>
    <phoneticPr fontId="6" type="noConversion"/>
  </si>
  <si>
    <t>현금의 유출이 없는 비용등의 가산</t>
    <phoneticPr fontId="6" type="noConversion"/>
  </si>
  <si>
    <t>A12080</t>
  </si>
  <si>
    <t>매도가능증권처분손실</t>
  </si>
  <si>
    <t>A12090</t>
  </si>
  <si>
    <t>매도가능증권손상차손</t>
  </si>
  <si>
    <t>부채성충당금전입액</t>
  </si>
  <si>
    <t>A12520</t>
    <phoneticPr fontId="6" type="noConversion"/>
  </si>
  <si>
    <t>확정계약평가손실</t>
    <phoneticPr fontId="6" type="noConversion"/>
  </si>
  <si>
    <t>기타 현금의 유출이 없는 비용등</t>
  </si>
  <si>
    <t>A13040</t>
  </si>
  <si>
    <t>매도가능증권처분이익</t>
  </si>
  <si>
    <t>A13050</t>
  </si>
  <si>
    <t>매도가능증권손상차손환입</t>
  </si>
  <si>
    <t>A13390</t>
    <phoneticPr fontId="6" type="noConversion"/>
  </si>
  <si>
    <t>배당수익</t>
    <phoneticPr fontId="6" type="noConversion"/>
  </si>
  <si>
    <t>A13400</t>
    <phoneticPr fontId="6" type="noConversion"/>
  </si>
  <si>
    <t>기타 현금의 유입이 없는 수익등</t>
  </si>
  <si>
    <t>영업활동으로 인한 자산부채의 변동</t>
    <phoneticPr fontId="6" type="noConversion"/>
  </si>
  <si>
    <t>단기매매증권의 감소(증가)</t>
  </si>
  <si>
    <t>A14420</t>
    <phoneticPr fontId="6" type="noConversion"/>
  </si>
  <si>
    <t>영업활동 관련 파생상품의 감소(증가)</t>
    <phoneticPr fontId="6" type="noConversion"/>
  </si>
  <si>
    <t>A14430</t>
    <phoneticPr fontId="6" type="noConversion"/>
  </si>
  <si>
    <t>차량운반구(영업활동용)의 취득</t>
    <phoneticPr fontId="6" type="noConversion"/>
  </si>
  <si>
    <t>A14440</t>
    <phoneticPr fontId="6" type="noConversion"/>
  </si>
  <si>
    <t>차량운반구(영업활동용)의 처분</t>
    <phoneticPr fontId="6" type="noConversion"/>
  </si>
  <si>
    <t>B11120</t>
    <phoneticPr fontId="6" type="noConversion"/>
  </si>
  <si>
    <t>B11130</t>
  </si>
  <si>
    <t>매도가능증권의 처분</t>
  </si>
  <si>
    <t>관계기업투자주식의 처분</t>
  </si>
  <si>
    <t>공기구비품의 처분</t>
  </si>
  <si>
    <t>B12120</t>
    <phoneticPr fontId="6" type="noConversion"/>
  </si>
  <si>
    <t>B12130</t>
  </si>
  <si>
    <t>매도가능증권의 취득</t>
  </si>
  <si>
    <t>관계기업투자주식의 취득</t>
  </si>
  <si>
    <t>공기구비품의 취득</t>
  </si>
  <si>
    <t>선급금-고정자산</t>
  </si>
  <si>
    <t>C11190</t>
    <phoneticPr fontId="6" type="noConversion"/>
  </si>
  <si>
    <t>신종자본증권의 발행</t>
    <phoneticPr fontId="6" type="noConversion"/>
  </si>
  <si>
    <t>배당의 지급</t>
  </si>
  <si>
    <t>C12170</t>
    <phoneticPr fontId="6" type="noConversion"/>
  </si>
  <si>
    <t>신종자본증권의 상환</t>
    <phoneticPr fontId="6" type="noConversion"/>
  </si>
  <si>
    <t>중단사업관련 현금흐름</t>
  </si>
  <si>
    <t>중단사업관련 현금흐름(Value)</t>
  </si>
  <si>
    <t>DIFF'</t>
  </si>
  <si>
    <t>Upload</t>
  </si>
  <si>
    <t>LocalAmount</t>
  </si>
  <si>
    <t>2018년 중 관계기업에서 종속기업으로 / 2019년 3월 1일자로 드림어스컴퍼니에 흡수합병됨</t>
  </si>
  <si>
    <t>아이리버 &gt; LDC 하향판매</t>
  </si>
  <si>
    <t>그루버스합병</t>
  </si>
  <si>
    <t>NEW</t>
  </si>
  <si>
    <t>224000</t>
  </si>
  <si>
    <t>미지급비용현재가치할인차금</t>
  </si>
  <si>
    <t>매입채무및기타채무(비유동)</t>
  </si>
  <si>
    <t>미지급비용(비유동_원화)</t>
  </si>
  <si>
    <t>미지급비용(비유동)현재가치할인차금</t>
  </si>
  <si>
    <t>231710</t>
  </si>
  <si>
    <t>231800</t>
  </si>
  <si>
    <t>410270</t>
  </si>
  <si>
    <t>반품추정매출</t>
  </si>
  <si>
    <t>733900</t>
  </si>
  <si>
    <t>622500</t>
  </si>
  <si>
    <t>732920</t>
  </si>
  <si>
    <t>단기차입금(외화)</t>
  </si>
  <si>
    <t>단기대여금(외화)</t>
  </si>
  <si>
    <t>기부금</t>
  </si>
  <si>
    <t>거래처코드</t>
  </si>
  <si>
    <t>거래처명</t>
  </si>
  <si>
    <t>계정코드</t>
  </si>
  <si>
    <t>사업자등록번호</t>
  </si>
  <si>
    <t>전일잔액</t>
  </si>
  <si>
    <t>차변금액</t>
  </si>
  <si>
    <t>대변금액</t>
  </si>
  <si>
    <t>당일잔액</t>
  </si>
  <si>
    <t>00314</t>
  </si>
  <si>
    <t>112900</t>
  </si>
  <si>
    <t>220-81-77868</t>
  </si>
  <si>
    <t>01640</t>
  </si>
  <si>
    <t>Iriver Enterprise Limited</t>
  </si>
  <si>
    <t>111731</t>
  </si>
  <si>
    <t>--</t>
  </si>
  <si>
    <t>01750</t>
  </si>
  <si>
    <t>IRIVER CHINA CO.,LTD</t>
  </si>
  <si>
    <t>211121</t>
  </si>
  <si>
    <t>111-11-11111</t>
  </si>
  <si>
    <t>01751</t>
  </si>
  <si>
    <t>213150</t>
  </si>
  <si>
    <t>410130</t>
  </si>
  <si>
    <t>410140</t>
  </si>
  <si>
    <t>410240</t>
  </si>
  <si>
    <t>410241</t>
  </si>
  <si>
    <t>A08002</t>
  </si>
  <si>
    <t>Groovers Japan</t>
  </si>
  <si>
    <t>111711</t>
  </si>
  <si>
    <t>112113</t>
  </si>
  <si>
    <t>A09021</t>
  </si>
  <si>
    <t>e</t>
  </si>
  <si>
    <t>v1.0</t>
  </si>
  <si>
    <t>7/3/2019</t>
  </si>
  <si>
    <t>아이리버</t>
  </si>
  <si>
    <t>c/p</t>
  </si>
  <si>
    <t>미수금(외화)</t>
  </si>
  <si>
    <t>해외사업환산차대 변동</t>
  </si>
  <si>
    <t>장기미지급비용</t>
  </si>
  <si>
    <t>사용권자산(건물_감가상각누계액)</t>
  </si>
  <si>
    <t>사용권자산(차량운반구_감가상각누계액)</t>
  </si>
  <si>
    <t>유동성리스부채</t>
  </si>
  <si>
    <t>리스부채</t>
  </si>
  <si>
    <t>자본조정-주식선택권</t>
  </si>
  <si>
    <t>부가가치세_매입</t>
  </si>
  <si>
    <t>부가가치세_매출</t>
  </si>
  <si>
    <t>기부금-기타기부금</t>
  </si>
  <si>
    <t>감가상각비(사용권자산_건물)</t>
  </si>
  <si>
    <t>감가상각비(사용권자산_차량운반구)</t>
  </si>
  <si>
    <t>이자비용(유동리스부채)</t>
  </si>
  <si>
    <t>그루버스_미실현손익 실현</t>
  </si>
  <si>
    <t>2018년 장부로 fix</t>
  </si>
  <si>
    <t>2018년 말 까지 환산한 결과 장부가액을 기준으로 잔여 내용연수 동안 상각 (KRW FIX)</t>
  </si>
  <si>
    <t>자본변동상세내역</t>
  </si>
  <si>
    <t>주식선택권의 행사</t>
  </si>
  <si>
    <t>주식선택권의 소멸</t>
  </si>
  <si>
    <t>자기주식의 취득/처분</t>
  </si>
  <si>
    <t>전환사채의 전환</t>
  </si>
  <si>
    <t>사업결합</t>
  </si>
  <si>
    <t>해외사업환산</t>
  </si>
  <si>
    <t>연결순이익</t>
  </si>
  <si>
    <t>배당금의지급</t>
  </si>
  <si>
    <t>기타포괄손익-재측정손익</t>
  </si>
  <si>
    <t>기타포괄손익-공정가치 측정 금융자산의 처분</t>
  </si>
  <si>
    <t>취득/처분</t>
  </si>
  <si>
    <t>사업결합 등</t>
  </si>
  <si>
    <t>2018.12.31</t>
  </si>
  <si>
    <t>별도</t>
  </si>
  <si>
    <t>Reclass</t>
  </si>
  <si>
    <t>기초조정</t>
  </si>
  <si>
    <t>취득</t>
  </si>
  <si>
    <t>처분</t>
  </si>
  <si>
    <t>지분법NI</t>
  </si>
  <si>
    <t>해외사업환산손익</t>
  </si>
  <si>
    <t>지분변동차액</t>
  </si>
  <si>
    <t>배당</t>
  </si>
  <si>
    <t>Other</t>
  </si>
  <si>
    <t>투자자본상계</t>
  </si>
  <si>
    <t>별도_그루버스</t>
  </si>
  <si>
    <t>별도_영업양수</t>
  </si>
  <si>
    <t>Val.</t>
  </si>
  <si>
    <t>change.</t>
  </si>
  <si>
    <t>지배기업주식보상비용</t>
  </si>
  <si>
    <t>해외사업</t>
  </si>
  <si>
    <t>연결당기순이익</t>
  </si>
  <si>
    <t>검증</t>
  </si>
  <si>
    <t>과     목</t>
  </si>
  <si>
    <t>지배기업 소유주지분</t>
  </si>
  <si>
    <t>비지배지분</t>
  </si>
  <si>
    <t>자 본 금</t>
  </si>
  <si>
    <t>결손금</t>
  </si>
  <si>
    <t>소계</t>
  </si>
  <si>
    <t>CF_기말현금</t>
  </si>
  <si>
    <t>매출채권및기타채권_유동</t>
  </si>
  <si>
    <t>매출채권및기타채권_비유동</t>
  </si>
  <si>
    <t>리스부채_유동</t>
  </si>
  <si>
    <t>당기법인세부채</t>
  </si>
  <si>
    <t>기타비유동부채</t>
  </si>
  <si>
    <t>리스부채_비유동</t>
  </si>
  <si>
    <t>이연법인세부채_비유동</t>
  </si>
  <si>
    <t>FSC</t>
    <phoneticPr fontId="19" type="noConversion"/>
  </si>
  <si>
    <t>I. 유동자산</t>
  </si>
  <si>
    <t>매출채권및기타채권_유동</t>
    <phoneticPr fontId="19" type="noConversion"/>
  </si>
  <si>
    <t>II. 비유동자산</t>
  </si>
  <si>
    <t>매출채권및기타채권_비유동</t>
    <phoneticPr fontId="19" type="noConversion"/>
  </si>
  <si>
    <t>I. 유동부채</t>
  </si>
  <si>
    <t>리스부채_유동</t>
    <phoneticPr fontId="19" type="noConversion"/>
  </si>
  <si>
    <t>리스부채</t>
    <phoneticPr fontId="19" type="noConversion"/>
  </si>
  <si>
    <t>II. 비유동부채</t>
  </si>
  <si>
    <t>리스부채_비유동</t>
    <phoneticPr fontId="19" type="noConversion"/>
  </si>
  <si>
    <t>지배기업소유주에 귀속되는 자본</t>
  </si>
  <si>
    <t>차대검증</t>
    <phoneticPr fontId="19" type="noConversion"/>
  </si>
  <si>
    <t>T_BS 검증</t>
    <phoneticPr fontId="19" type="noConversion"/>
  </si>
  <si>
    <t>주석</t>
  </si>
  <si>
    <t>Ⅰ.매출액</t>
  </si>
  <si>
    <t>Ⅱ.매출원가</t>
  </si>
  <si>
    <t>Ⅲ.매출총이익</t>
  </si>
  <si>
    <t>Ⅳ.영업이익(손실)</t>
  </si>
  <si>
    <t>기타영업외비용</t>
    <phoneticPr fontId="19" type="noConversion"/>
  </si>
  <si>
    <t>Ⅴ.법인세비용차감전순이익(손실)</t>
  </si>
  <si>
    <t>VII. 기타포괄손익</t>
  </si>
  <si>
    <t>VIII. 총포괄이익(손실)</t>
  </si>
  <si>
    <t>IX. 주당손익</t>
  </si>
  <si>
    <t>T_IS 검증</t>
    <phoneticPr fontId="19" type="noConversion"/>
  </si>
  <si>
    <t>732910</t>
  </si>
  <si>
    <t>전환사채 전환으로 인한 신주발행비</t>
  </si>
  <si>
    <t>유형자산감액손실</t>
  </si>
  <si>
    <t>기타비유동자산의 감소(증가)</t>
  </si>
  <si>
    <t>매출원가포함 상각비</t>
  </si>
  <si>
    <t>매출원가포함</t>
  </si>
  <si>
    <t>    기타비유동자산의 감소(증가)</t>
  </si>
  <si>
    <t>리스부채의 원금상환</t>
  </si>
  <si>
    <t>      기타재무유출</t>
  </si>
  <si>
    <t>기타유동자산의 증가</t>
  </si>
  <si>
    <t>B12080_1</t>
  </si>
  <si>
    <t>임대보증금의 감소</t>
  </si>
  <si>
    <t>사용금지</t>
  </si>
  <si>
    <t>단기리스료</t>
  </si>
  <si>
    <t>소액리스료</t>
  </si>
  <si>
    <t>111901</t>
  </si>
  <si>
    <t>감자</t>
  </si>
  <si>
    <t>선급금(원화_공연기획)</t>
  </si>
  <si>
    <t>선급금(외화_금형)</t>
  </si>
  <si>
    <t>외상매출금(외화_비유동)</t>
  </si>
  <si>
    <t>대손충당금(외상매출금_외화_비유동)</t>
  </si>
  <si>
    <t>장기대여금(외화)</t>
  </si>
  <si>
    <t>임대보증금(비유동)</t>
  </si>
  <si>
    <t>종속기업투자주식처분이익</t>
  </si>
  <si>
    <t>미국법인매각</t>
  </si>
  <si>
    <t>매각대가</t>
  </si>
  <si>
    <t>순자산</t>
  </si>
  <si>
    <t>해외사업환산차대</t>
  </si>
  <si>
    <t>처분이익</t>
  </si>
  <si>
    <t>Change in FY2019 Q3</t>
  </si>
  <si>
    <t>2019 3Q</t>
  </si>
  <si>
    <t>비유동외화외상매출금</t>
  </si>
  <si>
    <t>비유동외화대손충당금(매출채권)</t>
  </si>
  <si>
    <t>712800_1</t>
  </si>
  <si>
    <t>통화</t>
  </si>
  <si>
    <t>기초잔액</t>
  </si>
  <si>
    <t>대손상각비(환율효과)</t>
  </si>
  <si>
    <t>당기제각</t>
  </si>
  <si>
    <t>환입(회수)</t>
  </si>
  <si>
    <t>환입(채무상계)</t>
  </si>
  <si>
    <t>유동성대체</t>
  </si>
  <si>
    <t>원화</t>
  </si>
  <si>
    <t>유동</t>
  </si>
  <si>
    <t>비유동</t>
  </si>
  <si>
    <t>합</t>
  </si>
  <si>
    <t>외화</t>
  </si>
  <si>
    <t>처분손실</t>
  </si>
  <si>
    <t>처분이익(손실)</t>
  </si>
  <si>
    <t>연결기준 대손충당금 변동</t>
  </si>
  <si>
    <t>채무면제 후 순자산(채무면제이익반영 후)</t>
  </si>
  <si>
    <t>* 매각시점 B/S</t>
  </si>
  <si>
    <t>채무</t>
  </si>
  <si>
    <t>순자산(채무면제이익)</t>
  </si>
  <si>
    <t>당기대손상각비(환입)</t>
  </si>
  <si>
    <t>제각(상계)</t>
  </si>
  <si>
    <t>3.0. 투자주식 관련</t>
  </si>
  <si>
    <t>종속기업 처분에 따른 순현금흐름</t>
  </si>
  <si>
    <t>관계기업투자주식처분손실</t>
  </si>
  <si>
    <t>종속기업투자주식처분손실</t>
  </si>
  <si>
    <t>환율차이조정</t>
  </si>
  <si>
    <t>소송충당부채전입액(환입액)</t>
  </si>
  <si>
    <t>기타유동금융자산의 증가</t>
  </si>
  <si>
    <t>미국법인 B/S</t>
  </si>
  <si>
    <t>당기손익인식금융자산-기타</t>
  </si>
  <si>
    <t>2019년 말</t>
  </si>
  <si>
    <t>2019년 중 매각</t>
  </si>
  <si>
    <t>2019년 12월 중 LDG에 합병</t>
  </si>
  <si>
    <t>비영업용자산</t>
  </si>
  <si>
    <t>이자발생부채</t>
  </si>
  <si>
    <t>고객관계무형자산</t>
  </si>
  <si>
    <t>비교대상장부가액</t>
  </si>
  <si>
    <t>Change in FY2019 Q4</t>
  </si>
  <si>
    <t>손상</t>
  </si>
  <si>
    <t>112112</t>
  </si>
  <si>
    <t>214999</t>
  </si>
  <si>
    <t>214998</t>
  </si>
  <si>
    <t>선수수익(외화_기타)</t>
  </si>
  <si>
    <t>선수수익(원화_기타)</t>
  </si>
  <si>
    <t>733260</t>
  </si>
  <si>
    <t>2019.12.31</t>
  </si>
  <si>
    <t>손상차손</t>
  </si>
  <si>
    <t>:</t>
  </si>
  <si>
    <t>별도 - 미국법인 대손 충당금 변동(3분기)</t>
  </si>
  <si>
    <t>별도 - 미국법인 대손 충당금 변동(4분기)</t>
  </si>
  <si>
    <t>전기말 현재 미실현 대손충당금 R/F</t>
  </si>
  <si>
    <t>당기 연결실체 내부거래로 인식한 대손상각비를 취소</t>
  </si>
  <si>
    <t>미국법인의 채무면제이익 처분손익 반영</t>
  </si>
  <si>
    <t>diff</t>
  </si>
  <si>
    <t>회수가능가액</t>
  </si>
  <si>
    <t>비교대상장부가액 : 12/31/2019 (LDC only)</t>
  </si>
  <si>
    <t>410260</t>
  </si>
  <si>
    <t>상품매출할인및에누리(수출)</t>
  </si>
  <si>
    <t>제거 대상</t>
  </si>
  <si>
    <t>영업권손상차손</t>
  </si>
  <si>
    <t>A12600_1</t>
  </si>
  <si>
    <t>기타의대손상각비(환입액)</t>
  </si>
  <si>
    <t>FY2018</t>
  </si>
  <si>
    <t>(1) 당기순이익(손실)</t>
  </si>
  <si>
    <t>      단기차입금의 차입</t>
  </si>
  <si>
    <t>계정과목</t>
    <phoneticPr fontId="22" type="noConversion"/>
  </si>
  <si>
    <t>현금및현금성자산(LDC only)</t>
  </si>
  <si>
    <t>순자산(LDC only)</t>
  </si>
  <si>
    <t>LDC 결산 후</t>
  </si>
  <si>
    <t>영업가치(평가보고서 민감도분석)</t>
  </si>
  <si>
    <t>121805**</t>
  </si>
  <si>
    <t>장기미수금</t>
  </si>
  <si>
    <t>기타비유동채권의 감소(증가)</t>
  </si>
  <si>
    <t xml:space="preserve">    기타비유동채권의 감소(증가)</t>
  </si>
  <si>
    <t>미수금(원화_금융자산)</t>
  </si>
  <si>
    <t>대손충당금(미수금)</t>
  </si>
  <si>
    <t>종속기업 및 관계기업 투자 관련 손익</t>
  </si>
  <si>
    <t>Ⅵ.당기순이익(손실)</t>
    <phoneticPr fontId="22" type="noConversion"/>
  </si>
  <si>
    <t>장기선급금</t>
  </si>
  <si>
    <t>AC</t>
    <phoneticPr fontId="22" type="noConversion"/>
  </si>
  <si>
    <t>코드</t>
    <phoneticPr fontId="22" type="noConversion"/>
  </si>
  <si>
    <t>Dr.</t>
    <phoneticPr fontId="22" type="noConversion"/>
  </si>
  <si>
    <t>Cr.</t>
    <phoneticPr fontId="22" type="noConversion"/>
  </si>
  <si>
    <t>320300</t>
    <phoneticPr fontId="22" type="noConversion"/>
  </si>
  <si>
    <t>350951</t>
    <phoneticPr fontId="22" type="noConversion"/>
  </si>
  <si>
    <t>340100</t>
    <phoneticPr fontId="22" type="noConversion"/>
  </si>
  <si>
    <t>115200</t>
    <phoneticPr fontId="22" type="noConversion"/>
  </si>
  <si>
    <t>111731</t>
    <phoneticPr fontId="22" type="noConversion"/>
  </si>
  <si>
    <t>121800</t>
    <phoneticPr fontId="22" type="noConversion"/>
  </si>
  <si>
    <t>112113</t>
    <phoneticPr fontId="22" type="noConversion"/>
  </si>
  <si>
    <t>계정대체</t>
    <phoneticPr fontId="22" type="noConversion"/>
  </si>
  <si>
    <t>코드</t>
    <phoneticPr fontId="22" type="noConversion"/>
  </si>
  <si>
    <t>비고</t>
    <phoneticPr fontId="22" type="noConversion"/>
  </si>
  <si>
    <t>내부거래</t>
    <phoneticPr fontId="22" type="noConversion"/>
  </si>
  <si>
    <t>Ent 투자자본 상계</t>
    <phoneticPr fontId="22" type="noConversion"/>
  </si>
  <si>
    <t>LDC 투자자본 상계</t>
    <phoneticPr fontId="22" type="noConversion"/>
  </si>
  <si>
    <t>영업권</t>
    <phoneticPr fontId="22" type="noConversion"/>
  </si>
  <si>
    <t>최초</t>
    <phoneticPr fontId="22" type="noConversion"/>
  </si>
  <si>
    <t>17년 상각</t>
    <phoneticPr fontId="22" type="noConversion"/>
  </si>
  <si>
    <t>18년 상각</t>
    <phoneticPr fontId="22" type="noConversion"/>
  </si>
  <si>
    <t>18년 해외환산</t>
    <phoneticPr fontId="22" type="noConversion"/>
  </si>
  <si>
    <t>19년 해외환산</t>
    <phoneticPr fontId="22" type="noConversion"/>
  </si>
  <si>
    <t>19년 손상</t>
    <phoneticPr fontId="22" type="noConversion"/>
  </si>
  <si>
    <t>19년 손상 취소</t>
    <phoneticPr fontId="22" type="noConversion"/>
  </si>
  <si>
    <t>순자산</t>
    <phoneticPr fontId="22" type="noConversion"/>
  </si>
  <si>
    <t>순서</t>
    <phoneticPr fontId="22" type="noConversion"/>
  </si>
  <si>
    <t>x</t>
    <phoneticPr fontId="22" type="noConversion"/>
  </si>
  <si>
    <t>부채</t>
    <phoneticPr fontId="22" type="noConversion"/>
  </si>
  <si>
    <t>자본</t>
    <phoneticPr fontId="22" type="noConversion"/>
  </si>
  <si>
    <t>수익</t>
    <phoneticPr fontId="22" type="noConversion"/>
  </si>
  <si>
    <t>1,5,8,</t>
  </si>
  <si>
    <t>1,5,8,</t>
    <phoneticPr fontId="22" type="noConversion"/>
  </si>
  <si>
    <t>자산</t>
    <phoneticPr fontId="22" type="noConversion"/>
  </si>
  <si>
    <t>기초</t>
    <phoneticPr fontId="22" type="noConversion"/>
  </si>
  <si>
    <t>변동</t>
    <phoneticPr fontId="22" type="noConversion"/>
  </si>
  <si>
    <t>FSC</t>
    <phoneticPr fontId="22" type="noConversion"/>
  </si>
  <si>
    <t>미수수익(원화)</t>
  </si>
  <si>
    <t>미수수익(외화)</t>
  </si>
  <si>
    <t>변경</t>
    <phoneticPr fontId="22" type="noConversion"/>
  </si>
  <si>
    <t>선수금(원화_음반)</t>
  </si>
  <si>
    <t>선수금(원화_CMD)</t>
  </si>
  <si>
    <t>선수금(원화_디바이스)</t>
  </si>
  <si>
    <t>선수금(외화_디바이스)</t>
  </si>
  <si>
    <t>선수금(원화_FLO)</t>
  </si>
  <si>
    <t>900020</t>
  </si>
  <si>
    <t>종속기업투자주식손상누계액</t>
  </si>
  <si>
    <t>630000-1</t>
  </si>
  <si>
    <t>630000-1</t>
    <phoneticPr fontId="22" type="noConversion"/>
  </si>
  <si>
    <t>630000-2</t>
  </si>
  <si>
    <t>630000-2</t>
    <phoneticPr fontId="22" type="noConversion"/>
  </si>
  <si>
    <t>단기, 소액 리스 대체</t>
    <phoneticPr fontId="22" type="noConversion"/>
  </si>
  <si>
    <t>[별도]</t>
    <phoneticPr fontId="22" type="noConversion"/>
  </si>
  <si>
    <t>개발중인자산</t>
  </si>
  <si>
    <t>외상매입금(원화_추정_FLO 매출)</t>
  </si>
  <si>
    <t>유형자산처분이익</t>
    <phoneticPr fontId="22" type="noConversion"/>
  </si>
  <si>
    <t>무형자산처분이익</t>
    <phoneticPr fontId="22" type="noConversion"/>
  </si>
  <si>
    <t>채무면제이익</t>
    <phoneticPr fontId="22" type="noConversion"/>
  </si>
  <si>
    <t>잡이익</t>
    <phoneticPr fontId="22" type="noConversion"/>
  </si>
  <si>
    <t>무형자산평가손실(손상차손)</t>
    <phoneticPr fontId="22" type="noConversion"/>
  </si>
  <si>
    <t>유형자산처분손실</t>
    <phoneticPr fontId="22" type="noConversion"/>
  </si>
  <si>
    <t>유형자산폐기손실</t>
    <phoneticPr fontId="22" type="noConversion"/>
  </si>
  <si>
    <t>소송충당부채전입액</t>
    <phoneticPr fontId="22" type="noConversion"/>
  </si>
  <si>
    <t>잡손실</t>
    <phoneticPr fontId="22" type="noConversion"/>
  </si>
  <si>
    <t>214363</t>
  </si>
  <si>
    <t>선수금(원화_공연사업)</t>
  </si>
  <si>
    <t>214364</t>
  </si>
  <si>
    <t>112539</t>
  </si>
  <si>
    <t>선급금(외화_공연기획)</t>
  </si>
  <si>
    <t>미지급부가세</t>
  </si>
  <si>
    <t>조정전</t>
    <phoneticPr fontId="22" type="noConversion"/>
  </si>
  <si>
    <t>2020 1Q</t>
    <phoneticPr fontId="22" type="noConversion"/>
  </si>
  <si>
    <t>드림어스</t>
    <phoneticPr fontId="22" type="noConversion"/>
  </si>
  <si>
    <t>부가세예수금</t>
    <phoneticPr fontId="22" type="noConversion"/>
  </si>
  <si>
    <t>미수부가세</t>
    <phoneticPr fontId="22" type="noConversion"/>
  </si>
  <si>
    <t>미지급부가세</t>
    <phoneticPr fontId="22" type="noConversion"/>
  </si>
  <si>
    <t>부가세 대급금/예수금 상계</t>
    <phoneticPr fontId="22" type="noConversion"/>
  </si>
  <si>
    <t>Change in FY2020 Q1</t>
    <phoneticPr fontId="22" type="noConversion"/>
  </si>
  <si>
    <t>2020.03.31</t>
    <phoneticPr fontId="22" type="noConversion"/>
  </si>
  <si>
    <t>미수수익(외화)</t>
    <phoneticPr fontId="22" type="noConversion"/>
  </si>
  <si>
    <t>참고사항</t>
    <phoneticPr fontId="22" type="noConversion"/>
  </si>
  <si>
    <t>Update 완료</t>
    <phoneticPr fontId="22" type="noConversion"/>
  </si>
  <si>
    <t>Update 예정</t>
    <phoneticPr fontId="22" type="noConversion"/>
  </si>
  <si>
    <t>재무정보 in Local Currency / KRW</t>
  </si>
  <si>
    <t>Reporting date</t>
  </si>
  <si>
    <t>Currency</t>
  </si>
  <si>
    <t>2102</t>
  </si>
  <si>
    <t>2109</t>
  </si>
  <si>
    <t>3408</t>
  </si>
  <si>
    <t>기타수익</t>
    <phoneticPr fontId="22" type="noConversion"/>
  </si>
  <si>
    <t>추가</t>
  </si>
  <si>
    <t>대여금(외화)</t>
  </si>
  <si>
    <t>임차보증금(비유동_전신가입)</t>
  </si>
  <si>
    <t>임차보증금(비유동_현할차)</t>
  </si>
  <si>
    <t>투자주식처분손실</t>
  </si>
  <si>
    <t>복구충당부채전입액</t>
    <phoneticPr fontId="22" type="noConversion"/>
  </si>
  <si>
    <t>잡이익_리스해지관련</t>
    <phoneticPr fontId="22" type="noConversion"/>
  </si>
  <si>
    <t>    기타수익</t>
  </si>
  <si>
    <t>FY2020</t>
    <phoneticPr fontId="22" type="noConversion"/>
  </si>
  <si>
    <t>회원권</t>
    <phoneticPr fontId="22" type="noConversion"/>
  </si>
  <si>
    <t>회원권</t>
    <phoneticPr fontId="22" type="noConversion"/>
  </si>
  <si>
    <t>T198</t>
    <phoneticPr fontId="22" type="noConversion"/>
  </si>
  <si>
    <t>이익율</t>
    <phoneticPr fontId="22" type="noConversion"/>
  </si>
  <si>
    <t>평균환율</t>
    <phoneticPr fontId="22" type="noConversion"/>
  </si>
  <si>
    <t>기말환율</t>
    <phoneticPr fontId="22" type="noConversion"/>
  </si>
  <si>
    <t>수량</t>
    <phoneticPr fontId="22" type="noConversion"/>
  </si>
  <si>
    <t>품목코드</t>
    <phoneticPr fontId="22" type="noConversion"/>
  </si>
  <si>
    <t>판가 JPY</t>
    <phoneticPr fontId="22" type="noConversion"/>
  </si>
  <si>
    <t>판가 KRW</t>
    <phoneticPr fontId="22" type="noConversion"/>
  </si>
  <si>
    <t>품목명</t>
    <phoneticPr fontId="22" type="noConversion"/>
  </si>
  <si>
    <t>재고 JPY</t>
    <phoneticPr fontId="22" type="noConversion"/>
  </si>
  <si>
    <t>원가 KRW</t>
    <phoneticPr fontId="22" type="noConversion"/>
  </si>
  <si>
    <t>재고</t>
    <phoneticPr fontId="22" type="noConversion"/>
  </si>
  <si>
    <t>미실현</t>
    <phoneticPr fontId="22" type="noConversion"/>
  </si>
  <si>
    <t>상품매출할인및에누리(내수)</t>
    <phoneticPr fontId="22" type="noConversion"/>
  </si>
  <si>
    <t>추가</t>
    <phoneticPr fontId="22" type="noConversion"/>
  </si>
  <si>
    <t>선수금(원화_음원)</t>
  </si>
  <si>
    <t>평균환율</t>
    <phoneticPr fontId="22" type="noConversion"/>
  </si>
  <si>
    <t>독점판매권</t>
  </si>
  <si>
    <t>독점판매권</t>
    <phoneticPr fontId="22" type="noConversion"/>
  </si>
  <si>
    <t>연결5-1</t>
  </si>
  <si>
    <t>연결5-1</t>
    <phoneticPr fontId="22" type="noConversion"/>
  </si>
  <si>
    <t>독점판매권상각누계액</t>
  </si>
  <si>
    <t>독점판매권상각누계액</t>
    <phoneticPr fontId="22" type="noConversion"/>
  </si>
  <si>
    <t>DR</t>
    <phoneticPr fontId="22" type="noConversion"/>
  </si>
  <si>
    <t>CR</t>
    <phoneticPr fontId="22" type="noConversion"/>
  </si>
  <si>
    <t>2019</t>
    <phoneticPr fontId="22" type="noConversion"/>
  </si>
  <si>
    <t>2020년 6월말</t>
    <phoneticPr fontId="22" type="noConversion"/>
  </si>
  <si>
    <t>수익</t>
    <phoneticPr fontId="22" type="noConversion"/>
  </si>
  <si>
    <t>비용</t>
    <phoneticPr fontId="22" type="noConversion"/>
  </si>
  <si>
    <t>NI</t>
    <phoneticPr fontId="22" type="noConversion"/>
  </si>
  <si>
    <t>계약부채_반품</t>
  </si>
  <si>
    <t>계약부채_반품</t>
    <phoneticPr fontId="22" type="noConversion"/>
  </si>
  <si>
    <t>거래통화금액</t>
  </si>
  <si>
    <t>현지통화코드</t>
  </si>
  <si>
    <t>현지통화금액</t>
  </si>
  <si>
    <t>IFRS</t>
  </si>
  <si>
    <t>회원권</t>
  </si>
  <si>
    <t>T198_TB</t>
    <phoneticPr fontId="22" type="noConversion"/>
  </si>
  <si>
    <t>검증</t>
    <phoneticPr fontId="22" type="noConversion"/>
  </si>
  <si>
    <t>계약부채 code 확인</t>
    <phoneticPr fontId="22" type="noConversion"/>
  </si>
  <si>
    <t>2020.06.30</t>
    <phoneticPr fontId="22" type="noConversion"/>
  </si>
  <si>
    <t> 무형자산</t>
  </si>
  <si>
    <t> 기타비유동자산</t>
  </si>
  <si>
    <t>I. 지배기업소유주에 귀속되는 자본</t>
  </si>
  <si>
    <t> 자본금</t>
  </si>
  <si>
    <t> 자본잉여금</t>
  </si>
  <si>
    <t> 기타자본항목</t>
  </si>
  <si>
    <t> 결손금</t>
  </si>
  <si>
    <t>II. 비지배지분</t>
  </si>
  <si>
    <t>  판매비와관리비</t>
  </si>
  <si>
    <t>  금융수익</t>
  </si>
  <si>
    <t>  금융비용</t>
  </si>
  <si>
    <t>  기타영업외수익</t>
  </si>
  <si>
    <t>  기타영업외비용</t>
  </si>
  <si>
    <t>  법인세비용</t>
  </si>
  <si>
    <t>VII. 기타포괄이익(손실)</t>
  </si>
  <si>
    <t>  확정급여제도의 재측정요소</t>
  </si>
  <si>
    <t>IX. 주당이익(손실)</t>
  </si>
  <si>
    <t>  기본주당이익(손실)</t>
  </si>
  <si>
    <t>  희석주당이익(손실)</t>
  </si>
  <si>
    <t>  지배기업의 소유주지분</t>
    <phoneticPr fontId="22" type="noConversion"/>
  </si>
  <si>
    <t xml:space="preserve">  비지배지분</t>
    <phoneticPr fontId="22" type="noConversion"/>
  </si>
  <si>
    <t>-</t>
    <phoneticPr fontId="22" type="noConversion"/>
  </si>
  <si>
    <t>당기순손실</t>
    <phoneticPr fontId="22" type="noConversion"/>
  </si>
  <si>
    <t>재고자산폐기손실</t>
    <phoneticPr fontId="22" type="noConversion"/>
  </si>
  <si>
    <t>잡손실</t>
    <phoneticPr fontId="22" type="noConversion"/>
  </si>
  <si>
    <t>기타비유동부채의 증가(감소)</t>
    <phoneticPr fontId="22" type="noConversion"/>
  </si>
  <si>
    <t>무형자산의 취득</t>
    <phoneticPr fontId="22" type="noConversion"/>
  </si>
  <si>
    <t>기타비유동자산의 감소(증가)</t>
    <phoneticPr fontId="22" type="noConversion"/>
  </si>
  <si>
    <t>기타비유동지산의 감소(증가)</t>
    <phoneticPr fontId="22" type="noConversion"/>
  </si>
  <si>
    <t>전기대사</t>
    <phoneticPr fontId="22" type="noConversion"/>
  </si>
  <si>
    <t>손상누계</t>
    <phoneticPr fontId="22" type="noConversion"/>
  </si>
  <si>
    <t>기초환율</t>
    <phoneticPr fontId="22" type="noConversion"/>
  </si>
  <si>
    <t>손상/상각</t>
  </si>
  <si>
    <t>환차</t>
  </si>
  <si>
    <t>취득</t>
    <phoneticPr fontId="22" type="noConversion"/>
  </si>
  <si>
    <t>손상/상각</t>
    <phoneticPr fontId="22" type="noConversion"/>
  </si>
  <si>
    <t>환차</t>
    <phoneticPr fontId="22" type="noConversion"/>
  </si>
  <si>
    <t>기말</t>
    <phoneticPr fontId="22" type="noConversion"/>
  </si>
  <si>
    <t>독점권</t>
  </si>
  <si>
    <t>독점권</t>
    <phoneticPr fontId="22" type="noConversion"/>
  </si>
  <si>
    <t>이연</t>
  </si>
  <si>
    <t>이연</t>
    <phoneticPr fontId="22" type="noConversion"/>
  </si>
  <si>
    <t>인수대가</t>
  </si>
  <si>
    <t>인수대가</t>
    <phoneticPr fontId="22" type="noConversion"/>
  </si>
  <si>
    <t>(단위:천원)</t>
  </si>
  <si>
    <t>구 분</t>
  </si>
  <si>
    <t>당반기말</t>
  </si>
  <si>
    <t>전기말</t>
  </si>
  <si>
    <t>취득원가</t>
  </si>
  <si>
    <t>상각누계액</t>
  </si>
  <si>
    <t>손상차손누계액</t>
  </si>
  <si>
    <t>장부금액</t>
  </si>
  <si>
    <t>손상</t>
    <phoneticPr fontId="22" type="noConversion"/>
  </si>
  <si>
    <t>합 계</t>
  </si>
  <si>
    <t>연결조정추가</t>
    <phoneticPr fontId="22" type="noConversion"/>
  </si>
  <si>
    <t>SMLDC(연결)</t>
    <phoneticPr fontId="22" type="noConversion"/>
  </si>
  <si>
    <t>아이리버CS(연결)</t>
    <phoneticPr fontId="22" type="noConversion"/>
  </si>
  <si>
    <t>SMMCJP(연결)</t>
    <phoneticPr fontId="22" type="noConversion"/>
  </si>
  <si>
    <t>연결</t>
    <phoneticPr fontId="22" type="noConversion"/>
  </si>
  <si>
    <t>별도</t>
    <phoneticPr fontId="22" type="noConversion"/>
  </si>
  <si>
    <t>장부가액</t>
    <phoneticPr fontId="22" type="noConversion"/>
  </si>
  <si>
    <t>취득가액</t>
    <phoneticPr fontId="22" type="noConversion"/>
  </si>
  <si>
    <t>LDC</t>
    <phoneticPr fontId="22" type="noConversion"/>
  </si>
  <si>
    <t>제품</t>
    <phoneticPr fontId="22" type="noConversion"/>
  </si>
  <si>
    <t>상품</t>
    <phoneticPr fontId="22" type="noConversion"/>
  </si>
  <si>
    <t>115100</t>
    <phoneticPr fontId="22" type="noConversion"/>
  </si>
  <si>
    <t>상품매출원가</t>
    <phoneticPr fontId="22" type="noConversion"/>
  </si>
  <si>
    <t>제품미실현손익 반영</t>
    <phoneticPr fontId="22" type="noConversion"/>
  </si>
  <si>
    <t>상품미실현손익 반영</t>
    <phoneticPr fontId="22" type="noConversion"/>
  </si>
  <si>
    <t>판매(JPY)</t>
    <phoneticPr fontId="22" type="noConversion"/>
  </si>
  <si>
    <t>판매(KRW)</t>
    <phoneticPr fontId="22" type="noConversion"/>
  </si>
  <si>
    <t>드림어스: 제품- &gt; LDC 상품 실현분 매출계정대체</t>
    <phoneticPr fontId="22" type="noConversion"/>
  </si>
  <si>
    <t>2020년 9월말</t>
    <phoneticPr fontId="22" type="noConversion"/>
  </si>
  <si>
    <t>2020.09.30</t>
    <phoneticPr fontId="22" type="noConversion"/>
  </si>
  <si>
    <t>누적</t>
    <phoneticPr fontId="22" type="noConversion"/>
  </si>
  <si>
    <t>Change in FY2020 Q3</t>
    <phoneticPr fontId="22" type="noConversion"/>
  </si>
  <si>
    <t>JPY</t>
    <phoneticPr fontId="22" type="noConversion"/>
  </si>
  <si>
    <t>KRW</t>
    <phoneticPr fontId="22" type="noConversion"/>
  </si>
  <si>
    <t>해외사업환산손익(당기)</t>
    <phoneticPr fontId="22" type="noConversion"/>
  </si>
  <si>
    <t>IRIVER MINIONS WIRELESS EARBUDS</t>
  </si>
  <si>
    <t>superM オフィシャルオフィシャルペンライト</t>
  </si>
  <si>
    <t>MINI　FANLIGHT KEYRING</t>
  </si>
  <si>
    <t>전기미실현손익 실현</t>
    <phoneticPr fontId="22" type="noConversion"/>
  </si>
  <si>
    <t>제품매출원가</t>
    <phoneticPr fontId="22" type="noConversion"/>
  </si>
  <si>
    <t>제품매출</t>
    <phoneticPr fontId="22" type="noConversion"/>
  </si>
  <si>
    <t>외부</t>
    <phoneticPr fontId="22" type="noConversion"/>
  </si>
  <si>
    <t>상품매출</t>
    <phoneticPr fontId="22" type="noConversion"/>
  </si>
  <si>
    <t>기말제품재고</t>
    <phoneticPr fontId="22" type="noConversion"/>
  </si>
  <si>
    <t>드림어스: 제품- &gt; LDC 상품 실현분 매출원가 계정 대체</t>
    <phoneticPr fontId="22" type="noConversion"/>
  </si>
  <si>
    <t>분기별</t>
    <phoneticPr fontId="22" type="noConversion"/>
  </si>
  <si>
    <t>LDC독점판매권 손상반영</t>
    <phoneticPr fontId="22" type="noConversion"/>
  </si>
  <si>
    <t>A11022</t>
  </si>
  <si>
    <t>SM Mobile Communications JAPAN Inc.</t>
  </si>
  <si>
    <t>드림어스: 제품- &gt; LDC 상품 미실현분 재고계정대체</t>
    <phoneticPr fontId="22" type="noConversion"/>
  </si>
  <si>
    <t>선수금(외화_콘텐츠)</t>
    <phoneticPr fontId="22" type="noConversion"/>
  </si>
  <si>
    <t xml:space="preserve">  사용권감가/기타</t>
  </si>
  <si>
    <t>733800</t>
  </si>
  <si>
    <t>가중평균유통보통주식수</t>
    <phoneticPr fontId="22" type="noConversion"/>
  </si>
  <si>
    <t>퇴직급여</t>
    <phoneticPr fontId="22" type="noConversion"/>
  </si>
  <si>
    <t>복리후생비</t>
    <phoneticPr fontId="22" type="noConversion"/>
  </si>
  <si>
    <t>여비교통비</t>
    <phoneticPr fontId="22" type="noConversion"/>
  </si>
  <si>
    <t>세금과공과</t>
    <phoneticPr fontId="22" type="noConversion"/>
  </si>
  <si>
    <t>단기리스료</t>
    <phoneticPr fontId="22" type="noConversion"/>
  </si>
  <si>
    <t>소액리스료</t>
    <phoneticPr fontId="22" type="noConversion"/>
  </si>
  <si>
    <t>기초장부가액</t>
    <phoneticPr fontId="22" type="noConversion"/>
  </si>
  <si>
    <t>기말장부가액</t>
    <phoneticPr fontId="22" type="noConversion"/>
  </si>
  <si>
    <t>독점판매권손상누계액</t>
    <phoneticPr fontId="22" type="noConversion"/>
  </si>
  <si>
    <t>연결5-2</t>
    <phoneticPr fontId="22" type="noConversion"/>
  </si>
  <si>
    <t>독점권 장부가액</t>
    <phoneticPr fontId="22" type="noConversion"/>
  </si>
  <si>
    <t>LDC 부가세 대급금/예수금 상계</t>
    <phoneticPr fontId="22" type="noConversion"/>
  </si>
  <si>
    <t>판매수량</t>
    <phoneticPr fontId="22" type="noConversion"/>
  </si>
  <si>
    <t>BS</t>
    <phoneticPr fontId="22" type="noConversion"/>
  </si>
  <si>
    <t>매출액</t>
    <phoneticPr fontId="22" type="noConversion"/>
  </si>
  <si>
    <t>영업이익</t>
    <phoneticPr fontId="22" type="noConversion"/>
  </si>
  <si>
    <t>당기순이익</t>
    <phoneticPr fontId="22" type="noConversion"/>
  </si>
  <si>
    <t>IS</t>
    <phoneticPr fontId="22" type="noConversion"/>
  </si>
  <si>
    <t>ENT</t>
    <phoneticPr fontId="22" type="noConversion"/>
  </si>
  <si>
    <t>드림어스_별도</t>
    <phoneticPr fontId="22" type="noConversion"/>
  </si>
  <si>
    <t>드림어스_연결</t>
    <phoneticPr fontId="22" type="noConversion"/>
  </si>
  <si>
    <t>연결조정</t>
    <phoneticPr fontId="22" type="noConversion"/>
  </si>
  <si>
    <t>구분</t>
    <phoneticPr fontId="22" type="noConversion"/>
  </si>
  <si>
    <t>B/S 기초</t>
    <phoneticPr fontId="22" type="noConversion"/>
  </si>
  <si>
    <t>B/S 기말</t>
    <phoneticPr fontId="22" type="noConversion"/>
  </si>
  <si>
    <t>A14380</t>
    <phoneticPr fontId="22" type="noConversion"/>
  </si>
  <si>
    <t>CFS V2.3</t>
    <phoneticPr fontId="22" type="noConversion"/>
  </si>
  <si>
    <t>3개월</t>
    <phoneticPr fontId="22" type="noConversion"/>
  </si>
  <si>
    <t>재고자산평가손실(환입액)</t>
  </si>
  <si>
    <t>재고자산평가손실(환입액)</t>
    <phoneticPr fontId="22" type="noConversion"/>
  </si>
  <si>
    <t>미지급법인지방소득세</t>
  </si>
  <si>
    <t>취득부대비용 연결비용처리</t>
    <phoneticPr fontId="22" type="noConversion"/>
  </si>
  <si>
    <t>스튜디오 돌핀 종속기업주식 임시조정</t>
    <phoneticPr fontId="22" type="noConversion"/>
  </si>
  <si>
    <t>TB(SAP)</t>
    <phoneticPr fontId="22" type="noConversion"/>
  </si>
  <si>
    <t>차이</t>
    <phoneticPr fontId="22" type="noConversion"/>
  </si>
  <si>
    <t>비용(원가)</t>
  </si>
  <si>
    <t>매출</t>
    <phoneticPr fontId="22" type="noConversion"/>
  </si>
  <si>
    <t>비용(판관비)</t>
  </si>
  <si>
    <t>수익(영업외)</t>
  </si>
  <si>
    <t>비용(영업외)</t>
  </si>
  <si>
    <t>당기 누계</t>
    <phoneticPr fontId="22" type="noConversion"/>
  </si>
  <si>
    <t>전기 누계</t>
    <phoneticPr fontId="22" type="noConversion"/>
  </si>
  <si>
    <t>매출원가</t>
    <phoneticPr fontId="22" type="noConversion"/>
  </si>
  <si>
    <t>매출총이익</t>
    <phoneticPr fontId="22" type="noConversion"/>
  </si>
  <si>
    <t>판관비</t>
    <phoneticPr fontId="22" type="noConversion"/>
  </si>
  <si>
    <t>영업외손익</t>
    <phoneticPr fontId="22" type="noConversion"/>
  </si>
  <si>
    <t>(단위 : 천원)</t>
    <phoneticPr fontId="22" type="noConversion"/>
  </si>
  <si>
    <t>3. 요약 손익(당월)</t>
    <phoneticPr fontId="22" type="noConversion"/>
  </si>
  <si>
    <t>4. 첨부자료</t>
    <phoneticPr fontId="22" type="noConversion"/>
  </si>
  <si>
    <t xml:space="preserve"> - 연결 정산표</t>
    <phoneticPr fontId="22" type="noConversion"/>
  </si>
  <si>
    <t xml:space="preserve"> - 별도 정산표</t>
    <phoneticPr fontId="22" type="noConversion"/>
  </si>
  <si>
    <t xml:space="preserve"> - TB(업로드)</t>
    <phoneticPr fontId="22" type="noConversion"/>
  </si>
  <si>
    <t xml:space="preserve"> - SK 특관자 거래(업로드)</t>
    <phoneticPr fontId="22" type="noConversion"/>
  </si>
  <si>
    <t>스튜디오돌핀</t>
    <phoneticPr fontId="22" type="noConversion"/>
  </si>
  <si>
    <t>PC00740</t>
  </si>
  <si>
    <t>주식회사 스튜디오돌핀</t>
  </si>
  <si>
    <t>스튜디오 돌핀</t>
    <phoneticPr fontId="22" type="noConversion"/>
  </si>
  <si>
    <t>superM ペンライト</t>
  </si>
  <si>
    <t>기초환율</t>
  </si>
  <si>
    <t>투자주식</t>
    <phoneticPr fontId="22" type="noConversion"/>
  </si>
  <si>
    <t>회사입력</t>
  </si>
  <si>
    <t>손익검증</t>
  </si>
  <si>
    <t>차대검증</t>
  </si>
  <si>
    <t>수정사항</t>
  </si>
  <si>
    <t>과  목</t>
    <phoneticPr fontId="50" type="noConversion"/>
  </si>
  <si>
    <t>K-IFRS 공시 분류(대분류)</t>
    <phoneticPr fontId="50" type="noConversion"/>
  </si>
  <si>
    <t>K-IFRS</t>
  </si>
  <si>
    <t>자산</t>
    <phoneticPr fontId="50" type="noConversion"/>
  </si>
  <si>
    <t>(1) 당좌자산</t>
  </si>
  <si>
    <t>현금및현금성자산</t>
    <phoneticPr fontId="50" type="noConversion"/>
  </si>
  <si>
    <t>매출채권</t>
    <phoneticPr fontId="50" type="noConversion"/>
  </si>
  <si>
    <t>수취채권</t>
    <phoneticPr fontId="50" type="noConversion"/>
  </si>
  <si>
    <t>기타수취채권_유동</t>
    <phoneticPr fontId="50" type="noConversion"/>
  </si>
  <si>
    <t>선급금_유동</t>
    <phoneticPr fontId="50" type="noConversion"/>
  </si>
  <si>
    <t>기타자산_유동</t>
    <phoneticPr fontId="50" type="noConversion"/>
  </si>
  <si>
    <t>부가세대급금</t>
    <phoneticPr fontId="50" type="noConversion"/>
  </si>
  <si>
    <t>선납세금</t>
    <phoneticPr fontId="50" type="noConversion"/>
  </si>
  <si>
    <t>당기법인세자산</t>
    <phoneticPr fontId="50" type="noConversion"/>
  </si>
  <si>
    <t>임차보증금_유동</t>
    <phoneticPr fontId="50" type="noConversion"/>
  </si>
  <si>
    <t>(2) 재고자산</t>
    <phoneticPr fontId="50" type="noConversion"/>
  </si>
  <si>
    <t>단기대여금(외화)</t>
    <phoneticPr fontId="22" type="noConversion"/>
  </si>
  <si>
    <t>재고자산</t>
    <phoneticPr fontId="50" type="noConversion"/>
  </si>
  <si>
    <t>제품평가충당금</t>
  </si>
  <si>
    <t>부재료</t>
  </si>
  <si>
    <t>II. 비유동자산</t>
    <phoneticPr fontId="50" type="noConversion"/>
  </si>
  <si>
    <t>(1) 투자자산</t>
    <phoneticPr fontId="50" type="noConversion"/>
  </si>
  <si>
    <t>퇴직연금운용자산_유동</t>
    <phoneticPr fontId="50" type="noConversion"/>
  </si>
  <si>
    <t>기타자산_비유동</t>
    <phoneticPr fontId="50" type="noConversion"/>
  </si>
  <si>
    <t>(2) 유형자산</t>
    <phoneticPr fontId="50" type="noConversion"/>
  </si>
  <si>
    <t>건물</t>
  </si>
  <si>
    <t>유형자산</t>
    <phoneticPr fontId="50" type="noConversion"/>
  </si>
  <si>
    <t>감가상각누계액_건물</t>
    <phoneticPr fontId="50" type="noConversion"/>
  </si>
  <si>
    <t>시설장치</t>
    <phoneticPr fontId="50" type="noConversion"/>
  </si>
  <si>
    <t>감가상각누계액_시설장치</t>
    <phoneticPr fontId="50" type="noConversion"/>
  </si>
  <si>
    <t>국고보조금_시설장치</t>
    <phoneticPr fontId="50" type="noConversion"/>
  </si>
  <si>
    <t>감가상각누계액_기계장치</t>
    <phoneticPr fontId="50" type="noConversion"/>
  </si>
  <si>
    <t>국고보조금_기계장치</t>
    <phoneticPr fontId="50" type="noConversion"/>
  </si>
  <si>
    <t>감가상각누계액_차량운반구</t>
    <phoneticPr fontId="50" type="noConversion"/>
  </si>
  <si>
    <t>감가상각누계액_비품</t>
    <phoneticPr fontId="50" type="noConversion"/>
  </si>
  <si>
    <t>사용권자산</t>
    <phoneticPr fontId="50" type="noConversion"/>
  </si>
  <si>
    <t>감가상각누계액_사용권자산</t>
    <phoneticPr fontId="50" type="noConversion"/>
  </si>
  <si>
    <t>건설중인자산</t>
    <phoneticPr fontId="50" type="noConversion"/>
  </si>
  <si>
    <t>(3) 무형자산</t>
    <phoneticPr fontId="50" type="noConversion"/>
  </si>
  <si>
    <t>특허권</t>
    <phoneticPr fontId="50" type="noConversion"/>
  </si>
  <si>
    <t>국고보조금_특허권</t>
    <phoneticPr fontId="50" type="noConversion"/>
  </si>
  <si>
    <t>소프트웨어</t>
    <phoneticPr fontId="50" type="noConversion"/>
  </si>
  <si>
    <t>상표권</t>
    <phoneticPr fontId="50" type="noConversion"/>
  </si>
  <si>
    <t>무형자산</t>
    <phoneticPr fontId="50" type="noConversion"/>
  </si>
  <si>
    <t>(4) 기타비유동자산</t>
  </si>
  <si>
    <t>임차보증금_비유동</t>
    <phoneticPr fontId="50" type="noConversion"/>
  </si>
  <si>
    <t>기타수취채권_비유동</t>
    <phoneticPr fontId="50" type="noConversion"/>
  </si>
  <si>
    <t>이연법인세자산</t>
    <phoneticPr fontId="50" type="noConversion"/>
  </si>
  <si>
    <t>선급금_비유동</t>
    <phoneticPr fontId="50" type="noConversion"/>
  </si>
  <si>
    <t>자산총계</t>
    <phoneticPr fontId="50" type="noConversion"/>
  </si>
  <si>
    <t>부채</t>
    <phoneticPr fontId="50" type="noConversion"/>
  </si>
  <si>
    <t>매입채무</t>
    <phoneticPr fontId="50" type="noConversion"/>
  </si>
  <si>
    <t>기타지급채무_유동</t>
    <phoneticPr fontId="50" type="noConversion"/>
  </si>
  <si>
    <t>기타부채_유동</t>
    <phoneticPr fontId="50" type="noConversion"/>
  </si>
  <si>
    <t>선수금</t>
    <phoneticPr fontId="50" type="noConversion"/>
  </si>
  <si>
    <t>선수수익</t>
    <phoneticPr fontId="50" type="noConversion"/>
  </si>
  <si>
    <t>단기차입금</t>
    <phoneticPr fontId="50" type="noConversion"/>
  </si>
  <si>
    <t>차입금및사채_유동</t>
    <phoneticPr fontId="50" type="noConversion"/>
  </si>
  <si>
    <t>유동성장기차입금</t>
  </si>
  <si>
    <t>당기법인세부채</t>
    <phoneticPr fontId="50" type="noConversion"/>
  </si>
  <si>
    <t>주주임원종업원단기차입금</t>
  </si>
  <si>
    <t>리스부채</t>
    <phoneticPr fontId="50" type="noConversion"/>
  </si>
  <si>
    <t>퇴직급여충당부채</t>
  </si>
  <si>
    <t>확정급여채무</t>
    <phoneticPr fontId="50" type="noConversion"/>
  </si>
  <si>
    <t>퇴직연금운용자산_부채</t>
    <phoneticPr fontId="50" type="noConversion"/>
  </si>
  <si>
    <t>장기차입금_상환우선주</t>
    <phoneticPr fontId="50" type="noConversion"/>
  </si>
  <si>
    <t>차입금및사채_비유동</t>
    <phoneticPr fontId="50" type="noConversion"/>
  </si>
  <si>
    <t>장기차입금_전환권</t>
    <phoneticPr fontId="50" type="noConversion"/>
  </si>
  <si>
    <t>장기미지급금</t>
  </si>
  <si>
    <t>기타지급채무_비유동</t>
    <phoneticPr fontId="50" type="noConversion"/>
  </si>
  <si>
    <t>이연법인세부채</t>
    <phoneticPr fontId="50" type="noConversion"/>
  </si>
  <si>
    <t>BS신설7</t>
  </si>
  <si>
    <t>부채총계</t>
    <phoneticPr fontId="50" type="noConversion"/>
  </si>
  <si>
    <t>자본</t>
    <phoneticPr fontId="50" type="noConversion"/>
  </si>
  <si>
    <t>I. 자본금</t>
    <phoneticPr fontId="50" type="noConversion"/>
  </si>
  <si>
    <t>보통주자본금</t>
    <phoneticPr fontId="50" type="noConversion"/>
  </si>
  <si>
    <t>자본금</t>
    <phoneticPr fontId="50" type="noConversion"/>
  </si>
  <si>
    <t>II. 자본잉여금</t>
    <phoneticPr fontId="50" type="noConversion"/>
  </si>
  <si>
    <t>주식발행초과금</t>
    <phoneticPr fontId="50" type="noConversion"/>
  </si>
  <si>
    <t>기타불입자본</t>
    <phoneticPr fontId="50" type="noConversion"/>
  </si>
  <si>
    <t>III. 기타자본구성요소</t>
    <phoneticPr fontId="50" type="noConversion"/>
  </si>
  <si>
    <t>주식할인발행차금</t>
    <phoneticPr fontId="50" type="noConversion"/>
  </si>
  <si>
    <t>Ⅳ. 이익잉여금</t>
    <phoneticPr fontId="50" type="noConversion"/>
  </si>
  <si>
    <t>이익준비금</t>
    <phoneticPr fontId="50" type="noConversion"/>
  </si>
  <si>
    <t>BS신설8</t>
  </si>
  <si>
    <t>임의적립금</t>
    <phoneticPr fontId="50" type="noConversion"/>
  </si>
  <si>
    <t>미처분이익잉여금</t>
    <phoneticPr fontId="50" type="noConversion"/>
  </si>
  <si>
    <t>전기이월잉여금</t>
    <phoneticPr fontId="50" type="noConversion"/>
  </si>
  <si>
    <t>이익잉여금</t>
    <phoneticPr fontId="50" type="noConversion"/>
  </si>
  <si>
    <t>보험수리적손익</t>
    <phoneticPr fontId="50" type="noConversion"/>
  </si>
  <si>
    <t>기타자본구성요소</t>
    <phoneticPr fontId="50" type="noConversion"/>
  </si>
  <si>
    <t>당기순이익(손실)</t>
    <phoneticPr fontId="50" type="noConversion"/>
  </si>
  <si>
    <t>자본총계</t>
    <phoneticPr fontId="50" type="noConversion"/>
  </si>
  <si>
    <t>부채와자본총계</t>
    <phoneticPr fontId="50" type="noConversion"/>
  </si>
  <si>
    <t>기타의무형자산-독점판매권</t>
  </si>
  <si>
    <t>선수금(외화_가수금)</t>
  </si>
  <si>
    <t>220000-1</t>
  </si>
  <si>
    <t>돌핀 영업권 인식</t>
    <phoneticPr fontId="22" type="noConversion"/>
  </si>
  <si>
    <t>선급법인세-미지급법인세 상계</t>
    <phoneticPr fontId="22" type="noConversion"/>
  </si>
  <si>
    <t>스튜디오돌핀</t>
  </si>
  <si>
    <t>환불자산의 감소(증가)</t>
  </si>
  <si>
    <t>관계기업 취득에 따른 순현금흐름</t>
    <phoneticPr fontId="22" type="noConversion"/>
  </si>
  <si>
    <t>전환우선주 발행</t>
    <phoneticPr fontId="22" type="noConversion"/>
  </si>
  <si>
    <t>스듀디오 돌핀</t>
    <phoneticPr fontId="22" type="noConversion"/>
  </si>
  <si>
    <t>종속기업투자주식 수수료 재분류</t>
    <phoneticPr fontId="22" type="noConversion"/>
  </si>
  <si>
    <t>B12160</t>
    <phoneticPr fontId="22" type="noConversion"/>
  </si>
  <si>
    <t>연결범위포함으로 인한 현금의 감소</t>
    <phoneticPr fontId="22" type="noConversion"/>
  </si>
  <si>
    <t>연결 부가세 대급금/예수금 상계</t>
    <phoneticPr fontId="22" type="noConversion"/>
  </si>
  <si>
    <t>미지급부가세의 증가(감소)</t>
  </si>
  <si>
    <t>부가세대급금/예수금 상계</t>
    <phoneticPr fontId="22" type="noConversion"/>
  </si>
  <si>
    <t>관계기업 취득에 따른 순현금흐름</t>
  </si>
  <si>
    <t>당기손익공정가치측정금융부채평가손실</t>
  </si>
  <si>
    <t>법인세 납부/환급 상계(동일과세당국)</t>
    <phoneticPr fontId="22" type="noConversion"/>
  </si>
  <si>
    <t>A12600</t>
    <phoneticPr fontId="22" type="noConversion"/>
  </si>
  <si>
    <t>드림어스 감가상각비(제조)</t>
    <phoneticPr fontId="22" type="noConversion"/>
  </si>
  <si>
    <t>FY2021.Q1</t>
    <phoneticPr fontId="22" type="noConversion"/>
  </si>
  <si>
    <t>FY2020.Q2</t>
    <phoneticPr fontId="22" type="noConversion"/>
  </si>
  <si>
    <t>영업활동현금흐름</t>
  </si>
  <si>
    <t>　당기순이익(손실)</t>
  </si>
  <si>
    <t>　수익ㆍ비용의 조정</t>
  </si>
  <si>
    <t>　　법인세비용</t>
  </si>
  <si>
    <t>　　퇴직급여</t>
  </si>
  <si>
    <t>　　주식보상비용</t>
  </si>
  <si>
    <t>　　대손상각비</t>
  </si>
  <si>
    <t>　　감가상각비</t>
  </si>
  <si>
    <t>　　무형자산상각비</t>
  </si>
  <si>
    <t>　　판매보증충당부채전입액</t>
  </si>
  <si>
    <t>　　복구충당부채전입액(환입액)</t>
  </si>
  <si>
    <t>　　이자비용</t>
  </si>
  <si>
    <t>　　외화환산손실</t>
  </si>
  <si>
    <t>　　유형자산처분손실</t>
  </si>
  <si>
    <t>　　재고자산평가손실</t>
  </si>
  <si>
    <t>　　유형자산손상차손</t>
  </si>
  <si>
    <t>　　무형자산손상차손</t>
  </si>
  <si>
    <t>　　이자수익</t>
  </si>
  <si>
    <t>　　외화환산이익</t>
  </si>
  <si>
    <t>　　당기손익-공정가치측정 금융자산관련이익</t>
  </si>
  <si>
    <t>　　유형자산처분이익</t>
  </si>
  <si>
    <t>　영업활동으로인한자산ㆍ부채의변동</t>
  </si>
  <si>
    <t>　　매출채권의 감소(증가)</t>
  </si>
  <si>
    <t>　　기타채권의 감소(증가)</t>
  </si>
  <si>
    <t>　　기타유동자산의 감소</t>
  </si>
  <si>
    <t>　　기타비유동자산의 감소</t>
  </si>
  <si>
    <t>　　재고자산의 증가</t>
  </si>
  <si>
    <t>　　매입채무의 증가</t>
  </si>
  <si>
    <t>　　기타채무의 증가(감소)</t>
  </si>
  <si>
    <t>　　기타유동부채의 증가(감소)</t>
  </si>
  <si>
    <t>　　기타비유동부채의 감소</t>
  </si>
  <si>
    <t>　　순확정급여부채의 증가(감소)</t>
  </si>
  <si>
    <t>　이자의 수취</t>
  </si>
  <si>
    <t>　이자의 지급</t>
  </si>
  <si>
    <t>　법인세의 납부</t>
  </si>
  <si>
    <t>투자활동현금흐름</t>
  </si>
  <si>
    <t>　투자활동으로 인한 현금유입액</t>
  </si>
  <si>
    <t>　　기타채권의 감소</t>
  </si>
  <si>
    <t>　　유형자산의 처분</t>
  </si>
  <si>
    <t>　투자활동으로 인한 현금유출액</t>
  </si>
  <si>
    <t>　　기타채권의 증가</t>
  </si>
  <si>
    <t>　　유형자산의 취득</t>
  </si>
  <si>
    <t>　　무형자산의 취득</t>
  </si>
  <si>
    <t>　　사업양수에 따른 순현금유출</t>
  </si>
  <si>
    <t>재무활동현금흐름</t>
  </si>
  <si>
    <t>　재무활동으로 인한 현금유출액</t>
  </si>
  <si>
    <t>　　단기차입금의 상환</t>
  </si>
  <si>
    <t>　　리스부채의 감소</t>
  </si>
  <si>
    <t>　　기타재무유출</t>
  </si>
  <si>
    <t>현금및현금성자산의증가</t>
  </si>
  <si>
    <t>기초의 현금및현금성자산</t>
  </si>
  <si>
    <t>외화표시 현금및현금성자산의 환율변동효과</t>
  </si>
  <si>
    <t>기말의 현금및현금성자산</t>
  </si>
  <si>
    <t>    매출채권의 감소(증가)</t>
    <phoneticPr fontId="22" type="noConversion"/>
  </si>
  <si>
    <t>    재고자산의 감소(증가)</t>
    <phoneticPr fontId="22" type="noConversion"/>
  </si>
  <si>
    <t>    매입채무의 증가(감소)</t>
    <phoneticPr fontId="22" type="noConversion"/>
  </si>
  <si>
    <t>    기타채무의 증가(감소)</t>
    <phoneticPr fontId="22" type="noConversion"/>
  </si>
  <si>
    <t>    순확정급여부채의 증가(감소)</t>
    <phoneticPr fontId="22" type="noConversion"/>
  </si>
  <si>
    <t>매출채권의 감소(증가)</t>
    <phoneticPr fontId="22" type="noConversion"/>
  </si>
  <si>
    <t>재고자산의 감소(증가)</t>
    <phoneticPr fontId="22" type="noConversion"/>
  </si>
  <si>
    <t>매입채무의 증가(감소)</t>
    <phoneticPr fontId="22" type="noConversion"/>
  </si>
  <si>
    <t>기타채무의 증가(감소)</t>
    <phoneticPr fontId="22" type="noConversion"/>
  </si>
  <si>
    <t>순확정급여부채의 증가(감소)</t>
    <phoneticPr fontId="22" type="noConversion"/>
  </si>
  <si>
    <t>미지급법인세의 증가(감소)</t>
    <phoneticPr fontId="22" type="noConversion"/>
  </si>
  <si>
    <t>신규연결</t>
    <phoneticPr fontId="22" type="noConversion"/>
  </si>
  <si>
    <t>미지급비용(차입금이자)</t>
    <phoneticPr fontId="22" type="noConversion"/>
  </si>
  <si>
    <t>제품보증/수수료</t>
  </si>
  <si>
    <t>2. 연결 및 TB 차이</t>
    <phoneticPr fontId="22" type="noConversion"/>
  </si>
  <si>
    <t>1. 요약 재무제표(누계)</t>
  </si>
  <si>
    <t>사용권자산상각비</t>
  </si>
  <si>
    <t>기타매출(일반)</t>
  </si>
  <si>
    <t xml:space="preserve">Minions Wireless Charging Pad </t>
  </si>
  <si>
    <t>Minions Keyboard</t>
  </si>
  <si>
    <t>지급수수료</t>
    <phoneticPr fontId="388" type="noConversion"/>
  </si>
  <si>
    <t>관리레벨코드</t>
  </si>
  <si>
    <t>관리레벨코드명</t>
  </si>
  <si>
    <t>Mapping 계정코드</t>
  </si>
  <si>
    <t>4183</t>
  </si>
  <si>
    <t>기타유동부채-계약부채-반품</t>
  </si>
  <si>
    <t>3406</t>
  </si>
  <si>
    <t>4184</t>
  </si>
  <si>
    <t>기타유동부채-계약부채-기타</t>
  </si>
  <si>
    <t>8월 금액</t>
    <phoneticPr fontId="22" type="noConversion"/>
  </si>
  <si>
    <t>계약부채_일반</t>
    <phoneticPr fontId="22" type="noConversion"/>
  </si>
  <si>
    <t>V2.1</t>
    <phoneticPr fontId="22" type="noConversion"/>
  </si>
  <si>
    <t>V1.2</t>
    <phoneticPr fontId="22" type="noConversion"/>
  </si>
  <si>
    <t>V1.3</t>
  </si>
  <si>
    <t>단수조정 : 외화환산효과</t>
    <phoneticPr fontId="22" type="noConversion"/>
  </si>
  <si>
    <t>미지급비용(차입금이자)</t>
  </si>
  <si>
    <t>FY2021.Q2</t>
    <phoneticPr fontId="22" type="noConversion"/>
  </si>
  <si>
    <t>FY2020.Q4</t>
    <phoneticPr fontId="22" type="noConversion"/>
  </si>
  <si>
    <t>FY2020.Q3</t>
    <phoneticPr fontId="22" type="noConversion"/>
  </si>
  <si>
    <t>FY2020.Q1</t>
    <phoneticPr fontId="22" type="noConversion"/>
  </si>
  <si>
    <t>FY2021.Q2</t>
    <phoneticPr fontId="22" type="noConversion"/>
  </si>
  <si>
    <t>change.</t>
    <phoneticPr fontId="22" type="noConversion"/>
  </si>
  <si>
    <t>FY2020.Q4</t>
    <phoneticPr fontId="22" type="noConversion"/>
  </si>
  <si>
    <t>FY2019.Q4</t>
    <phoneticPr fontId="19" type="noConversion"/>
  </si>
  <si>
    <t>FY2020.Q4</t>
    <phoneticPr fontId="22" type="noConversion"/>
  </si>
  <si>
    <t>FY2019.Q4</t>
    <phoneticPr fontId="22" type="noConversion"/>
  </si>
  <si>
    <t>FY2020.Q3</t>
    <phoneticPr fontId="22" type="noConversion"/>
  </si>
  <si>
    <t>제 22 기 3분기</t>
  </si>
  <si>
    <t>제 21 기 3분기</t>
  </si>
  <si>
    <t>　　재고자산폐기손실</t>
  </si>
  <si>
    <t>　　유형자산폐기손실</t>
  </si>
  <si>
    <t>　　기타수익</t>
  </si>
  <si>
    <t>　　종속기업투자주식처분손실</t>
  </si>
  <si>
    <t>　　당기손익-공정가치 측정 금융자산의 처분</t>
  </si>
  <si>
    <t>　　기타유동자산의 증가</t>
  </si>
  <si>
    <t>　　종속기업 처분에 따른 순현금유출</t>
  </si>
  <si>
    <t>전환우선주부채</t>
  </si>
  <si>
    <t>전환우선주부채</t>
    <phoneticPr fontId="22" type="noConversion"/>
  </si>
  <si>
    <t>전환우선주부채</t>
    <phoneticPr fontId="22" type="noConversion"/>
  </si>
  <si>
    <t>대손충당금(미수금_원화_금융자산)</t>
    <phoneticPr fontId="22" type="noConversion"/>
  </si>
  <si>
    <t>FY2021.Q3</t>
    <phoneticPr fontId="22" type="noConversion"/>
  </si>
  <si>
    <t>예수보증금(비유동)</t>
    <phoneticPr fontId="22" type="noConversion"/>
  </si>
  <si>
    <t>대손충당금(미수금_원화_공연투자자산)</t>
    <phoneticPr fontId="22" type="noConversion"/>
  </si>
  <si>
    <t>(별도) 거래처별 잔액</t>
    <phoneticPr fontId="22" type="noConversion"/>
  </si>
  <si>
    <t>예수보증금(비유동)</t>
  </si>
  <si>
    <t>FY2021.10</t>
  </si>
  <si>
    <t>Change in FY2020 Q2</t>
    <phoneticPr fontId="22" type="noConversion"/>
  </si>
  <si>
    <t>라이브임팩트</t>
  </si>
  <si>
    <t>라이브임팩트</t>
    <phoneticPr fontId="22" type="noConversion"/>
  </si>
  <si>
    <t>FY2018.4Q</t>
    <phoneticPr fontId="22" type="noConversion"/>
  </si>
  <si>
    <t>Change in FY2019.Q4</t>
    <phoneticPr fontId="22" type="noConversion"/>
  </si>
  <si>
    <t>Change in FY2019.Q4</t>
    <phoneticPr fontId="22" type="noConversion"/>
  </si>
  <si>
    <t>Change in FY2020.Q4</t>
    <phoneticPr fontId="22" type="noConversion"/>
  </si>
  <si>
    <t xml:space="preserve">신규 </t>
    <phoneticPr fontId="22" type="noConversion"/>
  </si>
  <si>
    <t>FY2018.4Q</t>
    <phoneticPr fontId="22" type="noConversion"/>
  </si>
  <si>
    <t>FY2019.1Q</t>
    <phoneticPr fontId="22" type="noConversion"/>
  </si>
  <si>
    <t>FY2019.2Q</t>
    <phoneticPr fontId="22" type="noConversion"/>
  </si>
  <si>
    <t>FY2019.3Q</t>
    <phoneticPr fontId="22" type="noConversion"/>
  </si>
  <si>
    <t>FY2019.4Q</t>
    <phoneticPr fontId="22" type="noConversion"/>
  </si>
  <si>
    <t>FY2020.1Q</t>
  </si>
  <si>
    <t>FY2020.2Q</t>
  </si>
  <si>
    <t>FY2020.3Q</t>
  </si>
  <si>
    <t>FY2020.4Q</t>
  </si>
  <si>
    <t xml:space="preserve">FY2017. Q4 </t>
    <phoneticPr fontId="22" type="noConversion"/>
  </si>
  <si>
    <t>FY2018.Q2</t>
    <phoneticPr fontId="22" type="noConversion"/>
  </si>
  <si>
    <t>FY2018.Q3</t>
    <phoneticPr fontId="22" type="noConversion"/>
  </si>
  <si>
    <t>FY2018.Q4</t>
  </si>
  <si>
    <t>FY2018.Q4</t>
    <phoneticPr fontId="22" type="noConversion"/>
  </si>
  <si>
    <t>FY2018.Q1</t>
    <phoneticPr fontId="22" type="noConversion"/>
  </si>
  <si>
    <t>FY2019.Q1</t>
  </si>
  <si>
    <t>FY2019.Q2</t>
  </si>
  <si>
    <t>FY2019.Q1</t>
    <phoneticPr fontId="22" type="noConversion"/>
  </si>
  <si>
    <t>FY2019.Q2</t>
    <phoneticPr fontId="22" type="noConversion"/>
  </si>
  <si>
    <t>FY2019.Q3</t>
  </si>
  <si>
    <t>FY2019.Q3</t>
    <phoneticPr fontId="22" type="noConversion"/>
  </si>
  <si>
    <t>FY2019.Q4</t>
  </si>
  <si>
    <t>FY2019.Q4</t>
    <phoneticPr fontId="22" type="noConversion"/>
  </si>
  <si>
    <t>FY2019.1Q</t>
    <phoneticPr fontId="22" type="noConversion"/>
  </si>
  <si>
    <t>FY2019.2Q</t>
    <phoneticPr fontId="22" type="noConversion"/>
  </si>
  <si>
    <t>FY2019.3Q</t>
    <phoneticPr fontId="22" type="noConversion"/>
  </si>
  <si>
    <t>금액</t>
    <phoneticPr fontId="22" type="noConversion"/>
  </si>
  <si>
    <t>수수료/외주용역</t>
  </si>
  <si>
    <t>스튜디오 돌핀</t>
  </si>
  <si>
    <t>FY2021.Q4</t>
    <phoneticPr fontId="22" type="noConversion"/>
  </si>
  <si>
    <t>기타매출원가</t>
    <phoneticPr fontId="22" type="noConversion"/>
  </si>
  <si>
    <t>선급금(원화_일반)</t>
    <phoneticPr fontId="22" type="noConversion"/>
  </si>
  <si>
    <t>복구충당부채(유동)</t>
    <phoneticPr fontId="22" type="noConversion"/>
  </si>
  <si>
    <t>FY2018.4Q</t>
    <phoneticPr fontId="22" type="noConversion"/>
  </si>
  <si>
    <t>연결IS_1</t>
    <phoneticPr fontId="22" type="noConversion"/>
  </si>
  <si>
    <t>관계기업투자주식</t>
    <phoneticPr fontId="22" type="noConversion"/>
  </si>
  <si>
    <t>2021년 1월~10월</t>
  </si>
  <si>
    <t>V1.0</t>
  </si>
  <si>
    <t>V1.1</t>
  </si>
  <si>
    <t>DONE</t>
  </si>
  <si>
    <t>2021.10.31</t>
  </si>
  <si>
    <t>FY2021.Q3</t>
  </si>
  <si>
    <t>FY2021.Q2</t>
  </si>
  <si>
    <t>FY2021.Q1</t>
  </si>
  <si>
    <t>FY2020.Q4</t>
  </si>
  <si>
    <t>FY2020.Q3</t>
  </si>
  <si>
    <t>FY2020.Q2</t>
  </si>
  <si>
    <t>FY2020.Q1</t>
  </si>
  <si>
    <t>상품매출할인및에누리(내수)</t>
  </si>
  <si>
    <t>2021년 11월~12월</t>
    <phoneticPr fontId="22" type="noConversion"/>
  </si>
  <si>
    <t>V2.1(이자비용 수정)</t>
    <phoneticPr fontId="22" type="noConversion"/>
  </si>
  <si>
    <t>복구충당부채(유동)</t>
  </si>
  <si>
    <t>BS신설2</t>
    <phoneticPr fontId="22" type="noConversion"/>
  </si>
  <si>
    <t>당기손익인식금융자산-기타(채무상품)</t>
    <phoneticPr fontId="22" type="noConversion"/>
  </si>
  <si>
    <t>당기손익인식금융자산-기타(지분상품)</t>
    <phoneticPr fontId="22" type="noConversion"/>
  </si>
  <si>
    <t>지분법이익</t>
    <phoneticPr fontId="22" type="noConversion"/>
  </si>
  <si>
    <t>단기금융상품의 증가</t>
    <phoneticPr fontId="22" type="noConversion"/>
  </si>
  <si>
    <t>단기금융상품</t>
    <phoneticPr fontId="22" type="noConversion"/>
  </si>
  <si>
    <t>단기금융상품_정기예금</t>
    <phoneticPr fontId="22" type="noConversion"/>
  </si>
  <si>
    <t>대손충당금(단기대여금)</t>
  </si>
  <si>
    <t>대손충당금(미수수익)</t>
  </si>
  <si>
    <t>Change in FY2021.Q4</t>
  </si>
  <si>
    <t>기초취득가액</t>
    <phoneticPr fontId="22" type="noConversion"/>
  </si>
  <si>
    <t>환산차대</t>
    <phoneticPr fontId="22" type="noConversion"/>
  </si>
  <si>
    <t>수수료/오리지널</t>
  </si>
  <si>
    <t>수수료/크리에이터</t>
  </si>
  <si>
    <t>상품매출원가</t>
    <phoneticPr fontId="388" type="noConversion"/>
  </si>
  <si>
    <t>(* 전기 내부거래 Fix)</t>
    <phoneticPr fontId="22" type="noConversion"/>
  </si>
  <si>
    <t>(* 전기 내부거래 Fix)</t>
  </si>
  <si>
    <t>잡이익</t>
    <phoneticPr fontId="22" type="noConversion"/>
  </si>
  <si>
    <t>취득부대비용 연결비용처리</t>
  </si>
  <si>
    <t>FY2021.Q3</t>
    <phoneticPr fontId="22" type="noConversion"/>
  </si>
  <si>
    <t>FY2021.Q4</t>
  </si>
  <si>
    <t>단기대여금(원화)</t>
    <phoneticPr fontId="22" type="noConversion"/>
  </si>
  <si>
    <t>단기차입금(원화)</t>
    <phoneticPr fontId="22" type="noConversion"/>
  </si>
  <si>
    <t>자산</t>
    <phoneticPr fontId="22" type="noConversion"/>
  </si>
  <si>
    <t>스튜디오돌핀</t>
    <phoneticPr fontId="22" type="noConversion"/>
  </si>
  <si>
    <t>2월</t>
  </si>
  <si>
    <t>3월</t>
  </si>
  <si>
    <t>11월</t>
  </si>
  <si>
    <t>12월</t>
  </si>
  <si>
    <t>1월</t>
  </si>
  <si>
    <t>판관비</t>
  </si>
  <si>
    <t>상각액</t>
  </si>
  <si>
    <t>선급금 대체</t>
  </si>
  <si>
    <t>기말</t>
    <phoneticPr fontId="22" type="noConversion"/>
  </si>
  <si>
    <t>조정</t>
    <phoneticPr fontId="22" type="noConversion"/>
  </si>
  <si>
    <t>4월</t>
    <phoneticPr fontId="22" type="noConversion"/>
  </si>
  <si>
    <t>5월</t>
    <phoneticPr fontId="22" type="noConversion"/>
  </si>
  <si>
    <t>스튜디오 돌핀_오디오 콘텐츠 회계정책 일치</t>
  </si>
  <si>
    <t>스튜디오 돌핀_오디오 콘텐츠 회계정책 일치</t>
    <phoneticPr fontId="22" type="noConversion"/>
  </si>
  <si>
    <t>구분</t>
    <phoneticPr fontId="22" type="noConversion"/>
  </si>
  <si>
    <t>광고/제작</t>
  </si>
  <si>
    <t>5, 6</t>
  </si>
  <si>
    <t>5, 6, 7</t>
  </si>
  <si>
    <t>5, 6, 8, 30</t>
  </si>
  <si>
    <t>13, 31, 32</t>
  </si>
  <si>
    <t>5, 6, 15, 30</t>
  </si>
  <si>
    <t>5, 17, 31</t>
  </si>
  <si>
    <t>5, 6, 14, 31</t>
  </si>
  <si>
    <t>1, 19</t>
  </si>
  <si>
    <t>19, 21</t>
  </si>
  <si>
    <t>20, 22</t>
  </si>
  <si>
    <t>4, 26</t>
  </si>
  <si>
    <t>VIII. 총포괄손익</t>
    <phoneticPr fontId="22" type="noConversion"/>
  </si>
  <si>
    <t> (1) 당기순이익(손실)</t>
    <phoneticPr fontId="22" type="noConversion"/>
  </si>
  <si>
    <t>사용권감가/기타</t>
    <phoneticPr fontId="22" type="noConversion"/>
  </si>
  <si>
    <t>비유동자산</t>
    <phoneticPr fontId="22" type="noConversion"/>
  </si>
  <si>
    <t>유동자산</t>
    <phoneticPr fontId="22" type="noConversion"/>
  </si>
  <si>
    <t>전환우선주부채(유동)</t>
    <phoneticPr fontId="22" type="noConversion"/>
  </si>
  <si>
    <t>환불부채(유동)</t>
    <phoneticPr fontId="22" type="noConversion"/>
  </si>
  <si>
    <t>FY2021.Q1</t>
    <phoneticPr fontId="22" type="noConversion"/>
  </si>
  <si>
    <t>FY2021.Q2</t>
    <phoneticPr fontId="22" type="noConversion"/>
  </si>
  <si>
    <t>FY2021.Q3</t>
    <phoneticPr fontId="22" type="noConversion"/>
  </si>
  <si>
    <t>FY2021.Q4</t>
    <phoneticPr fontId="22" type="noConversion"/>
  </si>
  <si>
    <t>FY2020.Q1</t>
    <phoneticPr fontId="22" type="noConversion"/>
  </si>
  <si>
    <t>FY2020.Q1</t>
    <phoneticPr fontId="22" type="noConversion"/>
  </si>
  <si>
    <t>FY2020.Q2</t>
    <phoneticPr fontId="22" type="noConversion"/>
  </si>
  <si>
    <t>FY2020.Q3</t>
    <phoneticPr fontId="22" type="noConversion"/>
  </si>
  <si>
    <t>FY2020.Q4</t>
    <phoneticPr fontId="22" type="noConversion"/>
  </si>
  <si>
    <t>FY2021.Q1</t>
    <phoneticPr fontId="22" type="noConversion"/>
  </si>
  <si>
    <t>FY2021.Q2</t>
    <phoneticPr fontId="22" type="noConversion"/>
  </si>
  <si>
    <t>FY2021.Q3</t>
    <phoneticPr fontId="22" type="noConversion"/>
  </si>
  <si>
    <t>FY2021.Q4</t>
    <phoneticPr fontId="22" type="noConversion"/>
  </si>
  <si>
    <t>FY2020.Q3</t>
    <phoneticPr fontId="22" type="noConversion"/>
  </si>
  <si>
    <t>FY2020.Q4</t>
    <phoneticPr fontId="22" type="noConversion"/>
  </si>
  <si>
    <t>FY2021.Q1</t>
    <phoneticPr fontId="22" type="noConversion"/>
  </si>
  <si>
    <t>FY2021.Q3</t>
    <phoneticPr fontId="22" type="noConversion"/>
  </si>
  <si>
    <t>FY2020.Q1</t>
    <phoneticPr fontId="22" type="noConversion"/>
  </si>
  <si>
    <t>FY2020.Q2</t>
    <phoneticPr fontId="22" type="noConversion"/>
  </si>
  <si>
    <t>FY2020.Q4</t>
    <phoneticPr fontId="22" type="noConversion"/>
  </si>
  <si>
    <t>FY2021.Q2</t>
    <phoneticPr fontId="22" type="noConversion"/>
  </si>
  <si>
    <t>FY2021.Q4</t>
    <phoneticPr fontId="22" type="noConversion"/>
  </si>
  <si>
    <t>FY2020.Q1</t>
    <phoneticPr fontId="22" type="noConversion"/>
  </si>
  <si>
    <t>FY2020.Q2</t>
    <phoneticPr fontId="22" type="noConversion"/>
  </si>
  <si>
    <t>FY2020.Q3</t>
    <phoneticPr fontId="22" type="noConversion"/>
  </si>
  <si>
    <t>FY2020.Q4</t>
    <phoneticPr fontId="22" type="noConversion"/>
  </si>
  <si>
    <t>FY2021.Q1</t>
    <phoneticPr fontId="22" type="noConversion"/>
  </si>
  <si>
    <t>FY2021.Q2</t>
    <phoneticPr fontId="22" type="noConversion"/>
  </si>
  <si>
    <t>FY2021.Q3</t>
    <phoneticPr fontId="22" type="noConversion"/>
  </si>
  <si>
    <t>FY2020.Q1</t>
    <phoneticPr fontId="22" type="noConversion"/>
  </si>
  <si>
    <t>FY2020.Q2</t>
    <phoneticPr fontId="22" type="noConversion"/>
  </si>
  <si>
    <t>FY2020.Q4</t>
    <phoneticPr fontId="22" type="noConversion"/>
  </si>
  <si>
    <t>FY2021.Q1</t>
    <phoneticPr fontId="22" type="noConversion"/>
  </si>
  <si>
    <t>FY2021.Q4</t>
    <phoneticPr fontId="22" type="noConversion"/>
  </si>
  <si>
    <t>FY2020.Q1</t>
    <phoneticPr fontId="22" type="noConversion"/>
  </si>
  <si>
    <t>FY2020.Q3</t>
    <phoneticPr fontId="22" type="noConversion"/>
  </si>
  <si>
    <t>FY2020.Q4</t>
    <phoneticPr fontId="22" type="noConversion"/>
  </si>
  <si>
    <t>FY2021.Q1</t>
    <phoneticPr fontId="22" type="noConversion"/>
  </si>
  <si>
    <t>FY2021.Q3</t>
    <phoneticPr fontId="22" type="noConversion"/>
  </si>
  <si>
    <t>FY2021.Q4</t>
    <phoneticPr fontId="22" type="noConversion"/>
  </si>
  <si>
    <t>잡이익</t>
    <phoneticPr fontId="22" type="noConversion"/>
  </si>
  <si>
    <t>2SM002-CMXX69</t>
  </si>
  <si>
    <t>4ET013-CMXX22</t>
  </si>
  <si>
    <t>4IMB01-CMYE01</t>
  </si>
  <si>
    <t>4IMB01-CMYE02</t>
  </si>
  <si>
    <t>4IMB01-CMYE03</t>
  </si>
  <si>
    <t>4IMB01-CMYE07</t>
  </si>
  <si>
    <t>4IMB01-CMYE08</t>
  </si>
  <si>
    <t>3SM0010-CMXX02</t>
  </si>
  <si>
    <t>4IMB01-CMYE06</t>
  </si>
  <si>
    <t>4IMB01-CMYE04</t>
  </si>
  <si>
    <t>당기손익공정가치측정금융부채평가이익</t>
    <phoneticPr fontId="22" type="noConversion"/>
  </si>
  <si>
    <t>대손충당금환입</t>
    <phoneticPr fontId="22" type="noConversion"/>
  </si>
  <si>
    <t>대손충당금환입</t>
    <phoneticPr fontId="22" type="noConversion"/>
  </si>
  <si>
    <t>단기금융부채평가이익</t>
    <phoneticPr fontId="22" type="noConversion"/>
  </si>
  <si>
    <t>매출원가 반영금액</t>
  </si>
  <si>
    <t>매출원가 반영금액</t>
    <phoneticPr fontId="22" type="noConversion"/>
  </si>
  <si>
    <t>A13490</t>
    <phoneticPr fontId="22" type="noConversion"/>
  </si>
  <si>
    <t>제 23기말</t>
    <phoneticPr fontId="22" type="noConversion"/>
  </si>
  <si>
    <t>제 23 기 2021년 12월 31일 현재</t>
    <phoneticPr fontId="22" type="noConversion"/>
  </si>
  <si>
    <t>제 22 기 2020년 12월 31일 현재</t>
    <phoneticPr fontId="22" type="noConversion"/>
  </si>
  <si>
    <t>  I. 유동자산</t>
  </si>
  <si>
    <t>   현금및현금성자산</t>
  </si>
  <si>
    <t>   단기금융상품</t>
  </si>
  <si>
    <t>   매출채권및기타채권</t>
  </si>
  <si>
    <t>   재고자산</t>
  </si>
  <si>
    <t>   당기법인세자산</t>
  </si>
  <si>
    <t>   기타유동자산</t>
  </si>
  <si>
    <t>  II. 비유동자산</t>
  </si>
  <si>
    <t>   장기투자자산</t>
  </si>
  <si>
    <t>   관계기업투자주식</t>
  </si>
  <si>
    <t>   유형자산</t>
  </si>
  <si>
    <t>12, 14, 30, 31</t>
  </si>
  <si>
    <t>   무형자산</t>
  </si>
  <si>
    <t>  I. 유동부채</t>
  </si>
  <si>
    <t>    매입채무및기타채무</t>
  </si>
  <si>
    <t>    전환우선주부채</t>
  </si>
  <si>
    <t>    기타유동부채</t>
  </si>
  <si>
    <t>    리스부채</t>
  </si>
  <si>
    <t>    당기법인세부채</t>
  </si>
  <si>
    <t>  II. 비유동부채</t>
  </si>
  <si>
    <t>    순확정급여부채</t>
  </si>
  <si>
    <t>    기타비유동부채</t>
  </si>
  <si>
    <t>    장기리스부채</t>
  </si>
  <si>
    <t>  지배기업의 소유주에게 귀속되는 자본</t>
  </si>
  <si>
    <t>    I. 자본금</t>
  </si>
  <si>
    <t>    II. 자본잉여금</t>
  </si>
  <si>
    <t>    III. 기타자본항목</t>
  </si>
  <si>
    <t>    IV. 이익잉여금(결손금)</t>
  </si>
  <si>
    <t>  비지배지분</t>
  </si>
  <si>
    <t>제 23(당)기</t>
    <phoneticPr fontId="22" type="noConversion"/>
  </si>
  <si>
    <t>제 22(전)기</t>
    <phoneticPr fontId="22" type="noConversion"/>
  </si>
  <si>
    <t>당기순이익(손실)</t>
    <phoneticPr fontId="22" type="noConversion"/>
  </si>
  <si>
    <t>판매보증충당부채전입액(환입액)</t>
  </si>
  <si>
    <t>판매보증충당부채전입액(환입액)</t>
    <phoneticPr fontId="22" type="noConversion"/>
  </si>
  <si>
    <t>당기손익-공정가치측정 금융부채평가이익</t>
    <phoneticPr fontId="22" type="noConversion"/>
  </si>
  <si>
    <t>당기손익-공정가치측정 금융부채평가이익</t>
    <phoneticPr fontId="22" type="noConversion"/>
  </si>
  <si>
    <t>FY2021.Q3</t>
    <phoneticPr fontId="22" type="noConversion"/>
  </si>
  <si>
    <t>FY2021.Q2</t>
    <phoneticPr fontId="22" type="noConversion"/>
  </si>
  <si>
    <t>FY2021.Q1</t>
    <phoneticPr fontId="22" type="noConversion"/>
  </si>
  <si>
    <t>FY2020.Q4</t>
    <phoneticPr fontId="22" type="noConversion"/>
  </si>
  <si>
    <t>FY2019.Q4</t>
    <phoneticPr fontId="22" type="noConversion"/>
  </si>
  <si>
    <t>기타 현금유출이 없는 비용</t>
    <phoneticPr fontId="22" type="noConversion"/>
  </si>
  <si>
    <t>기타 현금유출이 없는 비용</t>
    <phoneticPr fontId="22" type="noConversion"/>
  </si>
  <si>
    <t>당기손익-공정가치측정 금융자산의 취득</t>
    <phoneticPr fontId="22" type="noConversion"/>
  </si>
  <si>
    <t>      리스부채의 감소</t>
    <phoneticPr fontId="22" type="noConversion"/>
  </si>
  <si>
    <t>리스부채의 감소</t>
    <phoneticPr fontId="22" type="noConversion"/>
  </si>
  <si>
    <t>리스부채의 감소</t>
    <phoneticPr fontId="22" type="noConversion"/>
  </si>
  <si>
    <t>전환우선주의 발행</t>
    <phoneticPr fontId="22" type="noConversion"/>
  </si>
  <si>
    <t xml:space="preserve">      전환우선주의 발행</t>
    <phoneticPr fontId="22" type="noConversion"/>
  </si>
  <si>
    <t>전환우선주의 발행</t>
    <phoneticPr fontId="22" type="noConversion"/>
  </si>
  <si>
    <t>2022.1.1 (당기초)</t>
    <phoneticPr fontId="22" type="noConversion"/>
  </si>
  <si>
    <t>A12540</t>
    <phoneticPr fontId="22" type="noConversion"/>
  </si>
  <si>
    <t>사용권자산감가상각비</t>
  </si>
  <si>
    <t>사용권자산감가상각비</t>
    <phoneticPr fontId="22" type="noConversion"/>
  </si>
  <si>
    <t>A12021</t>
  </si>
  <si>
    <t>A12021</t>
    <phoneticPr fontId="22" type="noConversion"/>
  </si>
  <si>
    <t>당기손익-공정가치측정 금융자산처분손실</t>
    <phoneticPr fontId="22" type="noConversion"/>
  </si>
  <si>
    <t>A13430</t>
    <phoneticPr fontId="22" type="noConversion"/>
  </si>
  <si>
    <t>A13430</t>
    <phoneticPr fontId="22" type="noConversion"/>
  </si>
  <si>
    <t>당기손익인식금융자산의 처분</t>
    <phoneticPr fontId="22" type="noConversion"/>
  </si>
  <si>
    <t>B11510</t>
    <phoneticPr fontId="22" type="noConversion"/>
  </si>
  <si>
    <t>당기손익인식금융자산의 취득</t>
    <phoneticPr fontId="22" type="noConversion"/>
  </si>
  <si>
    <t>B12510</t>
    <phoneticPr fontId="6" type="noConversion"/>
  </si>
  <si>
    <t>당기손익-공정가치측정 금융자산의 처분</t>
    <phoneticPr fontId="22" type="noConversion"/>
  </si>
  <si>
    <t>현금의 유출이 없는 비용 등의 가산</t>
    <phoneticPr fontId="6" type="noConversion"/>
  </si>
  <si>
    <t>기타 현금의 유출이 없는 비용 등</t>
    <phoneticPr fontId="22" type="noConversion"/>
  </si>
  <si>
    <t>현금의 유입이 없는 수익 등의 차감</t>
    <phoneticPr fontId="22" type="noConversion"/>
  </si>
  <si>
    <t>당기손익-공정가치측정 금융자산의 처분</t>
  </si>
  <si>
    <t>FY2022.Q1</t>
  </si>
  <si>
    <t>FY2022.Q1</t>
    <phoneticPr fontId="22" type="noConversion"/>
  </si>
  <si>
    <t>FY2022.Q1</t>
    <phoneticPr fontId="22" type="noConversion"/>
  </si>
  <si>
    <t>FY2022.Q1</t>
    <phoneticPr fontId="22" type="noConversion"/>
  </si>
  <si>
    <t>FY2021.Q1</t>
    <phoneticPr fontId="22" type="noConversion"/>
  </si>
  <si>
    <t>당기초에 발행된 것으로 간주된 전환우선주</t>
    <phoneticPr fontId="22" type="noConversion"/>
  </si>
  <si>
    <t>FY2022.Q1</t>
    <phoneticPr fontId="22" type="noConversion"/>
  </si>
  <si>
    <t>4SM002-CMXX57</t>
  </si>
  <si>
    <t>NCT OFFICIAL FANLIGHT</t>
  </si>
  <si>
    <t>LIFE DESIGN COMPANY  Inc.</t>
  </si>
  <si>
    <t>LIFE DESIGN COMPANY  Inc.</t>
    <phoneticPr fontId="22" type="noConversion"/>
  </si>
  <si>
    <t>Iriver Enterprise Ltd.</t>
  </si>
  <si>
    <t>Iriver Enterprise Ltd.</t>
    <phoneticPr fontId="22" type="noConversion"/>
  </si>
  <si>
    <t>잡손실</t>
    <phoneticPr fontId="22" type="noConversion"/>
  </si>
  <si>
    <t>FY2022.Q2</t>
    <phoneticPr fontId="22" type="noConversion"/>
  </si>
  <si>
    <t>2021.1.1 (전기초)</t>
    <phoneticPr fontId="22" type="noConversion"/>
  </si>
  <si>
    <t xml:space="preserve">  종속기업및관계기업투자관련손익</t>
    <phoneticPr fontId="22" type="noConversion"/>
  </si>
  <si>
    <t>Ⅵ.당기순이익(손실)</t>
    <phoneticPr fontId="22" type="noConversion"/>
  </si>
  <si>
    <t>FY2020.Q4</t>
    <phoneticPr fontId="22" type="noConversion"/>
  </si>
  <si>
    <t>FY2018.Q4</t>
    <phoneticPr fontId="22" type="noConversion"/>
  </si>
  <si>
    <t>FY2019.Q4</t>
    <phoneticPr fontId="22" type="noConversion"/>
  </si>
  <si>
    <t>FY2020.Q4</t>
    <phoneticPr fontId="22" type="noConversion"/>
  </si>
  <si>
    <t>사용권감가/기타</t>
  </si>
  <si>
    <t>복구공사이익</t>
  </si>
  <si>
    <t>복구공사이익</t>
    <phoneticPr fontId="22" type="noConversion"/>
  </si>
  <si>
    <t>대손충당금환입</t>
  </si>
  <si>
    <t>대손충당금환입</t>
    <phoneticPr fontId="22" type="noConversion"/>
  </si>
  <si>
    <t>외상매입금(원화)</t>
    <phoneticPr fontId="22" type="noConversion"/>
  </si>
  <si>
    <t>손상누계</t>
    <phoneticPr fontId="22" type="noConversion"/>
  </si>
  <si>
    <t>기초장부가액</t>
    <phoneticPr fontId="22" type="noConversion"/>
  </si>
  <si>
    <t>취득가액</t>
    <phoneticPr fontId="22" type="noConversion"/>
  </si>
  <si>
    <t>손상누계</t>
    <phoneticPr fontId="22" type="noConversion"/>
  </si>
  <si>
    <t>기말장부가액</t>
    <phoneticPr fontId="22" type="noConversion"/>
  </si>
  <si>
    <t>비용(원가)</t>
    <phoneticPr fontId="22" type="noConversion"/>
  </si>
  <si>
    <t>비용(판관비)</t>
    <phoneticPr fontId="22" type="noConversion"/>
  </si>
  <si>
    <t>비용(판관비)</t>
    <phoneticPr fontId="22" type="noConversion"/>
  </si>
  <si>
    <t>수익(영업외)</t>
    <phoneticPr fontId="22" type="noConversion"/>
  </si>
  <si>
    <t>비용(영업외)</t>
    <phoneticPr fontId="22" type="noConversion"/>
  </si>
  <si>
    <t>FY2021.Q4</t>
    <phoneticPr fontId="22" type="noConversion"/>
  </si>
  <si>
    <t>FY2021.Q3</t>
    <phoneticPr fontId="22" type="noConversion"/>
  </si>
  <si>
    <t>비용(원가)</t>
    <phoneticPr fontId="22" type="noConversion"/>
  </si>
  <si>
    <t>비용(판관비)</t>
    <phoneticPr fontId="22" type="noConversion"/>
  </si>
  <si>
    <t>수익(영업외)</t>
    <phoneticPr fontId="22" type="noConversion"/>
  </si>
  <si>
    <t>FY2021.Q4</t>
    <phoneticPr fontId="22" type="noConversion"/>
  </si>
  <si>
    <t>FY2021.Q1</t>
    <phoneticPr fontId="22" type="noConversion"/>
  </si>
  <si>
    <t>FY2021.Q2</t>
    <phoneticPr fontId="22" type="noConversion"/>
  </si>
  <si>
    <t>임차보증금(유동)현재가치할인차금</t>
    <phoneticPr fontId="22" type="noConversion"/>
  </si>
  <si>
    <t>사용권자산(기타)</t>
    <phoneticPr fontId="22" type="noConversion"/>
  </si>
  <si>
    <t>사용권자산(기타)감가상각누계액</t>
    <phoneticPr fontId="22" type="noConversion"/>
  </si>
  <si>
    <t>당기순이익</t>
    <phoneticPr fontId="22" type="noConversion"/>
  </si>
  <si>
    <t>영업이익(손실)</t>
    <phoneticPr fontId="22" type="noConversion"/>
  </si>
  <si>
    <t xml:space="preserve"> 유형자산</t>
    <phoneticPr fontId="22" type="noConversion"/>
  </si>
  <si>
    <t xml:space="preserve"> 관계기업투자주식</t>
    <phoneticPr fontId="22" type="noConversion"/>
  </si>
  <si>
    <t xml:space="preserve"> 장기투자자산</t>
    <phoneticPr fontId="22" type="noConversion"/>
  </si>
  <si>
    <t xml:space="preserve"> 매출채권및기타채권</t>
    <phoneticPr fontId="22" type="noConversion"/>
  </si>
  <si>
    <t xml:space="preserve"> 매입채무및기타채무</t>
    <phoneticPr fontId="22" type="noConversion"/>
  </si>
  <si>
    <t xml:space="preserve"> 전환우선주부채</t>
    <phoneticPr fontId="22" type="noConversion"/>
  </si>
  <si>
    <t xml:space="preserve"> 기타유동부채</t>
    <phoneticPr fontId="22" type="noConversion"/>
  </si>
  <si>
    <t xml:space="preserve"> 리스부채</t>
    <phoneticPr fontId="22" type="noConversion"/>
  </si>
  <si>
    <t xml:space="preserve"> 당기법인세부채</t>
    <phoneticPr fontId="22" type="noConversion"/>
  </si>
  <si>
    <t xml:space="preserve"> 매입채무및기타채무</t>
    <phoneticPr fontId="22" type="noConversion"/>
  </si>
  <si>
    <t xml:space="preserve"> 순확정급여부채</t>
    <phoneticPr fontId="22" type="noConversion"/>
  </si>
  <si>
    <t xml:space="preserve"> 기타비유동부채</t>
    <phoneticPr fontId="22" type="noConversion"/>
  </si>
  <si>
    <t xml:space="preserve"> 리스부채</t>
    <phoneticPr fontId="22" type="noConversion"/>
  </si>
  <si>
    <t xml:space="preserve"> 이연법인세부채</t>
    <phoneticPr fontId="22" type="noConversion"/>
  </si>
  <si>
    <t xml:space="preserve"> 현금및현금성자산</t>
    <phoneticPr fontId="22" type="noConversion"/>
  </si>
  <si>
    <t xml:space="preserve"> 단기금융상품</t>
    <phoneticPr fontId="22" type="noConversion"/>
  </si>
  <si>
    <t xml:space="preserve"> 매출채권및기타채권</t>
    <phoneticPr fontId="22" type="noConversion"/>
  </si>
  <si>
    <t xml:space="preserve"> 재고자산</t>
    <phoneticPr fontId="22" type="noConversion"/>
  </si>
  <si>
    <t xml:space="preserve"> 당기법인세자산</t>
    <phoneticPr fontId="22" type="noConversion"/>
  </si>
  <si>
    <t xml:space="preserve"> 기타유동자산</t>
    <phoneticPr fontId="22" type="noConversion"/>
  </si>
  <si>
    <t>과목</t>
    <phoneticPr fontId="22" type="noConversion"/>
  </si>
  <si>
    <t>자산</t>
    <phoneticPr fontId="22" type="noConversion"/>
  </si>
  <si>
    <t>주석</t>
    <phoneticPr fontId="22" type="noConversion"/>
  </si>
  <si>
    <t>부채</t>
    <phoneticPr fontId="22" type="noConversion"/>
  </si>
  <si>
    <t>부채 총계</t>
    <phoneticPr fontId="22" type="noConversion"/>
  </si>
  <si>
    <t>자본</t>
    <phoneticPr fontId="22" type="noConversion"/>
  </si>
  <si>
    <t>자산 총계</t>
    <phoneticPr fontId="22" type="noConversion"/>
  </si>
  <si>
    <t>자본 총계</t>
    <phoneticPr fontId="22" type="noConversion"/>
  </si>
  <si>
    <t>부채 및  자본 총계</t>
    <phoneticPr fontId="22" type="noConversion"/>
  </si>
  <si>
    <t>과목</t>
    <phoneticPr fontId="22" type="noConversion"/>
  </si>
  <si>
    <t>과목</t>
    <phoneticPr fontId="22" type="noConversion"/>
  </si>
  <si>
    <t> 후속적으로 당기손익으로 재분류되지 않는 포괄손익 :</t>
    <phoneticPr fontId="22" type="noConversion"/>
  </si>
  <si>
    <t> 후속적으로 당기손익으로 재분류되는 포괄손익 :</t>
    <phoneticPr fontId="22" type="noConversion"/>
  </si>
  <si>
    <t>3개월</t>
    <phoneticPr fontId="22" type="noConversion"/>
  </si>
  <si>
    <t>누적</t>
    <phoneticPr fontId="22" type="noConversion"/>
  </si>
  <si>
    <t>누적</t>
    <phoneticPr fontId="22" type="noConversion"/>
  </si>
  <si>
    <t>자산 총계</t>
    <phoneticPr fontId="22" type="noConversion"/>
  </si>
  <si>
    <t>부채</t>
    <phoneticPr fontId="22" type="noConversion"/>
  </si>
  <si>
    <t>자본</t>
    <phoneticPr fontId="22" type="noConversion"/>
  </si>
  <si>
    <t>자본 총계</t>
    <phoneticPr fontId="22" type="noConversion"/>
  </si>
  <si>
    <t>부채 및 자본 총계</t>
    <phoneticPr fontId="22" type="noConversion"/>
  </si>
  <si>
    <t>주석</t>
    <phoneticPr fontId="22" type="noConversion"/>
  </si>
  <si>
    <t>자산 총계</t>
    <phoneticPr fontId="22" type="noConversion"/>
  </si>
  <si>
    <t>부채 총계</t>
    <phoneticPr fontId="22" type="noConversion"/>
  </si>
  <si>
    <t>자본 총계</t>
    <phoneticPr fontId="22" type="noConversion"/>
  </si>
  <si>
    <t>제 23 기말</t>
    <phoneticPr fontId="19" type="noConversion"/>
  </si>
  <si>
    <t>제 22 기말</t>
    <phoneticPr fontId="19" type="noConversion"/>
  </si>
  <si>
    <t>제 21 기말</t>
    <phoneticPr fontId="19" type="noConversion"/>
  </si>
  <si>
    <t>부가세대급금</t>
    <phoneticPr fontId="22" type="noConversion"/>
  </si>
  <si>
    <t>부가세예수금</t>
    <phoneticPr fontId="22" type="noConversion"/>
  </si>
  <si>
    <t>사용권감가/기타</t>
    <phoneticPr fontId="22" type="noConversion"/>
  </si>
  <si>
    <t>사용권자산(기타)</t>
    <phoneticPr fontId="22" type="noConversion"/>
  </si>
  <si>
    <t>사용권자산(기타)감가상각누계액</t>
    <phoneticPr fontId="22" type="noConversion"/>
  </si>
  <si>
    <t>전환우선주부채(유동)</t>
    <phoneticPr fontId="22" type="noConversion"/>
  </si>
  <si>
    <t>지분법이익(손실) (메이크어스)</t>
    <phoneticPr fontId="22" type="noConversion"/>
  </si>
  <si>
    <t>지분법이익(손실) (비마이프렌즈)</t>
    <phoneticPr fontId="22" type="noConversion"/>
  </si>
  <si>
    <t>지분법이익(손실) (빗썸메타)</t>
    <phoneticPr fontId="22" type="noConversion"/>
  </si>
  <si>
    <t>관계기업투자주식처분이익(손실) (빗썸메타)</t>
    <phoneticPr fontId="22" type="noConversion"/>
  </si>
  <si>
    <t>관계기업투자주식처분이익(손실) (비마이프렌즈)</t>
    <phoneticPr fontId="22" type="noConversion"/>
  </si>
  <si>
    <t>관계기업투자주식처분이익(손실) (메이크어스)</t>
    <phoneticPr fontId="22" type="noConversion"/>
  </si>
  <si>
    <t>관계기업투자주식처분손실(이익)</t>
    <phoneticPr fontId="22" type="noConversion"/>
  </si>
  <si>
    <t>Tickmark ID</t>
  </si>
  <si>
    <t>Description</t>
  </si>
  <si>
    <t>Occurrences</t>
  </si>
  <si>
    <t>Reviewed By</t>
  </si>
  <si>
    <t>Review Date</t>
  </si>
  <si>
    <t>Review Note Number</t>
  </si>
  <si>
    <t>Text</t>
  </si>
  <si>
    <t>Status</t>
  </si>
  <si>
    <t>Priority</t>
  </si>
  <si>
    <t>Creator</t>
  </si>
  <si>
    <t>Created Date</t>
  </si>
  <si>
    <t>Clearer</t>
  </si>
  <si>
    <t>Cleared Date</t>
  </si>
  <si>
    <t>Closer</t>
  </si>
  <si>
    <t>Closed Date</t>
  </si>
  <si>
    <t>Source Entity Name</t>
  </si>
  <si>
    <t>Source Entity Type</t>
  </si>
  <si>
    <t>Target Entity Name</t>
  </si>
  <si>
    <t>Target Entity Type</t>
  </si>
  <si>
    <t>Source Value</t>
  </si>
  <si>
    <t>Target Value</t>
  </si>
  <si>
    <t>Target Name</t>
  </si>
  <si>
    <t>NCR Status</t>
  </si>
  <si>
    <t>복구공사이익</t>
    <phoneticPr fontId="22" type="noConversion"/>
  </si>
  <si>
    <t>5. 법인세의 환급</t>
    <phoneticPr fontId="22" type="noConversion"/>
  </si>
  <si>
    <t>법인세의 환급</t>
    <phoneticPr fontId="22" type="noConversion"/>
  </si>
  <si>
    <t>지분법손실</t>
    <phoneticPr fontId="22" type="noConversion"/>
  </si>
  <si>
    <t>지분법손실</t>
    <phoneticPr fontId="22" type="noConversion"/>
  </si>
  <si>
    <t>법인세비용</t>
    <phoneticPr fontId="22" type="noConversion"/>
  </si>
  <si>
    <t>퇴직급여</t>
    <phoneticPr fontId="22" type="noConversion"/>
  </si>
  <si>
    <t>감가상각비</t>
    <phoneticPr fontId="22" type="noConversion"/>
  </si>
  <si>
    <t>무형자산상각비</t>
    <phoneticPr fontId="22" type="noConversion"/>
  </si>
  <si>
    <t>주식보상비용</t>
    <phoneticPr fontId="22" type="noConversion"/>
  </si>
  <si>
    <t>대손상각비(환입액)</t>
    <phoneticPr fontId="22" type="noConversion"/>
  </si>
  <si>
    <t>기타의대손상각비(환입액)</t>
    <phoneticPr fontId="22" type="noConversion"/>
  </si>
  <si>
    <t>반품충당부채전입액</t>
    <phoneticPr fontId="22" type="noConversion"/>
  </si>
  <si>
    <t>복구충당부채전입액(환입액)</t>
    <phoneticPr fontId="22" type="noConversion"/>
  </si>
  <si>
    <t>재고자산평가손실(환입액)</t>
    <phoneticPr fontId="22" type="noConversion"/>
  </si>
  <si>
    <t>이자비용</t>
    <phoneticPr fontId="22" type="noConversion"/>
  </si>
  <si>
    <t>외화환산손실</t>
    <phoneticPr fontId="22" type="noConversion"/>
  </si>
  <si>
    <t>유형자산손상차손</t>
    <phoneticPr fontId="22" type="noConversion"/>
  </si>
  <si>
    <t>유형자산폐기손실</t>
    <phoneticPr fontId="22" type="noConversion"/>
  </si>
  <si>
    <t>무형자산손상차손</t>
    <phoneticPr fontId="22" type="noConversion"/>
  </si>
  <si>
    <t>유형자산처분손실</t>
    <phoneticPr fontId="22" type="noConversion"/>
  </si>
  <si>
    <t>무형자산처분손실</t>
    <phoneticPr fontId="22" type="noConversion"/>
  </si>
  <si>
    <t>종속기업투자주식손상차손</t>
    <phoneticPr fontId="22" type="noConversion"/>
  </si>
  <si>
    <t>잡손실</t>
    <phoneticPr fontId="22" type="noConversion"/>
  </si>
  <si>
    <t>당기손익-공정가치측정 금융자산평가손실</t>
    <phoneticPr fontId="22" type="noConversion"/>
  </si>
  <si>
    <t>당기손익공정가치측정금융부채평가손실</t>
    <phoneticPr fontId="22" type="noConversion"/>
  </si>
  <si>
    <t>관계기업투자주식처분손실</t>
    <phoneticPr fontId="22" type="noConversion"/>
  </si>
  <si>
    <t>종속기업투자주식처분손실</t>
    <phoneticPr fontId="22" type="noConversion"/>
  </si>
  <si>
    <t>이자수익</t>
    <phoneticPr fontId="22" type="noConversion"/>
  </si>
  <si>
    <t>외화환산이익</t>
    <phoneticPr fontId="22" type="noConversion"/>
  </si>
  <si>
    <t>당기손익인식금융자산평가이익</t>
    <phoneticPr fontId="22" type="noConversion"/>
  </si>
  <si>
    <t>당기손익-공정가치측정 금융자산평가이익</t>
    <phoneticPr fontId="22" type="noConversion"/>
  </si>
  <si>
    <t>당기손익-공정가치측정 금융자산처분이익</t>
    <phoneticPr fontId="22" type="noConversion"/>
  </si>
  <si>
    <t>유형자산처분이익</t>
    <phoneticPr fontId="22" type="noConversion"/>
  </si>
  <si>
    <t>무형자산처분이익</t>
    <phoneticPr fontId="22" type="noConversion"/>
  </si>
  <si>
    <t>지분법이익</t>
    <phoneticPr fontId="22" type="noConversion"/>
  </si>
  <si>
    <t>관계기업투자주식처분이익</t>
    <phoneticPr fontId="22" type="noConversion"/>
  </si>
  <si>
    <t>기타수익</t>
    <phoneticPr fontId="22" type="noConversion"/>
  </si>
  <si>
    <t>단기대여금의 감소</t>
    <phoneticPr fontId="22" type="noConversion"/>
  </si>
  <si>
    <t>임차보증금의 감소</t>
    <phoneticPr fontId="22" type="noConversion"/>
  </si>
  <si>
    <t>기타보증금의 감소</t>
    <phoneticPr fontId="22" type="noConversion"/>
  </si>
  <si>
    <t>당기손익-공정가치측정 금융자산의 감소</t>
    <phoneticPr fontId="22" type="noConversion"/>
  </si>
  <si>
    <t>유형자산의 처분</t>
    <phoneticPr fontId="22" type="noConversion"/>
  </si>
  <si>
    <t>무형자산의 처분</t>
    <phoneticPr fontId="22" type="noConversion"/>
  </si>
  <si>
    <t>합병으로 인한 현금유입액</t>
    <phoneticPr fontId="22" type="noConversion"/>
  </si>
  <si>
    <t>단기대여금의 증가</t>
    <phoneticPr fontId="22" type="noConversion"/>
  </si>
  <si>
    <t>단기금융상품의 증가</t>
    <phoneticPr fontId="22" type="noConversion"/>
  </si>
  <si>
    <t>장기대여금의 증가</t>
    <phoneticPr fontId="22" type="noConversion"/>
  </si>
  <si>
    <t>임차보증금의 증가</t>
    <phoneticPr fontId="22" type="noConversion"/>
  </si>
  <si>
    <t>기타보증금의 증가</t>
    <phoneticPr fontId="22" type="noConversion"/>
  </si>
  <si>
    <t>기타유동자산의 증가</t>
    <phoneticPr fontId="22" type="noConversion"/>
  </si>
  <si>
    <t>당기손익인식금융자산의 증가</t>
    <phoneticPr fontId="22" type="noConversion"/>
  </si>
  <si>
    <t>관계기업 취득에 따른 순현금흐름</t>
    <phoneticPr fontId="22" type="noConversion"/>
  </si>
  <si>
    <t>종속기업 취득에 따른 순현금흐름</t>
    <phoneticPr fontId="22" type="noConversion"/>
  </si>
  <si>
    <t>종속기업 처분에 따른 순현금흐름</t>
    <phoneticPr fontId="22" type="noConversion"/>
  </si>
  <si>
    <t>유형자산의 취득</t>
    <phoneticPr fontId="22" type="noConversion"/>
  </si>
  <si>
    <t>무형자산의 취득</t>
    <phoneticPr fontId="22" type="noConversion"/>
  </si>
  <si>
    <t>사업양수에 따른 지급</t>
    <phoneticPr fontId="22" type="noConversion"/>
  </si>
  <si>
    <t>별도 결손금 자본잉여금 보전</t>
  </si>
  <si>
    <t>별도 결손금 자본잉여금 보전</t>
    <phoneticPr fontId="22" type="noConversion"/>
  </si>
  <si>
    <t>관계기업의 해외사업환산</t>
    <phoneticPr fontId="22" type="noConversion"/>
  </si>
  <si>
    <t>-</t>
    <phoneticPr fontId="22" type="noConversion"/>
  </si>
  <si>
    <t>주식선택권가득 후 소멸 분 계정대체</t>
    <phoneticPr fontId="22" type="noConversion"/>
  </si>
  <si>
    <t>보험수리적손익</t>
    <phoneticPr fontId="22" type="noConversion"/>
  </si>
  <si>
    <t>이익잉여금(결손금)</t>
    <phoneticPr fontId="22" type="noConversion"/>
  </si>
  <si>
    <t>합계</t>
    <phoneticPr fontId="22" type="noConversion"/>
  </si>
  <si>
    <t>해외사업장환산외환차이</t>
    <phoneticPr fontId="22" type="noConversion"/>
  </si>
  <si>
    <t xml:space="preserve">  해외사업장환산외환차이</t>
    <phoneticPr fontId="22" type="noConversion"/>
  </si>
  <si>
    <t>금융수익</t>
    <phoneticPr fontId="22" type="noConversion"/>
  </si>
  <si>
    <t>금융비용</t>
    <phoneticPr fontId="22" type="noConversion"/>
  </si>
  <si>
    <t>기타영업외수익</t>
    <phoneticPr fontId="22" type="noConversion"/>
  </si>
  <si>
    <t>기타영업외비용</t>
    <phoneticPr fontId="22" type="noConversion"/>
  </si>
  <si>
    <t>종속기업및관계기업투자관련손익</t>
    <phoneticPr fontId="22" type="noConversion"/>
  </si>
  <si>
    <t>법인세비용(수익)</t>
    <phoneticPr fontId="22" type="noConversion"/>
  </si>
  <si>
    <t>지배기업의 소유주지분</t>
    <phoneticPr fontId="22" type="noConversion"/>
  </si>
  <si>
    <t>비지배지분</t>
    <phoneticPr fontId="22" type="noConversion"/>
  </si>
  <si>
    <t>확정급여제도의 재측정요소</t>
    <phoneticPr fontId="22" type="noConversion"/>
  </si>
  <si>
    <t>해외사업장환산외환차이</t>
    <phoneticPr fontId="22" type="noConversion"/>
  </si>
  <si>
    <t>지배기업의 소유주지분</t>
    <phoneticPr fontId="22" type="noConversion"/>
  </si>
  <si>
    <t>기본주당이익(손실)</t>
    <phoneticPr fontId="22" type="noConversion"/>
  </si>
  <si>
    <t>희석주당이익(손실)</t>
    <phoneticPr fontId="22" type="noConversion"/>
  </si>
  <si>
    <t>후속적으로 당기손익으로 재분류되는 기타포괄손익 :</t>
    <phoneticPr fontId="22" type="noConversion"/>
  </si>
  <si>
    <t>후속적으로 당기손익으로 재분류되지 않는 기타포괄손익 :</t>
    <phoneticPr fontId="22" type="noConversion"/>
  </si>
  <si>
    <t>판매비와관리비</t>
    <phoneticPr fontId="22" type="noConversion"/>
  </si>
  <si>
    <t>총포괄손익:</t>
    <phoneticPr fontId="22" type="noConversion"/>
  </si>
  <si>
    <t>당기순이익(손실)</t>
    <phoneticPr fontId="22" type="noConversion"/>
  </si>
  <si>
    <t>해외사업장환산외환차이</t>
    <phoneticPr fontId="22" type="noConversion"/>
  </si>
  <si>
    <t>자본에 직접 반영된 소유주와의 거래:</t>
    <phoneticPr fontId="22" type="noConversion"/>
  </si>
  <si>
    <t>전환사채의 전환</t>
    <phoneticPr fontId="22" type="noConversion"/>
  </si>
  <si>
    <t>사업결합</t>
    <phoneticPr fontId="22" type="noConversion"/>
  </si>
  <si>
    <t>주식보상비용</t>
    <phoneticPr fontId="22" type="noConversion"/>
  </si>
  <si>
    <t>총포괄손익:</t>
    <phoneticPr fontId="22" type="noConversion"/>
  </si>
  <si>
    <t>확정급여제도의 재측정요소</t>
    <phoneticPr fontId="22" type="noConversion"/>
  </si>
  <si>
    <t>자본에 직접 반영된 소유주와의 거래:</t>
    <phoneticPr fontId="22" type="noConversion"/>
  </si>
  <si>
    <t>자본잉여금 결손금 보전</t>
    <phoneticPr fontId="22" type="noConversion"/>
  </si>
  <si>
    <t>주식보상비용</t>
    <phoneticPr fontId="22" type="noConversion"/>
  </si>
  <si>
    <t>매입채무및기타채무_비유동</t>
  </si>
  <si>
    <t>매입채무및기타채무_비유동</t>
    <phoneticPr fontId="22" type="noConversion"/>
  </si>
  <si>
    <t>자산</t>
    <phoneticPr fontId="22" type="noConversion"/>
  </si>
  <si>
    <t>* 21년 별도 결손금 자본잉여금 보전</t>
    <phoneticPr fontId="22" type="noConversion"/>
  </si>
  <si>
    <t>지분법자본변동</t>
    <phoneticPr fontId="22" type="noConversion"/>
  </si>
  <si>
    <t>지분법자본변동</t>
    <phoneticPr fontId="22" type="noConversion"/>
  </si>
  <si>
    <t xml:space="preserve">  지분법자본변동</t>
    <phoneticPr fontId="22" type="noConversion"/>
  </si>
  <si>
    <t>FY2022.Q2</t>
  </si>
  <si>
    <t>4ET014-CMXX37</t>
  </si>
  <si>
    <t>4ET014-CMXX40</t>
  </si>
  <si>
    <t>Minions BTスピーカー（BOB）</t>
  </si>
  <si>
    <t>Minions BTスピーカー（KEVIN）</t>
  </si>
  <si>
    <t>Minions BTスピーカー（OTTO）</t>
  </si>
  <si>
    <t>Minions　歯ブラシ除菌器</t>
  </si>
  <si>
    <t>aespa OFFFICIAL FANLIGHT</t>
  </si>
  <si>
    <t>FANLIGHT CUSTOM EMBLEM karina Ver.</t>
  </si>
  <si>
    <t>FANLIGHT CUSTOM EMBLEM winter Ver.</t>
  </si>
  <si>
    <t>FANLIGHT CUSTOM EMBLEM giselle Ver.</t>
  </si>
  <si>
    <t>FANLIGHT CUSTOM EMBLEM ningninga Ver.</t>
  </si>
  <si>
    <t>선수금(외화_콘텐츠)</t>
  </si>
  <si>
    <t>결손금 보전(드림어스별도)</t>
    <phoneticPr fontId="22" type="noConversion"/>
  </si>
  <si>
    <t>결손금보전</t>
    <phoneticPr fontId="22" type="noConversion"/>
  </si>
  <si>
    <t>FY2022.07</t>
    <phoneticPr fontId="22" type="noConversion"/>
  </si>
  <si>
    <t>FY2022.07</t>
    <phoneticPr fontId="22" type="noConversion"/>
  </si>
  <si>
    <t>LIFE DESIGN 
COMPANY  Inc.</t>
    <phoneticPr fontId="22" type="noConversion"/>
  </si>
  <si>
    <t>FY2022.08</t>
  </si>
  <si>
    <t>FY2022.08</t>
    <phoneticPr fontId="22" type="noConversion"/>
  </si>
  <si>
    <t>FY2022.Q2</t>
    <phoneticPr fontId="22" type="noConversion"/>
  </si>
  <si>
    <t>제24기 3분기</t>
    <phoneticPr fontId="22" type="noConversion"/>
  </si>
  <si>
    <t>제23기 3분기</t>
    <phoneticPr fontId="22" type="noConversion"/>
  </si>
  <si>
    <t>제 24 기말</t>
    <phoneticPr fontId="19" type="noConversion"/>
  </si>
  <si>
    <t>2022.9.30 (당기말)</t>
    <phoneticPr fontId="22" type="noConversion"/>
  </si>
  <si>
    <t>2021.09.30 (전기말)</t>
    <phoneticPr fontId="22" type="noConversion"/>
  </si>
  <si>
    <t>연결조정</t>
    <phoneticPr fontId="22" type="noConversion"/>
  </si>
  <si>
    <t>4, 26</t>
    <phoneticPr fontId="22" type="noConversion"/>
  </si>
  <si>
    <t>4, 26</t>
    <phoneticPr fontId="22" type="noConversion"/>
  </si>
  <si>
    <t>16, 20, 26</t>
  </si>
  <si>
    <t>16, 20, 26</t>
    <phoneticPr fontId="22" type="noConversion"/>
  </si>
  <si>
    <t>5, 21, 26</t>
  </si>
  <si>
    <t>5, 21, 26</t>
    <phoneticPr fontId="22" type="noConversion"/>
  </si>
  <si>
    <t>5, 21</t>
  </si>
  <si>
    <t>5, 21</t>
    <phoneticPr fontId="22" type="noConversion"/>
  </si>
  <si>
    <t>4, 9</t>
  </si>
  <si>
    <t>4, 9</t>
    <phoneticPr fontId="22" type="noConversion"/>
  </si>
  <si>
    <t>5, 6, 26</t>
  </si>
  <si>
    <t>5, 6, 26</t>
    <phoneticPr fontId="22" type="noConversion"/>
  </si>
  <si>
    <t>5, 6, 26</t>
    <phoneticPr fontId="22" type="noConversion"/>
  </si>
  <si>
    <t>10, 12, 26, 27</t>
  </si>
  <si>
    <t>10, 12, 26, 27</t>
    <phoneticPr fontId="22" type="noConversion"/>
  </si>
  <si>
    <t>11, 27</t>
  </si>
  <si>
    <t>11, 27</t>
    <phoneticPr fontId="22" type="noConversion"/>
  </si>
  <si>
    <t>5, 13, 26</t>
  </si>
  <si>
    <t>5, 13, 26</t>
    <phoneticPr fontId="22" type="noConversion"/>
  </si>
  <si>
    <t>5, 15, 27</t>
  </si>
  <si>
    <t>5, 15, 27</t>
    <phoneticPr fontId="22" type="noConversion"/>
  </si>
  <si>
    <t>5, 12, 27</t>
  </si>
  <si>
    <t>5, 12, 27</t>
    <phoneticPr fontId="22" type="noConversion"/>
  </si>
  <si>
    <t>5, 12, 27</t>
    <phoneticPr fontId="22" type="noConversion"/>
  </si>
  <si>
    <t>1, 17</t>
  </si>
  <si>
    <t>1, 17</t>
    <phoneticPr fontId="22" type="noConversion"/>
  </si>
  <si>
    <t>18, 19</t>
  </si>
  <si>
    <t>18, 19</t>
    <phoneticPr fontId="22" type="noConversion"/>
  </si>
  <si>
    <t>Ⅰ. 자본금</t>
    <phoneticPr fontId="22" type="noConversion"/>
  </si>
  <si>
    <t>Ⅱ. 자본잉여금</t>
    <phoneticPr fontId="22" type="noConversion"/>
  </si>
  <si>
    <t>Ⅲ. 기타자본항목</t>
    <phoneticPr fontId="22" type="noConversion"/>
  </si>
  <si>
    <t>Ⅳ. 결손금</t>
    <phoneticPr fontId="22" type="noConversion"/>
  </si>
  <si>
    <t>광고/매체광고</t>
  </si>
  <si>
    <t>광고/매체광고</t>
    <phoneticPr fontId="22" type="noConversion"/>
  </si>
  <si>
    <t>2022.09.30</t>
    <phoneticPr fontId="22" type="noConversion"/>
  </si>
  <si>
    <t>환산차대</t>
  </si>
  <si>
    <t>연결조정 추가</t>
    <phoneticPr fontId="22" type="noConversion"/>
  </si>
  <si>
    <t>스튜디오 돌핀_비품 손상 조정 분개</t>
    <phoneticPr fontId="22" type="noConversion"/>
  </si>
  <si>
    <t>자기주식처분</t>
    <phoneticPr fontId="22" type="noConversion"/>
  </si>
  <si>
    <t>V1.0</t>
    <phoneticPr fontId="22" type="noConversion"/>
  </si>
  <si>
    <t>2021.4Q</t>
    <phoneticPr fontId="22" type="noConversion"/>
  </si>
  <si>
    <t>2022.3Q</t>
    <phoneticPr fontId="22" type="noConversion"/>
  </si>
  <si>
    <t>투자활동으로 인한 현금유출액</t>
    <phoneticPr fontId="22" type="noConversion"/>
  </si>
  <si>
    <t>유형자산 처분 내부거래 제거</t>
    <phoneticPr fontId="22" type="noConversion"/>
  </si>
  <si>
    <t>CFS V1.0</t>
    <phoneticPr fontId="22" type="noConversion"/>
  </si>
  <si>
    <t xml:space="preserve">      자기주식의 처분</t>
    <phoneticPr fontId="22" type="noConversion"/>
  </si>
  <si>
    <t>FY2022.10</t>
    <phoneticPr fontId="22" type="noConversion"/>
  </si>
  <si>
    <t>FY2022.Q3</t>
  </si>
  <si>
    <t>FY2022.Q3</t>
    <phoneticPr fontId="22" type="noConversion"/>
  </si>
  <si>
    <t>FY2022.Q3</t>
    <phoneticPr fontId="22" type="noConversion"/>
  </si>
  <si>
    <t>FY2022.Q4</t>
    <phoneticPr fontId="22" type="noConversion"/>
  </si>
  <si>
    <t>FY2022.Q3</t>
    <phoneticPr fontId="22" type="noConversion"/>
  </si>
  <si>
    <t>FY2022.Q4</t>
    <phoneticPr fontId="22" type="noConversion"/>
  </si>
  <si>
    <t>FY2022.Q4</t>
    <phoneticPr fontId="22" type="noConversion"/>
  </si>
  <si>
    <t>FY2022.Q3</t>
    <phoneticPr fontId="22" type="noConversion"/>
  </si>
  <si>
    <t>FY2022.Q3</t>
    <phoneticPr fontId="22" type="noConversion"/>
  </si>
  <si>
    <t>FY2022.Q3</t>
    <phoneticPr fontId="22" type="noConversion"/>
  </si>
  <si>
    <t>FY2022.Q3</t>
    <phoneticPr fontId="22" type="noConversion"/>
  </si>
  <si>
    <t>Change in FY2022.Q4</t>
    <phoneticPr fontId="22" type="noConversion"/>
  </si>
  <si>
    <t>FY2022.Q3</t>
    <phoneticPr fontId="22" type="noConversion"/>
  </si>
  <si>
    <t>FY2022.10</t>
  </si>
  <si>
    <t>증감
MoM</t>
    <phoneticPr fontId="22" type="noConversion"/>
  </si>
  <si>
    <t>FY2022.11</t>
    <phoneticPr fontId="22" type="noConversion"/>
  </si>
  <si>
    <t>FY2022.4Q</t>
    <phoneticPr fontId="22" type="noConversion"/>
  </si>
  <si>
    <t>FY2022.3Q</t>
    <phoneticPr fontId="22" type="noConversion"/>
  </si>
  <si>
    <t>증감
YoY</t>
    <phoneticPr fontId="22" type="noConversion"/>
  </si>
  <si>
    <t>증감
QoQ</t>
    <phoneticPr fontId="22" type="noConversion"/>
  </si>
  <si>
    <t>FY2021.4Q</t>
    <phoneticPr fontId="22" type="noConversion"/>
  </si>
  <si>
    <t>당기손익-공정가치측정금융자산(비유동) 지분상품</t>
  </si>
  <si>
    <t>당기손익-공정가치측정금융자산(비유동) 채무상품</t>
  </si>
  <si>
    <t>V1.1</t>
    <phoneticPr fontId="22" type="noConversion"/>
  </si>
  <si>
    <t>2022.12.31</t>
    <phoneticPr fontId="22" type="noConversion"/>
  </si>
  <si>
    <t>FY2022.12</t>
    <phoneticPr fontId="22" type="noConversion"/>
  </si>
  <si>
    <t>FY2022.11</t>
  </si>
  <si>
    <t>자본금</t>
    <phoneticPr fontId="22" type="noConversion"/>
  </si>
  <si>
    <t>우선주자본금</t>
    <phoneticPr fontId="22" type="noConversion"/>
  </si>
  <si>
    <t>우선주주식발행초과금</t>
    <phoneticPr fontId="22" type="noConversion"/>
  </si>
  <si>
    <t>순확정급여자산</t>
  </si>
  <si>
    <t>순확정급여자산</t>
    <phoneticPr fontId="22" type="noConversion"/>
  </si>
  <si>
    <t>LDC_퇴직급여충당금 자산 조정 분개</t>
    <phoneticPr fontId="22" type="noConversion"/>
  </si>
  <si>
    <t>순확정급여부채</t>
    <phoneticPr fontId="22" type="noConversion"/>
  </si>
  <si>
    <t>확정급여채무</t>
    <phoneticPr fontId="22" type="noConversion"/>
  </si>
  <si>
    <t>전환우선주 계정 재 분류</t>
    <phoneticPr fontId="22" type="noConversion"/>
  </si>
  <si>
    <t>제 24기말</t>
    <phoneticPr fontId="22" type="noConversion"/>
  </si>
  <si>
    <t xml:space="preserve"> 순확정급여자산</t>
    <phoneticPr fontId="22" type="noConversion"/>
  </si>
  <si>
    <t>전환우선주의 자본금 전환</t>
  </si>
  <si>
    <t>V1.4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</si>
</sst>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1"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#,###;[Red]\(#,###\);\-"/>
    <numFmt numFmtId="177" formatCode="_-* #,##0.0000_-;\-* #,##0.0000_-;_-* &quot;-&quot;_-;_-@_-"/>
    <numFmt numFmtId="178" formatCode="#,###.000;[Red]\(#,###.000\);\-"/>
    <numFmt numFmtId="179" formatCode="###,###,###,###"/>
    <numFmt numFmtId="180" formatCode="_-* #,##0.000000_-;\-* #,##0.000000_-;_-* &quot;-&quot;_-;_-@_-"/>
    <numFmt numFmtId="181" formatCode="#,##0;[Red]\(#,##0\);\-"/>
    <numFmt numFmtId="182" formatCode="#,###.00;[Red]\(#,###.00\);\-"/>
    <numFmt numFmtId="183" formatCode="0_);[Red]\(0\)"/>
    <numFmt numFmtId="184" formatCode="#,##0_);[Red]\(#,##0\)"/>
    <numFmt numFmtId="185" formatCode="#,###.0000;[Red]\(#,###.0000\);\-"/>
    <numFmt numFmtId="186" formatCode="#,###,"/>
    <numFmt numFmtId="187" formatCode="_-* #,##0.00000_-;\-* #,##0.00000_-;_-* &quot;-&quot;_-;_-@_-"/>
    <numFmt numFmtId="188" formatCode="#,##0\ ;\(#,##0\);\-\ "/>
    <numFmt numFmtId="189" formatCode="#,##0\ ;[Red]\(#,##0\);\-\ "/>
    <numFmt numFmtId="190" formatCode="#,##0.00_);[Red]\(#,##0.00\)"/>
    <numFmt numFmtId="191" formatCode="_-* #,##0.00000_-;\-* #,##0.00000_-;_-* &quot;-&quot;?????_-;_-@_-"/>
    <numFmt numFmtId="192" formatCode="#,###.00000000000000000000;[Red]\(#,###.00000000000000000000\);\-"/>
    <numFmt numFmtId="193" formatCode="#,###.000000000000000000000;[Red]\(#,###.000000000000000000000\);\-"/>
    <numFmt numFmtId="194" formatCode="#,##0.0"/>
    <numFmt numFmtId="195" formatCode="#,##0.000"/>
    <numFmt numFmtId="196" formatCode="&quot;₩&quot;\!\$#,##0_);[Red]&quot;₩&quot;\!\(&quot;₩&quot;\!\$#,##0&quot;₩&quot;\!\)"/>
    <numFmt numFmtId="197" formatCode="\ mm&quot;월&quot;\ dd&quot;일&quot;"/>
    <numFmt numFmtId="198" formatCode="#,##0%"/>
    <numFmt numFmtId="199" formatCode="_(* #,##0_);_(* \(#,##0\);_(* &quot;-&quot;??_);_(@_)"/>
    <numFmt numFmtId="200" formatCode="_(&quot;$&quot;* #,##0.00_);_(&quot;$&quot;* \(#,##0.00\);_(&quot;$&quot;* &quot;-&quot;??_);_(@_)"/>
    <numFmt numFmtId="201" formatCode="#."/>
    <numFmt numFmtId="202" formatCode="_(&quot;$&quot;* #,##0_);_(&quot;$&quot;* \(#,##0\);_(&quot;$&quot;* &quot;-&quot;_);_(@_)"/>
    <numFmt numFmtId="203" formatCode="_ * #,##0_ ;_ * \-#,##0_ ;_ * &quot;-&quot;_ ;_ @_ "/>
    <numFmt numFmtId="204" formatCode="_ &quot;₩&quot;* #,##0_ ;_ &quot;₩&quot;* \-#,##0_ ;_ &quot;₩&quot;* &quot;-&quot;_ ;_ @_ "/>
    <numFmt numFmtId="205" formatCode="_ &quot;₩&quot;* #,##0.00_ ;_ &quot;₩&quot;* \-#,##0.00_ ;_ &quot;₩&quot;* &quot;-&quot;??_ ;_ @_ "/>
    <numFmt numFmtId="206" formatCode="0.0"/>
    <numFmt numFmtId="207" formatCode="_ * #,##0_ ;_ * &quot;₩&quot;&quot;₩&quot;&quot;₩&quot;&quot;₩&quot;&quot;₩&quot;&quot;₩&quot;&quot;₩&quot;&quot;₩&quot;&quot;₩&quot;&quot;₩&quot;&quot;₩&quot;\-#,##0_ ;_ * &quot;-&quot;_ ;_ @_ "/>
    <numFmt numFmtId="208" formatCode="0.0000%"/>
    <numFmt numFmtId="209" formatCode="_ * #,##0_ ;_ * &quot;₩&quot;\!\-#,##0_ ;_ * &quot;-&quot;_ ;_ @_ "/>
    <numFmt numFmtId="210" formatCode="_ * #,##0.00_ ;_ * \-#,##0.00_ ;_ * &quot;-&quot;??_ ;_ @_ "/>
    <numFmt numFmtId="211" formatCode="&quot;₩&quot;#,##0.00;[Red]&quot;₩&quot;&quot;₩&quot;\-#,##0.00"/>
    <numFmt numFmtId="212" formatCode="0_)"/>
    <numFmt numFmtId="213" formatCode=".00"/>
    <numFmt numFmtId="214" formatCode=".000"/>
    <numFmt numFmtId="215" formatCode="#,##0.00000_);\(#,##0.00000\)"/>
    <numFmt numFmtId="216" formatCode=";;;"/>
    <numFmt numFmtId="217" formatCode="&quot;$&quot;#,##0_);\(&quot;$&quot;#,##0\)"/>
    <numFmt numFmtId="218" formatCode="_-* #,##0.000_-;\-* #,##0.000_-;_-* &quot;-&quot;??_-;_-@_-"/>
    <numFmt numFmtId="219" formatCode="#,##0;\-#,##0;&quot;-&quot;"/>
    <numFmt numFmtId="220" formatCode="#,##0.00;\-#,##0.00;&quot;-&quot;"/>
    <numFmt numFmtId="221" formatCode="#,##0%;\-#,##0%;&quot;- &quot;"/>
    <numFmt numFmtId="222" formatCode="#,##0.0%;\-#,##0.0%;&quot;- &quot;"/>
    <numFmt numFmtId="223" formatCode="#,##0.00%;\-#,##0.00%;&quot;- &quot;"/>
    <numFmt numFmtId="224" formatCode="#,##0.0;\-#,##0.0;&quot;-&quot;"/>
    <numFmt numFmtId="225" formatCode="&quot;$&quot;#,##0.0_);\(&quot;$&quot;#,##0.0\)"/>
    <numFmt numFmtId="226" formatCode="0.000_)"/>
    <numFmt numFmtId="227" formatCode="_ * #,##0.0000000_ ;_ * \-#,##0.0000000_ ;_ * &quot;-&quot;_ ;_ @_ "/>
    <numFmt numFmtId="228" formatCode="#,##0.00&quot; F&quot;_);\(#,##0.00&quot; F&quot;\)"/>
    <numFmt numFmtId="229" formatCode="#,##0_%_);\(#,##0\)_%;#,##0_%_);@_%_)"/>
    <numFmt numFmtId="230" formatCode="#,##0.00_%_);\(#,##0.00\)_%;#,##0.00_%_);@_%_)"/>
    <numFmt numFmtId="231" formatCode="#,##0;\(#,##0\)"/>
    <numFmt numFmtId="232" formatCode="d/m/yy\ h:mm"/>
    <numFmt numFmtId="233" formatCode="\(0.00\)"/>
    <numFmt numFmtId="234" formatCode="#,##0.0000_);\(#,##0.0000\)"/>
    <numFmt numFmtId="235" formatCode="\$#.00"/>
    <numFmt numFmtId="236" formatCode="&quot;₩&quot;#,##0;[Red]&quot;₩&quot;\-#,##0"/>
    <numFmt numFmtId="237" formatCode="&quot;$&quot;#,##0_%_);\(&quot;$&quot;#,##0\)_%;&quot;$&quot;#,##0_%_);@_%_)"/>
    <numFmt numFmtId="238" formatCode="&quot;$&quot;#,##0.00_%_);\(&quot;$&quot;#,##0.00\)_%;&quot;$&quot;#,##0.00_%_);@_%_)"/>
    <numFmt numFmtId="239" formatCode="_-&quot;₩&quot;* #,##0.00_-;&quot;₩&quot;\-&quot;₩&quot;* #,##0.00_-;_-&quot;₩&quot;* &quot;-&quot;??_-;_-@_-"/>
    <numFmt numFmtId="240" formatCode="_(&quot;$&quot;* #,##0.00_);_(&quot;$&quot;* \(#,##0.00\);\ &quot;--  &quot;;_(@_)"/>
    <numFmt numFmtId="241" formatCode="&quot;$&quot;#,##0.00_);[Red]\(&quot;$&quot;#,##0.00\)"/>
    <numFmt numFmtId="242" formatCode="&quot;$&quot;#,##0\ ;\(&quot;$&quot;#,##0\)"/>
    <numFmt numFmtId="243" formatCode="&quot;₩&quot;#,##0.0000000000;&quot;₩&quot;\-#,##0.0000000000"/>
    <numFmt numFmtId="244" formatCode="0.0&quot;  &quot;"/>
    <numFmt numFmtId="245" formatCode="#,##0.0_);\(#,##0.0\)"/>
    <numFmt numFmtId="246" formatCode="m/d/yy_%_)"/>
    <numFmt numFmtId="247" formatCode="#,##0.000;[Red]&quot;-&quot;#,##0.000"/>
    <numFmt numFmtId="248" formatCode="m/d/yyyy\ \ h:mm\ AM/PM"/>
    <numFmt numFmtId="249" formatCode="#,##0.0000_ ;[Red]\-#,##0.0000\ "/>
    <numFmt numFmtId="250" formatCode="0_ "/>
    <numFmt numFmtId="251" formatCode="\$#,##0.0_);\(\$#,##0.0\)"/>
    <numFmt numFmtId="252" formatCode="0.0000&quot;  &quot;"/>
    <numFmt numFmtId="253" formatCode="0_%_);\(0\)_%;0_%_);@_%_)"/>
    <numFmt numFmtId="254" formatCode="_-[$€-2]* #,##0.00_-;\-[$€-2]* #,##0.00_-;_-[$€-2]* &quot;-&quot;??_-"/>
    <numFmt numFmtId="255" formatCode="_-* #,##0.00\ [$€-1]_-;\-* #,##0.00\ [$€-1]_-;_-* &quot;-&quot;??\ [$€-1]_-"/>
    <numFmt numFmtId="256" formatCode="0.0%"/>
    <numFmt numFmtId="257" formatCode="#,##0."/>
    <numFmt numFmtId="258" formatCode="#.00"/>
    <numFmt numFmtId="259" formatCode="General_)"/>
    <numFmt numFmtId="260" formatCode="0.0\%_);\(0.0\%\);0.0\%_);@_%_)"/>
    <numFmt numFmtId="261" formatCode="#,##0.0_);[Red]\(#,##0.0\)"/>
    <numFmt numFmtId="262" formatCode="#,##0.0000;[Red]\-#,##0.0000"/>
    <numFmt numFmtId="263" formatCode="&quot;$&quot;#,##0.0000_);[Red]\(&quot;$&quot;#,##0.0000\)"/>
    <numFmt numFmtId="264" formatCode="#,##0;[Red]&quot;△&quot;#,##0"/>
    <numFmt numFmtId="265" formatCode="mm/yyyy"/>
    <numFmt numFmtId="266" formatCode="\ \ \ #,###"/>
    <numFmt numFmtId="267" formatCode="0.00000000"/>
    <numFmt numFmtId="268" formatCode="_-* #,##0\ _F_-;\-* #,##0\ _F_-;_-* &quot;-&quot;\ _F_-;_-@_-"/>
    <numFmt numFmtId="269" formatCode="_-* #,##0.00\ _F_-;\-* #,##0.00\ _F_-;_-* &quot;-&quot;??\ _F_-;_-@_-"/>
    <numFmt numFmtId="270" formatCode="mmmmm"/>
    <numFmt numFmtId="271" formatCode="&quot;R$&quot;#,##0_);\(&quot;R$&quot;#,##0\)"/>
    <numFmt numFmtId="272" formatCode="_-&quot;?&quot;* #,##0_-;\-&quot;?&quot;* #,##0_-;_-&quot;?&quot;* &quot;-&quot;_-;_-@_-"/>
    <numFmt numFmtId="273" formatCode="_-&quot;?&quot;* #,##0.00_-;\-&quot;?&quot;* #,##0.00_-;_-&quot;?&quot;* &quot;-&quot;??_-;_-@_-"/>
    <numFmt numFmtId="274" formatCode="\ \W\ #,###"/>
    <numFmt numFmtId="275" formatCode="&quot;₩&quot;#,##0"/>
    <numFmt numFmtId="276" formatCode="_-* #,##0\ &quot;F&quot;_-;\-* #,##0\ &quot;F&quot;_-;_-* &quot;-&quot;\ &quot;F&quot;_-;_-@_-"/>
    <numFmt numFmtId="277" formatCode="_-* #,##0.00\ &quot;F&quot;_-;\-* #,##0.00\ &quot;F&quot;_-;_-* &quot;-&quot;??\ &quot;F&quot;_-;_-@_-"/>
    <numFmt numFmtId="278" formatCode="0.0\x_)_);&quot;NM&quot;_x_)_);0.0\x_)_);@_%_)"/>
    <numFmt numFmtId="279" formatCode="[Red]#,##0;[Black]\-#,##0"/>
    <numFmt numFmtId="280" formatCode="#,##0.0_);[Red]\(#,##0.0\);&quot;--  &quot;"/>
    <numFmt numFmtId="281" formatCode="#,##0;&quot;(&quot;&quot;-&quot;&quot;)&quot;#,##0"/>
    <numFmt numFmtId="282" formatCode="[&lt;=9999999]###\-####;\(###\)\ ###\-####"/>
    <numFmt numFmtId="283" formatCode="&quot;- &quot;0&quot; -&quot;"/>
    <numFmt numFmtId="284" formatCode="%#.00"/>
    <numFmt numFmtId="285" formatCode="0%_);\(0%\)"/>
    <numFmt numFmtId="286" formatCode="0%;\(0%\)"/>
    <numFmt numFmtId="287" formatCode="0.0%;[Red]\(0.0%\)"/>
    <numFmt numFmtId="288" formatCode="&quot;₩&quot;\ #,##0.00;&quot;₩&quot;\ \-#,##0.00"/>
    <numFmt numFmtId="289" formatCode="\ \ @"/>
    <numFmt numFmtId="290" formatCode="\ \ \ \ @"/>
    <numFmt numFmtId="291" formatCode="_(* #,##0.0,_);_(* \(#,##0.0,\);_(* &quot;-&quot;_);_(@_)"/>
    <numFmt numFmtId="292" formatCode="_ * #,##0.00_ ;_ * &quot;₩&quot;\!\-#,##0.00_ ;_ * &quot;-&quot;??_ ;_ @_ "/>
    <numFmt numFmtId="293" formatCode="#,##0.00,_);[Red]\(#,##0.00\)"/>
    <numFmt numFmtId="294" formatCode="#,##0.000,_);[Red]\(#,##0.000\)"/>
    <numFmt numFmtId="295" formatCode="#,##0_ "/>
    <numFmt numFmtId="296" formatCode="#,##0_ ;[Red]\-#,##0\ "/>
    <numFmt numFmtId="297" formatCode="#,##0\ &quot;DM&quot;;[Red]\-#,##0\ &quot;DM&quot;"/>
    <numFmt numFmtId="298" formatCode="&quot;₩&quot;#,##0.00;[Red]&quot;₩&quot;\-#,##0.00"/>
    <numFmt numFmtId="299" formatCode="0.0\x"/>
    <numFmt numFmtId="300" formatCode="#,##0&quot;포&quot;"/>
    <numFmt numFmtId="301" formatCode="\(#,##0\)"/>
    <numFmt numFmtId="302" formatCode="00"/>
    <numFmt numFmtId="303" formatCode="_-* #,##0_-;[Red]&quot;△&quot;#,##0_-;;"/>
    <numFmt numFmtId="304" formatCode="#,##0_);[Red]\(#,##0\);\-\ "/>
    <numFmt numFmtId="305" formatCode="#,##0.0000000_);[Red]\(#,##0.0000000\)"/>
    <numFmt numFmtId="306" formatCode="#,##0&quot;Vial&quot;"/>
    <numFmt numFmtId="307" formatCode="#,##0_);[Red]\(#,##0\);&quot;-&quot;_)"/>
    <numFmt numFmtId="308" formatCode="0.00_);\(0.00\)"/>
    <numFmt numFmtId="309" formatCode="&quot;(&quot;#,##0&quot;) &quot;;&quot;(&quot;&quot;-&quot;&quot;)&quot;&quot;(&quot;#,##0&quot;) &quot;"/>
    <numFmt numFmtId="310" formatCode="#,##0&quot;㎖&quot;"/>
    <numFmt numFmtId="311" formatCode="#,##0&quot;앰플&quot;"/>
    <numFmt numFmtId="312" formatCode="#,##0&quot;g&quot;"/>
    <numFmt numFmtId="313" formatCode="#,##0\ &quot;F&quot;;[Red]\-#,##0\ &quot;F&quot;"/>
    <numFmt numFmtId="314" formatCode="&quot;$&quot;#,##0_);[Red]\(&quot;$&quot;#,##0\)"/>
    <numFmt numFmtId="315" formatCode="m&quot;₩&quot;/d&quot;₩&quot;/yy&quot;₩&quot;\!\ h&quot;₩&quot;:mm"/>
    <numFmt numFmtId="316" formatCode="#,##0.00;&quot;-&quot;#,##0.00"/>
    <numFmt numFmtId="317" formatCode="mm&quot;월&quot;\ dd&quot;일&quot;"/>
    <numFmt numFmtId="318" formatCode="#,##0;&quot;-&quot;#,##0"/>
    <numFmt numFmtId="319" formatCode="0.0E+00"/>
    <numFmt numFmtId="320" formatCode="d/&quot;기&quot;&quot;정&quot;&quot;치&quot;"/>
    <numFmt numFmtId="321" formatCode="mm&quot;월 &quot;dd&quot;일&quot;"/>
    <numFmt numFmtId="322" formatCode="m\/d\/yy\ h\:mm"/>
    <numFmt numFmtId="323" formatCode="&quot; ￦&quot;#,##0_);&quot;(￦&quot;#,##0\);&quot; ￦&quot;\-_)"/>
    <numFmt numFmtId="324" formatCode="#,###;&quot;△&quot;#,###"/>
    <numFmt numFmtId="325" formatCode="#0&quot;일&quot;"/>
    <numFmt numFmtId="326" formatCode="#,##0&quot;정&quot;"/>
    <numFmt numFmtId="327" formatCode="#,##0&quot;매&quot;"/>
    <numFmt numFmtId="328" formatCode="&quot;#&quot;##0"/>
    <numFmt numFmtId="329" formatCode="#,##0;[Red]\-#,##0;\-"/>
    <numFmt numFmtId="330" formatCode="[Blue]#,##0.00;[Red]\-#,##0.00"/>
    <numFmt numFmtId="331" formatCode="#,##0&quot;캅셀&quot;"/>
    <numFmt numFmtId="332" formatCode="_(* #,##0.00_);_(* &quot;₩&quot;\(#,##0.00&quot;₩&quot;\);_(* &quot;-&quot;??_);_(@_)"/>
    <numFmt numFmtId="333" formatCode="#,##0;[Red]&quot;-&quot;#,##0"/>
    <numFmt numFmtId="334" formatCode="0.000000000000E+00"/>
    <numFmt numFmtId="335" formatCode="_-&quot;$&quot;* #,##0.00_-;\-&quot;$&quot;* #,##0.00_-;_-&quot;$&quot;* &quot;-&quot;??_-;_-@_-"/>
    <numFmt numFmtId="336" formatCode="_-&quot;$&quot;* #,##0_-;\-&quot;$&quot;* #,##0_-;_-&quot;$&quot;* &quot;-&quot;_-;_-@_-"/>
    <numFmt numFmtId="337" formatCode="#,##0&quot;?_);[Red]\(#,##0&quot;&quot;?&quot;\)"/>
    <numFmt numFmtId="338" formatCode="#,##0\ &quot;F&quot;;\-#,##0\ &quot;F&quot;"/>
    <numFmt numFmtId="339" formatCode="\ \-m\/dd"/>
    <numFmt numFmtId="340" formatCode="&quot;Rp&quot;#,##0_);\(&quot;Rp&quot;#,##0\)"/>
    <numFmt numFmtId="341" formatCode="&quot;₩&quot;#,##0;&quot;₩&quot;\-#,##0"/>
    <numFmt numFmtId="342" formatCode="[$CAD]\ #,##0.00;[Red]\-[$CAD]\ #,##0.00"/>
    <numFmt numFmtId="343" formatCode="_-* #,##0.00_-;\-* #,##0.00_-;_-* &quot;-&quot;_-;_-@_-"/>
    <numFmt numFmtId="344" formatCode="#,##0,;[Red]\-#,##0,"/>
    <numFmt numFmtId="345" formatCode="#,##0,_);[Red]\(#,##0,\)"/>
    <numFmt numFmtId="346" formatCode="#,##0,_);[Red]\(#,##0,\)_)"/>
    <numFmt numFmtId="347" formatCode="#,##0.0000_);[Red]\(#,##0.0000\)"/>
    <numFmt numFmtId="348" formatCode="_-* #,##0_-;\-* #,##0_-;_-* &quot;-&quot;??_-;_-@_-"/>
    <numFmt numFmtId="349" formatCode="#,###.000000000;[Red]\(#,###.000000000\);\-"/>
    <numFmt numFmtId="350" formatCode="#,###.0;[Red]\(#,###.0\);\-"/>
  </numFmts>
  <fonts count="4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함초롬돋움"/>
      <family val="3"/>
      <charset val="129"/>
    </font>
    <font>
      <b/>
      <sz val="9"/>
      <color theme="1"/>
      <name val="함초롬돋움"/>
      <family val="3"/>
      <charset val="129"/>
    </font>
    <font>
      <b/>
      <sz val="9"/>
      <color theme="0"/>
      <name val="함초롬돋움"/>
      <family val="3"/>
      <charset val="129"/>
    </font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color rgb="FFC00000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rgb="FFC00000"/>
      <name val="함초롬돋움"/>
      <family val="3"/>
      <charset val="129"/>
    </font>
    <font>
      <b/>
      <sz val="9"/>
      <name val="함초롬돋움"/>
      <family val="3"/>
      <charset val="129"/>
    </font>
    <font>
      <sz val="9"/>
      <name val="함초롬돋움"/>
      <family val="3"/>
      <charset val="129"/>
    </font>
    <font>
      <sz val="9"/>
      <color indexed="9"/>
      <name val="함초롬돋움"/>
      <family val="3"/>
      <charset val="129"/>
    </font>
    <font>
      <sz val="9"/>
      <color indexed="8"/>
      <name val="함초롬돋움"/>
      <family val="3"/>
      <charset val="129"/>
    </font>
    <font>
      <b/>
      <sz val="9"/>
      <color theme="0" tint="-4.9989318521683403E-2"/>
      <name val="함초롬돋움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9"/>
      <color theme="0"/>
      <name val="함초롬돋움"/>
      <family val="3"/>
      <charset val="129"/>
    </font>
    <font>
      <b/>
      <sz val="9"/>
      <color rgb="FF000000"/>
      <name val="함초롬돋움"/>
      <family val="3"/>
      <charset val="129"/>
    </font>
    <font>
      <sz val="9"/>
      <color rgb="FF000000"/>
      <name val="함초롬돋움"/>
      <family val="3"/>
      <charset val="129"/>
    </font>
    <font>
      <sz val="9"/>
      <color rgb="FFFF0000"/>
      <name val="함초롬돋움"/>
      <family val="3"/>
      <charset val="129"/>
    </font>
    <font>
      <sz val="9"/>
      <color theme="1" tint="0.14999847407452621"/>
      <name val="함초롬돋움"/>
      <family val="3"/>
      <charset val="129"/>
    </font>
    <font>
      <sz val="9"/>
      <color rgb="FFC00000"/>
      <name val="함초롬돋움"/>
      <family val="3"/>
      <charset val="129"/>
    </font>
    <font>
      <sz val="10"/>
      <name val="Arial"/>
      <family val="2"/>
    </font>
    <font>
      <sz val="11"/>
      <name val="Book Antiqua"/>
      <family val="1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함초롬돋움"/>
      <family val="3"/>
      <charset val="129"/>
    </font>
    <font>
      <sz val="10"/>
      <color indexed="8"/>
      <name val="Arial"/>
      <family val="2"/>
    </font>
    <font>
      <b/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sz val="10"/>
      <name val="가는각진제목체"/>
      <family val="1"/>
      <charset val="129"/>
    </font>
    <font>
      <sz val="9"/>
      <color indexed="18"/>
      <name val="맑은 고딕"/>
      <family val="3"/>
      <charset val="129"/>
    </font>
    <font>
      <sz val="8"/>
      <name val="가는각진제목체"/>
      <family val="1"/>
      <charset val="129"/>
    </font>
    <font>
      <b/>
      <sz val="9"/>
      <color indexed="12"/>
      <name val="맑은 고딕"/>
      <family val="3"/>
      <charset val="129"/>
    </font>
    <font>
      <b/>
      <sz val="9"/>
      <color indexed="18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9"/>
      <name val="돋움"/>
      <family val="3"/>
      <charset val="129"/>
    </font>
    <font>
      <sz val="11"/>
      <name val="Times New Roman"/>
      <family val="1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name val="돋움"/>
      <family val="3"/>
      <charset val="129"/>
    </font>
    <font>
      <sz val="12"/>
      <name val="Times New Roman"/>
      <family val="1"/>
    </font>
    <font>
      <sz val="1"/>
      <color indexed="8"/>
      <name val="Courier"/>
      <family val="3"/>
    </font>
    <font>
      <b/>
      <sz val="12"/>
      <name val="바탕체"/>
      <family val="1"/>
      <charset val="129"/>
    </font>
    <font>
      <i/>
      <sz val="12"/>
      <name val="바탕체"/>
      <family val="1"/>
      <charset val="129"/>
    </font>
    <font>
      <sz val="12"/>
      <name val="¹????¼"/>
      <family val="1"/>
      <charset val="129"/>
    </font>
    <font>
      <sz val="11"/>
      <name val="??????"/>
      <family val="1"/>
    </font>
    <font>
      <u/>
      <sz val="8.4"/>
      <color indexed="12"/>
      <name val="Arial"/>
      <family val="2"/>
    </font>
    <font>
      <sz val="11"/>
      <name val="????"/>
      <family val="3"/>
    </font>
    <font>
      <sz val="12"/>
      <name val="???"/>
      <family val="3"/>
    </font>
    <font>
      <sz val="12"/>
      <color indexed="8"/>
      <name val="?UAAA?"/>
      <family val="2"/>
      <charset val="204"/>
    </font>
    <font>
      <sz val="8"/>
      <name val="Arial"/>
      <family val="2"/>
    </font>
    <font>
      <u/>
      <sz val="11"/>
      <color indexed="36"/>
      <name val="굃굍 굊긕긘긞긏"/>
      <family val="3"/>
      <charset val="129"/>
    </font>
    <font>
      <sz val="11"/>
      <name val="돋?o"/>
      <family val="3"/>
      <charset val="129"/>
    </font>
    <font>
      <sz val="12"/>
      <name val="톝꾄ⁿ?"/>
      <family val="3"/>
      <charset val="129"/>
    </font>
    <font>
      <sz val="10"/>
      <name val="Courier"/>
      <family val="3"/>
    </font>
    <font>
      <sz val="10"/>
      <name val="굴림체"/>
      <family val="3"/>
      <charset val="129"/>
    </font>
    <font>
      <sz val="10"/>
      <name val="Helv"/>
      <family val="2"/>
    </font>
    <font>
      <sz val="11"/>
      <name val="굴림체"/>
      <family val="3"/>
      <charset val="129"/>
    </font>
    <font>
      <sz val="10"/>
      <name val="Times New Roman"/>
      <family val="1"/>
    </font>
    <font>
      <sz val="10"/>
      <color indexed="9"/>
      <name val="Arial"/>
      <family val="2"/>
    </font>
    <font>
      <i/>
      <sz val="10"/>
      <color indexed="13"/>
      <name val="Arial"/>
      <family val="2"/>
    </font>
    <font>
      <sz val="10"/>
      <color indexed="13"/>
      <name val="Arial"/>
      <family val="2"/>
    </font>
    <font>
      <b/>
      <i/>
      <sz val="9"/>
      <name val="Arial"/>
      <family val="2"/>
    </font>
    <font>
      <i/>
      <sz val="10"/>
      <name val="Arial"/>
      <family val="2"/>
    </font>
    <font>
      <b/>
      <sz val="11"/>
      <name val="돋움"/>
      <family val="3"/>
      <charset val="129"/>
    </font>
    <font>
      <sz val="12"/>
      <name val="바e"/>
      <family val="3"/>
      <charset val="129"/>
    </font>
    <font>
      <sz val="12"/>
      <name val="¹UAAA¼"/>
      <family val="1"/>
      <charset val="129"/>
    </font>
    <font>
      <sz val="10"/>
      <name val="‚l‚r ƒSƒVƒbƒN"/>
      <family val="3"/>
    </font>
    <font>
      <sz val="1"/>
      <color indexed="18"/>
      <name val="Courier"/>
      <family val="3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MS Sans Serif"/>
      <family val="2"/>
    </font>
    <font>
      <sz val="10"/>
      <name val="¸iA¶"/>
      <family val="3"/>
      <charset val="129"/>
    </font>
    <font>
      <b/>
      <sz val="11"/>
      <color indexed="12"/>
      <name val="굴림체"/>
      <family val="3"/>
      <charset val="129"/>
    </font>
    <font>
      <sz val="14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0"/>
      <color indexed="8"/>
      <name val="HY그래픽"/>
      <family val="1"/>
      <charset val="129"/>
    </font>
    <font>
      <sz val="10"/>
      <color theme="1"/>
      <name val="맑은 고딕"/>
      <family val="2"/>
      <charset val="129"/>
    </font>
    <font>
      <sz val="11"/>
      <name val="돋움체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HY그래픽"/>
      <family val="1"/>
      <charset val="129"/>
    </font>
    <font>
      <sz val="12"/>
      <name val="官帕眉"/>
      <family val="1"/>
    </font>
    <font>
      <sz val="11"/>
      <name val="??o"/>
      <family val="1"/>
    </font>
    <font>
      <sz val="12"/>
      <name val="1UAÁA1"/>
      <family val="1"/>
    </font>
    <font>
      <sz val="9"/>
      <name val="Tahoma"/>
      <family val="2"/>
    </font>
    <font>
      <sz val="11"/>
      <name val="￠R¨u¡§u¡E¡þ¨I¡AA¡§u"/>
      <family val="3"/>
      <charset val="129"/>
    </font>
    <font>
      <sz val="11"/>
      <name val="??????o"/>
      <family val="3"/>
    </font>
    <font>
      <sz val="12"/>
      <name val="ⓒoUAAA¨u"/>
      <family val="3"/>
      <charset val="129"/>
    </font>
    <font>
      <sz val="11"/>
      <name val="¥ì¢¬¢¯o"/>
      <family val="3"/>
    </font>
    <font>
      <sz val="12"/>
      <name val="￠RERERIi￠RERERE￠RERER¡ER￠R"/>
      <family val="3"/>
      <charset val="129"/>
    </font>
    <font>
      <sz val="11"/>
      <name val="μ¸¿o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1"/>
      <name val="µ¸?o"/>
      <family val="3"/>
      <charset val="129"/>
    </font>
    <font>
      <sz val="12"/>
      <name val="±¼¸²Ã¼"/>
      <family val="3"/>
      <charset val="129"/>
    </font>
    <font>
      <sz val="12"/>
      <name val="±1¸2A1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Arial"/>
      <family val="2"/>
    </font>
    <font>
      <sz val="10"/>
      <name val="±¼¸²Ã¼"/>
      <family val="3"/>
      <charset val="129"/>
    </font>
    <font>
      <sz val="12"/>
      <name val="µ¸¿òÃ¼"/>
      <family val="3"/>
      <charset val="129"/>
    </font>
    <font>
      <sz val="11"/>
      <color indexed="20"/>
      <name val="맑은 고딕"/>
      <family val="3"/>
      <charset val="129"/>
    </font>
    <font>
      <sz val="8"/>
      <color indexed="48"/>
      <name val="Arial"/>
      <family val="2"/>
    </font>
    <font>
      <b/>
      <sz val="12"/>
      <name val="Arial MT"/>
      <family val="2"/>
    </font>
    <font>
      <b/>
      <sz val="11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2"/>
      <name val="Tms Rmn"/>
      <family val="1"/>
    </font>
    <font>
      <sz val="11"/>
      <name val="Arial Narrow"/>
      <family val="2"/>
    </font>
    <font>
      <i/>
      <sz val="8"/>
      <color indexed="12"/>
      <name val="Arial"/>
      <family val="2"/>
    </font>
    <font>
      <b/>
      <sz val="14"/>
      <color indexed="8"/>
      <name val="Times New Roman"/>
      <family val="1"/>
    </font>
    <font>
      <sz val="8"/>
      <name val="Palatino"/>
      <family val="1"/>
    </font>
    <font>
      <sz val="10"/>
      <color indexed="20"/>
      <name val="Arial"/>
      <family val="2"/>
    </font>
    <font>
      <sz val="12"/>
      <name val="??oA?"/>
      <family val="2"/>
      <charset val="204"/>
    </font>
    <font>
      <sz val="10"/>
      <name val="¡ERERER¡ERER￠RER¡ER¡E?u￠R"/>
      <family val="3"/>
      <charset val="129"/>
    </font>
    <font>
      <sz val="12"/>
      <name val="¡§IoUAAA￠R¡×u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¨IoUAAA¡§u"/>
      <family val="1"/>
      <charset val="129"/>
    </font>
    <font>
      <sz val="10"/>
      <name val="±¼¸²A¼"/>
      <family val="3"/>
      <charset val="129"/>
    </font>
    <font>
      <sz val="12"/>
      <name val="±¼¸²A¼"/>
      <family val="3"/>
      <charset val="129"/>
    </font>
    <font>
      <sz val="11"/>
      <name val="±¼¸²Ã¼"/>
      <family val="3"/>
      <charset val="129"/>
    </font>
    <font>
      <sz val="12"/>
      <name val="±¼¸²Ã¼"/>
      <family val="3"/>
    </font>
    <font>
      <sz val="10"/>
      <name val="¹ÙÅÁÃ¼"/>
      <family val="1"/>
      <charset val="129"/>
    </font>
    <font>
      <sz val="12"/>
      <name val="System"/>
      <family val="2"/>
      <charset val="129"/>
    </font>
    <font>
      <sz val="10"/>
      <name val="¹ÙÅÁÃ¼"/>
      <family val="3"/>
      <charset val="129"/>
    </font>
    <font>
      <sz val="10"/>
      <name val="¹UAAA¼"/>
      <family val="1"/>
      <charset val="129"/>
    </font>
    <font>
      <sz val="12"/>
      <name val="μ¸¿oA¼"/>
      <family val="3"/>
      <charset val="129"/>
    </font>
    <font>
      <sz val="12"/>
      <name val="¹ÙÅÁÃ¼"/>
      <family val="1"/>
    </font>
    <font>
      <sz val="12"/>
      <name val="¹UAAA¼"/>
      <family val="3"/>
    </font>
    <font>
      <sz val="11"/>
      <name val="±¼¸²A¼"/>
      <family val="3"/>
      <charset val="129"/>
    </font>
    <font>
      <sz val="10"/>
      <name val="±¼¸²A¼"/>
      <family val="3"/>
    </font>
    <font>
      <sz val="10"/>
      <name val="±¼¸²Ã¼"/>
      <family val="3"/>
    </font>
    <font>
      <b/>
      <sz val="11"/>
      <color indexed="52"/>
      <name val="맑은 고딕"/>
      <family val="3"/>
      <charset val="129"/>
    </font>
    <font>
      <sz val="9"/>
      <name val="Tms Rmn"/>
      <family val="1"/>
    </font>
    <font>
      <b/>
      <sz val="8"/>
      <color indexed="9"/>
      <name val="Arial"/>
      <family val="2"/>
    </font>
    <font>
      <b/>
      <u/>
      <sz val="8"/>
      <name val="Arial"/>
      <family val="2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u/>
      <sz val="11.6"/>
      <color indexed="12"/>
      <name val="Arial"/>
      <family val="2"/>
    </font>
    <font>
      <sz val="10"/>
      <color indexed="8"/>
      <name val="Impact"/>
      <family val="2"/>
    </font>
    <font>
      <b/>
      <sz val="10"/>
      <name val="Arial"/>
      <family val="2"/>
    </font>
    <font>
      <i/>
      <sz val="10"/>
      <color indexed="10"/>
      <name val="Arial"/>
      <family val="2"/>
    </font>
    <font>
      <sz val="11"/>
      <name val="Tms Rmn"/>
      <family val="1"/>
    </font>
    <font>
      <sz val="10"/>
      <name val="돋움체"/>
      <family val="3"/>
      <charset val="129"/>
    </font>
    <font>
      <sz val="10"/>
      <name val="BERNHARD"/>
      <family val="2"/>
    </font>
    <font>
      <sz val="10"/>
      <color indexed="0"/>
      <name val="MS Sans Serif"/>
      <family val="2"/>
    </font>
    <font>
      <sz val="10"/>
      <color indexed="8"/>
      <name val="Times New Roman"/>
      <family val="1"/>
    </font>
    <font>
      <sz val="10"/>
      <name val="MS Serif"/>
      <family val="1"/>
    </font>
    <font>
      <sz val="10"/>
      <color indexed="8"/>
      <name val="Geneva"/>
      <family val="2"/>
    </font>
    <font>
      <sz val="16"/>
      <name val="굴림체"/>
      <family val="3"/>
      <charset val="129"/>
    </font>
    <font>
      <b/>
      <sz val="8"/>
      <name val="Arial"/>
      <family val="2"/>
    </font>
    <font>
      <u val="doubleAccounting"/>
      <sz val="10"/>
      <name val="Arial"/>
      <family val="2"/>
    </font>
    <font>
      <sz val="10"/>
      <name val="Courier New"/>
      <family val="3"/>
    </font>
    <font>
      <b/>
      <sz val="8"/>
      <name val="Arial Narrow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1"/>
      <color indexed="23"/>
      <name val="맑은 고딕"/>
      <family val="3"/>
      <charset val="129"/>
    </font>
    <font>
      <i/>
      <sz val="1"/>
      <color indexed="8"/>
      <name val="Courier"/>
      <family val="3"/>
    </font>
    <font>
      <u/>
      <sz val="7.5"/>
      <color indexed="36"/>
      <name val="Arial"/>
      <family val="2"/>
    </font>
    <font>
      <u/>
      <sz val="10"/>
      <color indexed="36"/>
      <name val="Arial"/>
      <family val="2"/>
    </font>
    <font>
      <u/>
      <sz val="10"/>
      <color indexed="14"/>
      <name val="MS Sans Serif"/>
      <family val="2"/>
    </font>
    <font>
      <sz val="7"/>
      <name val="Palatino"/>
      <family val="1"/>
    </font>
    <font>
      <sz val="10"/>
      <name val="Geneva"/>
      <family val="2"/>
    </font>
    <font>
      <b/>
      <sz val="12"/>
      <name val="Times New Roman"/>
      <family val="1"/>
    </font>
    <font>
      <sz val="9"/>
      <name val="Arial Narrow"/>
      <family val="2"/>
    </font>
    <font>
      <sz val="11"/>
      <color indexed="17"/>
      <name val="맑은 고딕"/>
      <family val="3"/>
      <charset val="129"/>
    </font>
    <font>
      <i/>
      <sz val="8"/>
      <color indexed="23"/>
      <name val="Arial"/>
      <family val="2"/>
    </font>
    <font>
      <sz val="8"/>
      <color indexed="23"/>
      <name val="Arial"/>
      <family val="2"/>
    </font>
    <font>
      <u/>
      <sz val="13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i/>
      <u/>
      <sz val="11"/>
      <name val="Arial"/>
      <family val="2"/>
    </font>
    <font>
      <u/>
      <sz val="11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i/>
      <u/>
      <sz val="9"/>
      <name val="Arial"/>
      <family val="2"/>
    </font>
    <font>
      <u/>
      <sz val="9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8"/>
      <name val="Helvetica-Black"/>
      <family val="2"/>
    </font>
    <font>
      <b/>
      <sz val="11"/>
      <color indexed="56"/>
      <name val="맑은 고딕"/>
      <family val="3"/>
      <charset val="129"/>
    </font>
    <font>
      <i/>
      <sz val="14"/>
      <name val="Palatino"/>
      <family val="1"/>
    </font>
    <font>
      <b/>
      <sz val="24"/>
      <color indexed="12"/>
      <name val="Monaco"/>
      <family val="1"/>
    </font>
    <font>
      <b/>
      <sz val="12"/>
      <name val="Tms Rmn"/>
      <family val="1"/>
    </font>
    <font>
      <b/>
      <sz val="14"/>
      <name val="Arial"/>
      <family val="2"/>
    </font>
    <font>
      <b/>
      <sz val="8"/>
      <name val="MS Sans Serif"/>
      <family val="2"/>
    </font>
    <font>
      <b/>
      <sz val="12"/>
      <color indexed="9"/>
      <name val="Geneva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2"/>
      <name val="Courier"/>
      <family val="3"/>
    </font>
    <font>
      <b/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b/>
      <i/>
      <sz val="7"/>
      <name val="Times New Roman"/>
      <family val="1"/>
    </font>
    <font>
      <sz val="12"/>
      <name val="Helv"/>
      <family val="2"/>
    </font>
    <font>
      <sz val="8"/>
      <color indexed="39"/>
      <name val="Arial"/>
      <family val="2"/>
    </font>
    <font>
      <sz val="10"/>
      <name val="ＭＳ ゴシック"/>
      <family val="3"/>
      <charset val="129"/>
    </font>
    <font>
      <sz val="10"/>
      <color indexed="14"/>
      <name val="Arial"/>
      <family val="2"/>
    </font>
    <font>
      <sz val="11"/>
      <color indexed="52"/>
      <name val="맑은 고딕"/>
      <family val="3"/>
      <charset val="129"/>
    </font>
    <font>
      <sz val="12"/>
      <color indexed="9"/>
      <name val="Helv"/>
      <family val="2"/>
    </font>
    <font>
      <b/>
      <sz val="11"/>
      <name val="Helv"/>
      <family val="2"/>
    </font>
    <font>
      <sz val="8"/>
      <name val="Helvetica"/>
      <family val="2"/>
    </font>
    <font>
      <sz val="8"/>
      <color indexed="12"/>
      <name val="Helvetica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sz val="6"/>
      <name val="Arial"/>
      <family val="2"/>
    </font>
    <font>
      <u/>
      <sz val="18"/>
      <name val="Times New Roman"/>
      <family val="1"/>
    </font>
    <font>
      <b/>
      <i/>
      <sz val="10"/>
      <name val="Arial"/>
      <family val="2"/>
    </font>
    <font>
      <b/>
      <sz val="11"/>
      <color indexed="63"/>
      <name val="맑은 고딕"/>
      <family val="3"/>
      <charset val="129"/>
    </font>
    <font>
      <sz val="11"/>
      <color indexed="8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0"/>
      <color indexed="9"/>
      <name val="Arial"/>
      <family val="2"/>
    </font>
    <font>
      <b/>
      <sz val="22"/>
      <color indexed="8"/>
      <name val="Times New Roman"/>
      <family val="1"/>
    </font>
    <font>
      <sz val="10"/>
      <color indexed="16"/>
      <name val="Helvetica-Black"/>
      <family val="2"/>
    </font>
    <font>
      <b/>
      <sz val="10"/>
      <color indexed="8"/>
      <name val="Times New Roman"/>
      <family val="1"/>
    </font>
    <font>
      <sz val="10"/>
      <name val="Frutiger 45 Light"/>
      <family val="2"/>
    </font>
    <font>
      <i/>
      <sz val="8"/>
      <name val="Arial"/>
      <family val="2"/>
    </font>
    <font>
      <sz val="11"/>
      <name val="굃굍 긕긘긞긏"/>
      <family val="3"/>
      <charset val="129"/>
    </font>
    <font>
      <sz val="10"/>
      <name val="돋움"/>
      <family val="3"/>
    </font>
    <font>
      <sz val="10"/>
      <color indexed="10"/>
      <name val="Arial"/>
      <family val="2"/>
    </font>
    <font>
      <b/>
      <sz val="8"/>
      <color indexed="18"/>
      <name val="Times New Roman"/>
      <family val="1"/>
    </font>
    <font>
      <sz val="10"/>
      <name val="Tms Rmn"/>
      <family val="1"/>
    </font>
    <font>
      <sz val="10"/>
      <color indexed="8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u val="singleAccounting"/>
      <sz val="10"/>
      <name val="Arial"/>
      <family val="2"/>
    </font>
    <font>
      <sz val="8"/>
      <name val="MS Sans Serif"/>
      <family val="2"/>
    </font>
    <font>
      <b/>
      <u/>
      <sz val="10"/>
      <name val="Arial"/>
      <family val="2"/>
    </font>
    <font>
      <b/>
      <sz val="8"/>
      <color indexed="8"/>
      <name val="Helv"/>
      <family val="2"/>
    </font>
    <font>
      <sz val="10"/>
      <name val="Univers"/>
      <family val="2"/>
    </font>
    <font>
      <sz val="11"/>
      <name val="Univers"/>
      <family val="2"/>
    </font>
    <font>
      <sz val="12"/>
      <name val="Univers"/>
      <family val="2"/>
    </font>
    <font>
      <sz val="8"/>
      <name val="Univers"/>
      <family val="2"/>
    </font>
    <font>
      <sz val="9"/>
      <name val="Univers"/>
      <family val="2"/>
    </font>
    <font>
      <b/>
      <sz val="10"/>
      <name val="Univers"/>
      <family val="2"/>
    </font>
    <font>
      <b/>
      <sz val="11"/>
      <name val="Univers"/>
      <family val="2"/>
    </font>
    <font>
      <b/>
      <sz val="12"/>
      <name val="Univers"/>
      <family val="2"/>
    </font>
    <font>
      <b/>
      <sz val="8"/>
      <name val="Univers"/>
      <family val="2"/>
    </font>
    <font>
      <b/>
      <sz val="9"/>
      <name val="Univers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7"/>
      <name val="Arial"/>
      <family val="2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b/>
      <sz val="9"/>
      <name val="Times New Roman"/>
      <family val="1"/>
    </font>
    <font>
      <b/>
      <u/>
      <sz val="13"/>
      <name val="굴림체"/>
      <family val="3"/>
      <charset val="129"/>
    </font>
    <font>
      <sz val="13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9"/>
      <name val="Arial"/>
      <family val="2"/>
    </font>
    <font>
      <sz val="11"/>
      <color indexed="12"/>
      <name val="Times New Roman"/>
      <family val="1"/>
    </font>
    <font>
      <sz val="11"/>
      <color indexed="10"/>
      <name val="맑은 고딕"/>
      <family val="3"/>
      <charset val="129"/>
    </font>
    <font>
      <sz val="8"/>
      <name val="DejaVu Sans"/>
      <family val="2"/>
    </font>
    <font>
      <u/>
      <sz val="11.6"/>
      <color indexed="36"/>
      <name val="Arial"/>
      <family val="2"/>
    </font>
    <font>
      <u/>
      <sz val="9"/>
      <color indexed="12"/>
      <name val="Arial"/>
      <family val="2"/>
    </font>
    <font>
      <sz val="10"/>
      <name val="掉葡羹"/>
      <family val="3"/>
      <charset val="129"/>
    </font>
    <font>
      <sz val="11"/>
      <name val="궁서"/>
      <family val="1"/>
      <charset val="129"/>
    </font>
    <font>
      <sz val="11"/>
      <color rgb="FFFF0000"/>
      <name val="맑은 고딕"/>
      <family val="3"/>
      <charset val="129"/>
      <scheme val="minor"/>
    </font>
    <font>
      <sz val="10"/>
      <color indexed="10"/>
      <name val="HY그래픽"/>
      <family val="1"/>
      <charset val="129"/>
    </font>
    <font>
      <b/>
      <sz val="11"/>
      <color rgb="FFFA7D00"/>
      <name val="맑은 고딕"/>
      <family val="3"/>
      <charset val="129"/>
      <scheme val="minor"/>
    </font>
    <font>
      <b/>
      <sz val="10"/>
      <color indexed="52"/>
      <name val="HY그래픽"/>
      <family val="1"/>
      <charset val="129"/>
    </font>
    <font>
      <sz val="11"/>
      <name val="바탕체"/>
      <family val="1"/>
      <charset val="129"/>
    </font>
    <font>
      <sz val="12"/>
      <color indexed="22"/>
      <name val="바탕체"/>
      <family val="1"/>
      <charset val="129"/>
    </font>
    <font>
      <b/>
      <sz val="18"/>
      <color indexed="22"/>
      <name val="바탕체"/>
      <family val="1"/>
      <charset val="129"/>
    </font>
    <font>
      <b/>
      <sz val="15"/>
      <color indexed="22"/>
      <name val="바탕체"/>
      <family val="1"/>
      <charset val="129"/>
    </font>
    <font>
      <sz val="10"/>
      <name val="PragmaticaCTT"/>
      <family val="1"/>
    </font>
    <font>
      <sz val="11"/>
      <name val="굴림"/>
      <family val="3"/>
      <charset val="129"/>
    </font>
    <font>
      <u/>
      <sz val="11"/>
      <color indexed="12"/>
      <name val="굃굍 굊긕긘긞긏"/>
      <family val="3"/>
      <charset val="129"/>
    </font>
    <font>
      <sz val="10"/>
      <name val="Century Gothic"/>
      <family val="2"/>
    </font>
    <font>
      <sz val="11"/>
      <color rgb="FF9C0006"/>
      <name val="맑은 고딕"/>
      <family val="3"/>
      <charset val="129"/>
      <scheme val="minor"/>
    </font>
    <font>
      <sz val="10"/>
      <color indexed="20"/>
      <name val="HY그래픽"/>
      <family val="1"/>
      <charset val="129"/>
    </font>
    <font>
      <sz val="11"/>
      <name val="HY헤드라인M"/>
      <family val="1"/>
      <charset val="129"/>
    </font>
    <font>
      <u/>
      <sz val="11"/>
      <color indexed="20"/>
      <name val="돋움"/>
      <family val="3"/>
      <charset val="129"/>
    </font>
    <font>
      <sz val="14"/>
      <name val="뼥?ⓒ"/>
      <family val="1"/>
      <charset val="129"/>
    </font>
    <font>
      <sz val="14"/>
      <name val="ＭＳ 明朝"/>
      <family val="3"/>
      <charset val="255"/>
    </font>
    <font>
      <sz val="10"/>
      <name val="굴림"/>
      <family val="3"/>
      <charset val="129"/>
    </font>
    <font>
      <sz val="10"/>
      <color theme="1"/>
      <name val="Times New Roman"/>
      <family val="1"/>
    </font>
    <font>
      <sz val="9"/>
      <color indexed="8"/>
      <name val="굴림"/>
      <family val="3"/>
      <charset val="129"/>
    </font>
    <font>
      <b/>
      <u/>
      <sz val="16"/>
      <name val="굴림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0"/>
      <color indexed="60"/>
      <name val="HY그래픽"/>
      <family val="1"/>
      <charset val="129"/>
    </font>
    <font>
      <sz val="12"/>
      <name val="뼻뮝"/>
      <family val="1"/>
      <charset val="129"/>
    </font>
    <font>
      <sz val="12"/>
      <name val="뼻뮝"/>
      <family val="3"/>
      <charset val="129"/>
    </font>
    <font>
      <sz val="12"/>
      <name val="宋?"/>
      <family val="3"/>
      <charset val="129"/>
    </font>
    <font>
      <sz val="12"/>
      <name val="宋体"/>
      <family val="3"/>
      <charset val="255"/>
    </font>
    <font>
      <sz val="12"/>
      <name val="夥鰻羹"/>
      <family val="1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0"/>
      <color indexed="23"/>
      <name val="HY그래픽"/>
      <family val="1"/>
      <charset val="129"/>
    </font>
    <font>
      <b/>
      <sz val="11"/>
      <color theme="0"/>
      <name val="맑은 고딕"/>
      <family val="3"/>
      <charset val="129"/>
      <scheme val="minor"/>
    </font>
    <font>
      <b/>
      <sz val="10"/>
      <color indexed="9"/>
      <name val="HY그래픽"/>
      <family val="1"/>
      <charset val="129"/>
    </font>
    <font>
      <sz val="14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새굴림"/>
      <family val="1"/>
      <charset val="129"/>
    </font>
    <font>
      <sz val="14"/>
      <name val="뼻뮝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0"/>
      <color indexed="52"/>
      <name val="HY그래픽"/>
      <family val="1"/>
      <charset val="129"/>
    </font>
    <font>
      <u/>
      <sz val="12"/>
      <color indexed="36"/>
      <name val="바탕체"/>
      <family val="1"/>
      <charset val="129"/>
    </font>
    <font>
      <sz val="11"/>
      <name val="蹈框"/>
      <family val="3"/>
      <charset val="129"/>
    </font>
    <font>
      <sz val="14"/>
      <color indexed="12"/>
      <name val="궁서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indexed="8"/>
      <name val="HY그래픽"/>
      <family val="1"/>
      <charset val="129"/>
    </font>
    <font>
      <sz val="10"/>
      <name val="궁서(English)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color indexed="62"/>
      <name val="HY그래픽"/>
      <family val="1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HY그래픽"/>
      <family val="1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HY그래픽"/>
      <family val="1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HY그래픽"/>
      <family val="1"/>
      <charset val="129"/>
    </font>
    <font>
      <b/>
      <sz val="18"/>
      <color indexed="56"/>
      <name val="맑은 고딕"/>
      <family val="3"/>
      <charset val="129"/>
    </font>
    <font>
      <sz val="16"/>
      <name val="옛체"/>
      <family val="1"/>
      <charset val="129"/>
    </font>
    <font>
      <b/>
      <sz val="14"/>
      <name val="굴림체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0"/>
      <color indexed="17"/>
      <name val="HY그래픽"/>
      <family val="1"/>
      <charset val="129"/>
    </font>
    <font>
      <sz val="12"/>
      <name val="新細明體"/>
      <family val="1"/>
    </font>
    <font>
      <b/>
      <sz val="11"/>
      <color rgb="FF3F3F3F"/>
      <name val="맑은 고딕"/>
      <family val="3"/>
      <charset val="129"/>
      <scheme val="minor"/>
    </font>
    <font>
      <b/>
      <sz val="10"/>
      <color indexed="63"/>
      <name val="HY그래픽"/>
      <family val="1"/>
      <charset val="129"/>
    </font>
    <font>
      <sz val="12"/>
      <name val="T"/>
      <family val="2"/>
    </font>
    <font>
      <sz val="14"/>
      <name val="AngsanaUPC"/>
      <family val="1"/>
    </font>
    <font>
      <b/>
      <sz val="14"/>
      <color indexed="8"/>
      <name val="굴림체"/>
      <family val="3"/>
      <charset val="129"/>
    </font>
    <font>
      <u/>
      <sz val="10"/>
      <color indexed="12"/>
      <name val="Courier"/>
      <family val="3"/>
    </font>
    <font>
      <sz val="11"/>
      <name val="바탕"/>
      <family val="1"/>
      <charset val="129"/>
    </font>
    <font>
      <b/>
      <sz val="12"/>
      <name val="굴림체"/>
      <family val="3"/>
      <charset val="129"/>
    </font>
    <font>
      <b/>
      <sz val="10"/>
      <color theme="0"/>
      <name val="Book Antiqua"/>
      <family val="1"/>
    </font>
    <font>
      <u/>
      <sz val="9"/>
      <color indexed="36"/>
      <name val="Arial"/>
      <family val="2"/>
    </font>
    <font>
      <sz val="10"/>
      <color theme="1"/>
      <name val="나눔고딕"/>
      <family val="2"/>
      <charset val="129"/>
    </font>
    <font>
      <sz val="10"/>
      <color theme="1"/>
      <name val="나눔고딕"/>
      <family val="3"/>
      <charset val="129"/>
    </font>
    <font>
      <sz val="10"/>
      <color theme="1"/>
      <name val="Book Antiqua"/>
      <family val="1"/>
    </font>
    <font>
      <sz val="8"/>
      <color theme="1"/>
      <name val="Times New Roman"/>
      <family val="1"/>
    </font>
    <font>
      <sz val="10"/>
      <color theme="1"/>
      <name val="HY그래픽"/>
      <family val="1"/>
      <charset val="129"/>
    </font>
    <font>
      <sz val="12"/>
      <name val="Osaka"/>
      <family val="3"/>
      <charset val="255"/>
    </font>
    <font>
      <sz val="11"/>
      <color indexed="56"/>
      <name val="Times New Roman"/>
      <family val="1"/>
    </font>
    <font>
      <u/>
      <sz val="6.6"/>
      <color theme="10"/>
      <name val="맑은 고딕"/>
      <family val="3"/>
      <charset val="129"/>
    </font>
    <font>
      <sz val="11"/>
      <color rgb="FF7EAFCD"/>
      <name val="맑은 고딕"/>
      <family val="3"/>
      <charset val="129"/>
      <scheme val="minor"/>
    </font>
    <font>
      <sz val="9"/>
      <color indexed="12"/>
      <name val="굴림"/>
      <family val="3"/>
      <charset val="129"/>
    </font>
    <font>
      <u/>
      <sz val="12.65"/>
      <color theme="10"/>
      <name val="돋움"/>
      <family val="3"/>
      <charset val="129"/>
    </font>
    <font>
      <sz val="11"/>
      <name val="ＭＳ Ｐゴシック"/>
      <family val="2"/>
      <charset val="129"/>
    </font>
    <font>
      <sz val="12"/>
      <color indexed="8"/>
      <name val="돋움"/>
      <family val="3"/>
      <charset val="129"/>
    </font>
    <font>
      <sz val="16"/>
      <name val="바탕체"/>
      <family val="1"/>
      <charset val="129"/>
    </font>
    <font>
      <sz val="11"/>
      <name val="돋움"/>
      <family val="3"/>
      <charset val="136"/>
    </font>
    <font>
      <sz val="10"/>
      <color theme="1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color rgb="FFC0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color rgb="FFC00000"/>
      <name val="맑은 고딕"/>
      <family val="3"/>
      <charset val="129"/>
      <scheme val="major"/>
    </font>
    <font>
      <b/>
      <sz val="9"/>
      <color theme="0" tint="-4.9989318521683403E-2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  <scheme val="major"/>
    </font>
    <font>
      <sz val="9"/>
      <color theme="1" tint="0.1499984740745262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rgb="FFC00000"/>
      <name val="맑은 고딕"/>
      <family val="3"/>
      <charset val="129"/>
      <scheme val="major"/>
    </font>
    <font>
      <sz val="9"/>
      <color rgb="FF000000"/>
      <name val="함초롬돋움"/>
      <family val="1"/>
      <charset val="129"/>
    </font>
    <font>
      <sz val="9"/>
      <color theme="1"/>
      <name val="맑은 고딕"/>
      <family val="3"/>
      <charset val="129"/>
      <scheme val="minor"/>
    </font>
  </fonts>
  <fills count="1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23055"/>
        <bgColor indexed="64"/>
      </patternFill>
    </fill>
    <fill>
      <patternFill patternType="solid">
        <fgColor rgb="FFF0F2F4"/>
        <bgColor indexed="64"/>
      </patternFill>
    </fill>
    <fill>
      <patternFill patternType="solid">
        <fgColor rgb="FF00295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153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lightGray"/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13"/>
      </patternFill>
    </fill>
    <fill>
      <patternFill patternType="solid">
        <fgColor indexed="43"/>
        <bgColor indexed="64"/>
      </patternFill>
    </fill>
    <fill>
      <patternFill patternType="lightGray">
        <fgColor indexed="15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0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31"/>
        <bgColor indexed="64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3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49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1530"/>
      </left>
      <right/>
      <top style="medium">
        <color rgb="FF001530"/>
      </top>
      <bottom/>
      <diagonal/>
    </border>
    <border>
      <left/>
      <right/>
      <top style="medium">
        <color rgb="FF00153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 style="medium">
        <color rgb="FF001530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thin">
        <color theme="0" tint="-0.249977111117893"/>
      </left>
      <right style="medium">
        <color rgb="FF001530"/>
      </right>
      <top style="thin">
        <color theme="0" tint="-0.249977111117893"/>
      </top>
      <bottom style="medium">
        <color rgb="FF001530"/>
      </bottom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rgb="FF223055"/>
      </right>
      <top/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rgb="FF223055"/>
      </right>
      <top style="thin">
        <color theme="0" tint="-0.14999847407452621"/>
      </top>
      <bottom/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 style="medium">
        <color rgb="FF223055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223055"/>
      </top>
      <bottom style="medium">
        <color rgb="FF223055"/>
      </bottom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 style="medium">
        <color rgb="FF223055"/>
      </bottom>
      <diagonal/>
    </border>
    <border>
      <left style="medium">
        <color rgb="FF223055"/>
      </left>
      <right/>
      <top style="medium">
        <color rgb="FF223055"/>
      </top>
      <bottom/>
      <diagonal/>
    </border>
    <border>
      <left/>
      <right/>
      <top style="medium">
        <color rgb="FF223055"/>
      </top>
      <bottom/>
      <diagonal/>
    </border>
    <border>
      <left/>
      <right style="medium">
        <color rgb="FF223055"/>
      </right>
      <top style="medium">
        <color rgb="FF223055"/>
      </top>
      <bottom/>
      <diagonal/>
    </border>
    <border>
      <left style="medium">
        <color rgb="FF223055"/>
      </left>
      <right/>
      <top/>
      <bottom/>
      <diagonal/>
    </border>
    <border>
      <left/>
      <right style="medium">
        <color rgb="FF223055"/>
      </right>
      <top/>
      <bottom/>
      <diagonal/>
    </border>
    <border>
      <left style="medium">
        <color rgb="FF223055"/>
      </left>
      <right/>
      <top/>
      <bottom style="medium">
        <color rgb="FF223055"/>
      </bottom>
      <diagonal/>
    </border>
    <border>
      <left/>
      <right/>
      <top/>
      <bottom style="medium">
        <color rgb="FF223055"/>
      </bottom>
      <diagonal/>
    </border>
    <border>
      <left/>
      <right style="medium">
        <color rgb="FF223055"/>
      </right>
      <top/>
      <bottom style="medium">
        <color rgb="FF223055"/>
      </bottom>
      <diagonal/>
    </border>
    <border>
      <left style="medium">
        <color rgb="FF223055"/>
      </left>
      <right style="thin">
        <color theme="0" tint="-4.9989318521683403E-2"/>
      </right>
      <top style="medium">
        <color rgb="FF223055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rgb="FF223055"/>
      </top>
      <bottom style="thin">
        <color theme="0" tint="-4.9989318521683403E-2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 style="medium">
        <color rgb="FF22305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rgb="FF223055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/>
      <diagonal/>
    </border>
    <border>
      <left style="medium">
        <color rgb="FF223055"/>
      </left>
      <right style="medium">
        <color rgb="FF223055"/>
      </right>
      <top/>
      <bottom/>
      <diagonal/>
    </border>
    <border>
      <left style="medium">
        <color rgb="FF223055"/>
      </left>
      <right style="medium">
        <color rgb="FF223055"/>
      </right>
      <top/>
      <bottom style="medium">
        <color rgb="FF223055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223055"/>
      </top>
      <bottom style="medium">
        <color indexed="64"/>
      </bottom>
      <diagonal/>
    </border>
    <border>
      <left/>
      <right/>
      <top style="medium">
        <color rgb="FF223055"/>
      </top>
      <bottom style="medium">
        <color indexed="64"/>
      </bottom>
      <diagonal/>
    </border>
    <border>
      <left/>
      <right style="medium">
        <color indexed="64"/>
      </right>
      <top style="medium">
        <color rgb="FF2230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223055"/>
      </left>
      <right/>
      <top style="medium">
        <color rgb="FF223055"/>
      </top>
      <bottom style="medium">
        <color rgb="FF223055"/>
      </bottom>
      <diagonal/>
    </border>
    <border>
      <left/>
      <right/>
      <top style="medium">
        <color rgb="FF223055"/>
      </top>
      <bottom style="medium">
        <color rgb="FF223055"/>
      </bottom>
      <diagonal/>
    </border>
    <border>
      <left/>
      <right style="medium">
        <color rgb="FF223055"/>
      </right>
      <top style="medium">
        <color rgb="FF223055"/>
      </top>
      <bottom style="medium">
        <color rgb="FF2230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223055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0" tint="-0.14999847407452621"/>
      </left>
      <right/>
      <top style="medium">
        <color rgb="FF223055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rgb="FF223055"/>
      </top>
      <bottom style="thin">
        <color theme="0" tint="-0.14999847407452621"/>
      </bottom>
      <diagonal/>
    </border>
    <border>
      <left/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4.9989318521683403E-2"/>
      </left>
      <right style="medium">
        <color rgb="FF223055"/>
      </right>
      <top style="medium">
        <color rgb="FF223055"/>
      </top>
      <bottom style="thin">
        <color theme="0" tint="-4.9989318521683403E-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223055"/>
      </bottom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 style="medium">
        <color rgb="FF223055"/>
      </bottom>
      <diagonal/>
    </border>
    <border>
      <left style="medium">
        <color rgb="FF223055"/>
      </left>
      <right style="thin">
        <color theme="0" tint="-0.14999847407452621"/>
      </right>
      <top style="medium">
        <color rgb="FF223055"/>
      </top>
      <bottom/>
      <diagonal/>
    </border>
    <border>
      <left style="thin">
        <color theme="0" tint="-0.14999847407452621"/>
      </left>
      <right style="medium">
        <color rgb="FF223055"/>
      </right>
      <top style="medium">
        <color rgb="FF223055"/>
      </top>
      <bottom/>
      <diagonal/>
    </border>
    <border>
      <left/>
      <right/>
      <top style="thin">
        <color rgb="FF223055"/>
      </top>
      <bottom style="medium">
        <color rgb="FF223055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rgb="FF22305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auto="1"/>
      </left>
      <right/>
      <top style="thin">
        <color theme="0" tint="-0.14999847407452621"/>
      </top>
      <bottom style="medium">
        <color rgb="FF223055"/>
      </bottom>
      <diagonal/>
    </border>
    <border>
      <left/>
      <right/>
      <top style="thin">
        <color theme="0" tint="-0.14999847407452621"/>
      </top>
      <bottom style="medium">
        <color rgb="FF223055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1530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 style="double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double">
        <color theme="4"/>
      </bottom>
      <diagonal/>
    </border>
    <border>
      <left style="medium">
        <color theme="4"/>
      </left>
      <right/>
      <top style="double">
        <color theme="4"/>
      </top>
      <bottom style="hair">
        <color theme="4"/>
      </bottom>
      <diagonal/>
    </border>
    <border>
      <left style="medium">
        <color theme="4"/>
      </left>
      <right/>
      <top style="hair">
        <color theme="4"/>
      </top>
      <bottom style="hair">
        <color theme="4"/>
      </bottom>
      <diagonal/>
    </border>
    <border>
      <left style="medium">
        <color theme="4"/>
      </left>
      <right/>
      <top style="hair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double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medium">
        <color rgb="FF223055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theme="1"/>
      </top>
      <bottom style="thin">
        <color theme="0" tint="-4.9989318521683403E-2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theme="4"/>
      </top>
      <bottom/>
      <diagonal/>
    </border>
    <border>
      <left/>
      <right style="thin">
        <color theme="4"/>
      </right>
      <top style="double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double">
        <color theme="4"/>
      </bottom>
      <diagonal/>
    </border>
    <border>
      <left style="thin">
        <color theme="4"/>
      </left>
      <right/>
      <top style="hair">
        <color theme="4"/>
      </top>
      <bottom style="double">
        <color theme="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hair">
        <color theme="4"/>
      </top>
      <bottom/>
      <diagonal/>
    </border>
    <border>
      <left style="thin">
        <color theme="4"/>
      </left>
      <right/>
      <top style="hair">
        <color theme="4"/>
      </top>
      <bottom/>
      <diagonal/>
    </border>
    <border>
      <left style="medium">
        <color theme="4"/>
      </left>
      <right/>
      <top style="hair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medium">
        <color indexed="64"/>
      </left>
      <right style="medium">
        <color indexed="12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/>
      <right/>
      <top/>
      <bottom style="double">
        <color indexed="52"/>
      </bottom>
      <diagonal/>
    </border>
    <border>
      <left style="dotted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medium">
        <color auto="1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1530"/>
      </top>
      <bottom/>
      <diagonal/>
    </border>
    <border>
      <left/>
      <right/>
      <top/>
      <bottom style="thin">
        <color rgb="FF001530"/>
      </bottom>
      <diagonal/>
    </border>
    <border>
      <left style="thin">
        <color theme="4"/>
      </left>
      <right style="thin">
        <color theme="4"/>
      </right>
      <top style="hair">
        <color theme="4"/>
      </top>
      <bottom/>
      <diagonal/>
    </border>
    <border>
      <left style="thin">
        <color theme="0" tint="-4.9989318521683403E-2"/>
      </left>
      <right style="medium">
        <color rgb="FF223055"/>
      </right>
      <top style="medium">
        <color theme="1"/>
      </top>
      <bottom style="thin">
        <color theme="0" tint="-4.9989318521683403E-2"/>
      </bottom>
      <diagonal/>
    </border>
    <border>
      <left/>
      <right/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/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001530"/>
      </left>
      <right style="thin">
        <color theme="0" tint="-0.14996795556505021"/>
      </right>
      <top style="medium">
        <color rgb="FF00153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153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1530"/>
      </right>
      <top style="medium">
        <color rgb="FF001530"/>
      </top>
      <bottom style="thin">
        <color theme="0" tint="-0.14996795556505021"/>
      </bottom>
      <diagonal/>
    </border>
    <border>
      <left style="medium">
        <color rgb="FF00153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153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1530"/>
      </left>
      <right style="thin">
        <color theme="0" tint="-0.14996795556505021"/>
      </right>
      <top style="thin">
        <color theme="0" tint="-0.14996795556505021"/>
      </top>
      <bottom style="medium">
        <color rgb="FF00153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1530"/>
      </bottom>
      <diagonal/>
    </border>
    <border>
      <left style="thin">
        <color theme="0" tint="-0.14996795556505021"/>
      </left>
      <right style="medium">
        <color rgb="FF001530"/>
      </right>
      <top style="thin">
        <color theme="0" tint="-0.14996795556505021"/>
      </top>
      <bottom style="medium">
        <color rgb="FF001530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223055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223055"/>
      </left>
      <right/>
      <top style="thin">
        <color theme="0" tint="-0.14999847407452621"/>
      </top>
      <bottom style="thin">
        <color theme="0" tint="-0.14996795556505021"/>
      </bottom>
      <diagonal/>
    </border>
    <border>
      <left style="medium">
        <color rgb="FF223055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rgb="FF001530"/>
      </left>
      <right/>
      <top style="medium">
        <color rgb="FF001530"/>
      </top>
      <bottom style="thin">
        <color theme="0" tint="-0.249977111117893"/>
      </bottom>
      <diagonal/>
    </border>
    <border>
      <left style="medium">
        <color rgb="FF001530"/>
      </left>
      <right/>
      <top/>
      <bottom style="thin">
        <color theme="0" tint="-0.249977111117893"/>
      </bottom>
      <diagonal/>
    </border>
    <border>
      <left style="medium">
        <color rgb="FF00153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001530"/>
      </left>
      <right/>
      <top style="thin">
        <color theme="0" tint="-0.249977111117893"/>
      </top>
      <bottom style="medium">
        <color rgb="FF001530"/>
      </bottom>
      <diagonal/>
    </border>
    <border>
      <left style="thin">
        <color theme="0" tint="-0.14996795556505021"/>
      </left>
      <right style="thin">
        <color theme="0" tint="-0.249977111117893"/>
      </right>
      <top style="medium">
        <color rgb="FF001530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249977111117893"/>
      </right>
      <top/>
      <bottom/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theme="0" tint="-0.249977111117893"/>
      </top>
      <bottom style="medium">
        <color rgb="FF001530"/>
      </bottom>
      <diagonal/>
    </border>
    <border>
      <left style="medium">
        <color rgb="FF223055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rgb="FF223055"/>
      </left>
      <right/>
      <top style="medium">
        <color rgb="FF223055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6795556505021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37437055574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medium">
        <color rgb="FF223055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double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rgb="FF223055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 style="medium">
        <color rgb="FF223055"/>
      </right>
      <top style="thin">
        <color theme="0" tint="-0.14996795556505021"/>
      </top>
      <bottom style="double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rgb="FF223055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medium">
        <color rgb="FF223055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rgb="FF223055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 style="medium">
        <color rgb="FF001530"/>
      </right>
      <top style="medium">
        <color rgb="FF001530"/>
      </top>
      <bottom/>
      <diagonal/>
    </border>
    <border>
      <left style="medium">
        <color rgb="FF001530"/>
      </left>
      <right/>
      <top/>
      <bottom/>
      <diagonal/>
    </border>
    <border>
      <left/>
      <right style="medium">
        <color rgb="FF001530"/>
      </right>
      <top/>
      <bottom/>
      <diagonal/>
    </border>
    <border>
      <left style="medium">
        <color rgb="FF001530"/>
      </left>
      <right/>
      <top/>
      <bottom style="thin">
        <color auto="1"/>
      </bottom>
      <diagonal/>
    </border>
    <border>
      <left/>
      <right style="medium">
        <color rgb="FF001530"/>
      </right>
      <top/>
      <bottom style="thin">
        <color auto="1"/>
      </bottom>
      <diagonal/>
    </border>
    <border>
      <left style="medium">
        <color rgb="FF001530"/>
      </left>
      <right/>
      <top style="thin">
        <color auto="1"/>
      </top>
      <bottom/>
      <diagonal/>
    </border>
    <border>
      <left/>
      <right style="medium">
        <color rgb="FF001530"/>
      </right>
      <top style="thin">
        <color auto="1"/>
      </top>
      <bottom/>
      <diagonal/>
    </border>
    <border>
      <left style="medium">
        <color rgb="FF001530"/>
      </left>
      <right/>
      <top style="thin">
        <color rgb="FF001530"/>
      </top>
      <bottom/>
      <diagonal/>
    </border>
    <border>
      <left/>
      <right style="medium">
        <color rgb="FF001530"/>
      </right>
      <top style="thin">
        <color rgb="FF001530"/>
      </top>
      <bottom/>
      <diagonal/>
    </border>
    <border>
      <left style="medium">
        <color rgb="FF001530"/>
      </left>
      <right/>
      <top/>
      <bottom style="thin">
        <color rgb="FF001530"/>
      </bottom>
      <diagonal/>
    </border>
    <border>
      <left/>
      <right style="medium">
        <color rgb="FF001530"/>
      </right>
      <top/>
      <bottom style="thin">
        <color rgb="FF001530"/>
      </bottom>
      <diagonal/>
    </border>
    <border>
      <left style="medium">
        <color rgb="FF001530"/>
      </left>
      <right/>
      <top/>
      <bottom style="medium">
        <color rgb="FF001530"/>
      </bottom>
      <diagonal/>
    </border>
    <border>
      <left/>
      <right/>
      <top/>
      <bottom style="medium">
        <color rgb="FF001530"/>
      </bottom>
      <diagonal/>
    </border>
    <border>
      <left/>
      <right style="medium">
        <color rgb="FF001530"/>
      </right>
      <top/>
      <bottom style="medium">
        <color rgb="FF001530"/>
      </bottom>
      <diagonal/>
    </border>
    <border>
      <left style="medium">
        <color rgb="FF223055"/>
      </left>
      <right/>
      <top style="thin">
        <color auto="1"/>
      </top>
      <bottom/>
      <diagonal/>
    </border>
    <border>
      <left/>
      <right style="medium">
        <color rgb="FF223055"/>
      </right>
      <top style="thin">
        <color auto="1"/>
      </top>
      <bottom/>
      <diagonal/>
    </border>
    <border>
      <left style="medium">
        <color rgb="FF223055"/>
      </left>
      <right/>
      <top style="medium">
        <color rgb="FF223055"/>
      </top>
      <bottom style="hair">
        <color auto="1"/>
      </bottom>
      <diagonal/>
    </border>
    <border>
      <left/>
      <right/>
      <top style="medium">
        <color rgb="FF223055"/>
      </top>
      <bottom style="hair">
        <color auto="1"/>
      </bottom>
      <diagonal/>
    </border>
    <border>
      <left/>
      <right style="medium">
        <color rgb="FF223055"/>
      </right>
      <top style="medium">
        <color rgb="FF223055"/>
      </top>
      <bottom style="hair">
        <color auto="1"/>
      </bottom>
      <diagonal/>
    </border>
    <border>
      <left style="medium">
        <color rgb="FF223055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rgb="FF223055"/>
      </right>
      <top style="hair">
        <color auto="1"/>
      </top>
      <bottom style="hair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906918546098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8764000366222"/>
      </left>
      <right style="thin">
        <color theme="0" tint="-0.1498764000366222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99847407452621"/>
      </top>
      <bottom style="medium">
        <color rgb="FF223055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rgb="FF001530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rgb="FF223055"/>
      </left>
      <right/>
      <top style="thin">
        <color rgb="FF223055"/>
      </top>
      <bottom style="hair">
        <color auto="1"/>
      </bottom>
      <diagonal/>
    </border>
    <border>
      <left/>
      <right/>
      <top style="thin">
        <color rgb="FF223055"/>
      </top>
      <bottom style="hair">
        <color auto="1"/>
      </bottom>
      <diagonal/>
    </border>
    <border>
      <left/>
      <right style="medium">
        <color rgb="FF223055"/>
      </right>
      <top style="thin">
        <color rgb="FF223055"/>
      </top>
      <bottom style="hair">
        <color auto="1"/>
      </bottom>
      <diagonal/>
    </border>
    <border>
      <left style="medium">
        <color rgb="FF223055"/>
      </left>
      <right/>
      <top style="thin">
        <color rgb="FF223055"/>
      </top>
      <bottom style="thin">
        <color rgb="FF223055"/>
      </bottom>
      <diagonal/>
    </border>
    <border>
      <left/>
      <right/>
      <top style="thin">
        <color rgb="FF223055"/>
      </top>
      <bottom style="thin">
        <color rgb="FF223055"/>
      </bottom>
      <diagonal/>
    </border>
    <border>
      <left/>
      <right style="medium">
        <color rgb="FF223055"/>
      </right>
      <top style="thin">
        <color rgb="FF223055"/>
      </top>
      <bottom style="thin">
        <color rgb="FF223055"/>
      </bottom>
      <diagonal/>
    </border>
    <border>
      <left style="medium">
        <color rgb="FF223055"/>
      </left>
      <right/>
      <top/>
      <bottom style="hair">
        <color auto="1"/>
      </bottom>
      <diagonal/>
    </border>
    <border>
      <left/>
      <right style="medium">
        <color rgb="FF223055"/>
      </right>
      <top/>
      <bottom style="hair">
        <color auto="1"/>
      </bottom>
      <diagonal/>
    </border>
    <border>
      <left style="medium">
        <color rgb="FF223055"/>
      </left>
      <right/>
      <top style="thin">
        <color rgb="FF223055"/>
      </top>
      <bottom/>
      <diagonal/>
    </border>
    <border>
      <left/>
      <right/>
      <top style="thin">
        <color rgb="FF223055"/>
      </top>
      <bottom/>
      <diagonal/>
    </border>
    <border>
      <left/>
      <right style="medium">
        <color rgb="FF223055"/>
      </right>
      <top style="thin">
        <color rgb="FF223055"/>
      </top>
      <bottom/>
      <diagonal/>
    </border>
    <border>
      <left style="thin">
        <color theme="0" tint="-0.14990691854609822"/>
      </left>
      <right/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069185460982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0691854609822"/>
      </left>
      <right/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 style="thin">
        <color theme="0" tint="-0.1498764000366222"/>
      </right>
      <top style="medium">
        <color rgb="FF223055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8764000366222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223055"/>
      </left>
      <right style="thin">
        <color theme="0" tint="-0.1498764000366222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rgb="FF223055"/>
      </left>
      <right/>
      <top style="hair">
        <color rgb="FF223055"/>
      </top>
      <bottom style="medium">
        <color rgb="FF223055"/>
      </bottom>
      <diagonal/>
    </border>
    <border>
      <left/>
      <right/>
      <top style="hair">
        <color rgb="FF223055"/>
      </top>
      <bottom style="medium">
        <color rgb="FF223055"/>
      </bottom>
      <diagonal/>
    </border>
    <border>
      <left/>
      <right style="medium">
        <color rgb="FF223055"/>
      </right>
      <top style="hair">
        <color rgb="FF223055"/>
      </top>
      <bottom style="medium">
        <color rgb="FF223055"/>
      </bottom>
      <diagonal/>
    </border>
    <border>
      <left style="thin">
        <color rgb="FF000000"/>
      </left>
      <right style="thin">
        <color theme="0" tint="-0.24994659260841701"/>
      </right>
      <top style="thin">
        <color rgb="FF0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00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000000"/>
      </right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 style="thin">
        <color rgb="FF000000"/>
      </right>
      <top style="thin">
        <color theme="0" tint="-0.24994659260841701"/>
      </top>
      <bottom style="thin">
        <color rgb="FF000000"/>
      </bottom>
      <diagonal/>
    </border>
    <border>
      <left style="medium">
        <color rgb="FF223055"/>
      </left>
      <right/>
      <top style="hair">
        <color auto="1"/>
      </top>
      <bottom style="hair">
        <color rgb="FF223055"/>
      </bottom>
      <diagonal/>
    </border>
    <border>
      <left/>
      <right/>
      <top style="hair">
        <color auto="1"/>
      </top>
      <bottom style="hair">
        <color rgb="FF223055"/>
      </bottom>
      <diagonal/>
    </border>
    <border>
      <left/>
      <right style="medium">
        <color rgb="FF223055"/>
      </right>
      <top style="hair">
        <color auto="1"/>
      </top>
      <bottom style="hair">
        <color rgb="FF223055"/>
      </bottom>
      <diagonal/>
    </border>
    <border>
      <left style="medium">
        <color rgb="FF223055"/>
      </left>
      <right/>
      <top style="hair">
        <color rgb="FF223055"/>
      </top>
      <bottom style="hair">
        <color rgb="FF223055"/>
      </bottom>
      <diagonal/>
    </border>
    <border>
      <left/>
      <right/>
      <top style="hair">
        <color rgb="FF223055"/>
      </top>
      <bottom style="hair">
        <color rgb="FF223055"/>
      </bottom>
      <diagonal/>
    </border>
    <border>
      <left/>
      <right style="medium">
        <color rgb="FF223055"/>
      </right>
      <top style="hair">
        <color rgb="FF223055"/>
      </top>
      <bottom style="hair">
        <color rgb="FF223055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/>
      <right style="medium">
        <color auto="1"/>
      </right>
      <top style="medium">
        <color rgb="FF223055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medium">
        <color auto="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249977111117893"/>
      </left>
      <right/>
      <top style="medium">
        <color rgb="FF001530"/>
      </top>
      <bottom style="thin">
        <color theme="0" tint="-0.249977111117893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4"/>
      </left>
      <right/>
      <top style="thin">
        <color theme="4"/>
      </top>
      <bottom style="hair">
        <color theme="4"/>
      </bottom>
      <diagonal/>
    </border>
    <border>
      <left style="medium">
        <color rgb="FF223055"/>
      </left>
      <right/>
      <top style="hair">
        <color rgb="FF223055"/>
      </top>
      <bottom/>
      <diagonal/>
    </border>
    <border>
      <left/>
      <right/>
      <top style="hair">
        <color rgb="FF223055"/>
      </top>
      <bottom/>
      <diagonal/>
    </border>
    <border>
      <left/>
      <right style="medium">
        <color rgb="FF223055"/>
      </right>
      <top style="hair">
        <color rgb="FF223055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223055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 style="medium">
        <color rgb="FF223055"/>
      </top>
      <bottom style="thin">
        <color theme="0" tint="-0.14996795556505021"/>
      </bottom>
      <diagonal/>
    </border>
    <border>
      <left style="medium">
        <color rgb="FF223055"/>
      </left>
      <right/>
      <top style="medium">
        <color rgb="FF223055"/>
      </top>
      <bottom style="thin">
        <color theme="0" tint="-0.149998474074526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00000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rgb="FFD9E2F3"/>
      </left>
      <right style="thin">
        <color rgb="FFD9E2F3"/>
      </right>
      <top style="thin">
        <color rgb="FFD9E2F3"/>
      </top>
      <bottom style="thin">
        <color rgb="FFD9E2F3"/>
      </bottom>
      <diagonal/>
    </border>
    <border>
      <left style="thin">
        <color rgb="FF223055"/>
      </left>
      <right/>
      <top style="thin">
        <color rgb="FF223055"/>
      </top>
      <bottom/>
      <diagonal/>
    </border>
    <border>
      <left/>
      <right style="thin">
        <color rgb="FF223055"/>
      </right>
      <top style="thin">
        <color rgb="FF223055"/>
      </top>
      <bottom/>
      <diagonal/>
    </border>
    <border>
      <left style="thin">
        <color rgb="FF223055"/>
      </left>
      <right/>
      <top/>
      <bottom/>
      <diagonal/>
    </border>
    <border>
      <left/>
      <right style="thin">
        <color rgb="FF223055"/>
      </right>
      <top/>
      <bottom/>
      <diagonal/>
    </border>
    <border>
      <left style="thin">
        <color rgb="FF223055"/>
      </left>
      <right/>
      <top style="double">
        <color rgb="FF223055"/>
      </top>
      <bottom style="thin">
        <color rgb="FF223055"/>
      </bottom>
      <diagonal/>
    </border>
    <border>
      <left/>
      <right style="thin">
        <color rgb="FF223055"/>
      </right>
      <top style="double">
        <color rgb="FF223055"/>
      </top>
      <bottom style="thin">
        <color rgb="FF223055"/>
      </bottom>
      <diagonal/>
    </border>
    <border>
      <left/>
      <right/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3743705557422"/>
      </left>
      <right style="medium">
        <color rgb="FF223055"/>
      </right>
      <top style="thin">
        <color theme="0" tint="-0.14996795556505021"/>
      </top>
      <bottom style="medium">
        <color rgb="FF223055"/>
      </bottom>
      <diagonal/>
    </border>
    <border>
      <left style="thin">
        <color theme="0" tint="-0.14993743705557422"/>
      </left>
      <right style="medium">
        <color rgb="FF22305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medium">
        <color rgb="FF223055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9847407452621"/>
      </top>
      <bottom style="medium">
        <color rgb="FF223055"/>
      </bottom>
      <diagonal/>
    </border>
    <border>
      <left style="medium">
        <color rgb="FF223055"/>
      </left>
      <right/>
      <top style="thin">
        <color theme="0" tint="-0.14996795556505021"/>
      </top>
      <bottom style="medium">
        <color rgb="FF223055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/>
      </left>
      <right style="thin">
        <color theme="0" tint="-0.14996795556505021"/>
      </right>
      <top style="thin">
        <color theme="0" tint="-0.14996795556505021"/>
      </top>
      <bottom style="medium">
        <color rgb="FF223055"/>
      </bottom>
      <diagonal/>
    </border>
    <border>
      <left style="thin">
        <color rgb="FF000000"/>
      </left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rgb="FF000000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  <border>
      <left style="medium">
        <color rgb="FF223055"/>
      </left>
      <right style="thin">
        <color theme="0" tint="-0.14996795556505021"/>
      </right>
      <top style="double">
        <color rgb="FF223055"/>
      </top>
      <bottom style="medium">
        <color rgb="FF223055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rgb="FF223055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double">
        <color rgb="FF223055"/>
      </top>
      <bottom style="medium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6795556505021"/>
      </right>
      <top style="double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double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double">
        <color rgb="FF223055"/>
      </top>
      <bottom style="medium">
        <color indexed="64"/>
      </bottom>
      <diagonal/>
    </border>
    <border>
      <left style="medium">
        <color indexed="64"/>
      </left>
      <right/>
      <top style="double">
        <color rgb="FF223055"/>
      </top>
      <bottom style="medium">
        <color indexed="64"/>
      </bottom>
      <diagonal/>
    </border>
    <border>
      <left/>
      <right style="medium">
        <color indexed="64"/>
      </right>
      <top style="double">
        <color rgb="FF223055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double">
        <color rgb="FF223055"/>
      </bottom>
      <diagonal/>
    </border>
    <border>
      <left style="thin">
        <color theme="0" tint="-0.14996795556505021"/>
      </left>
      <right style="medium">
        <color rgb="FF223055"/>
      </right>
      <top style="thin">
        <color theme="0" tint="-0.14996795556505021"/>
      </top>
      <bottom style="double">
        <color rgb="FF223055"/>
      </bottom>
      <diagonal/>
    </border>
    <border>
      <left style="medium">
        <color rgb="FF223055"/>
      </left>
      <right style="thin">
        <color theme="0" tint="-0.14996795556505021"/>
      </right>
      <top style="thin">
        <color theme="0" tint="-0.14996795556505021"/>
      </top>
      <bottom style="double">
        <color rgb="FF223055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rgb="FF223055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medium">
        <color rgb="FF223055"/>
      </right>
      <top style="medium">
        <color rgb="FF223055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9847407452621"/>
      </top>
      <bottom style="medium">
        <color rgb="FF223055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medium">
        <color rgb="FF223055"/>
      </right>
      <top style="thin">
        <color rgb="FFD9D9D9"/>
      </top>
      <bottom/>
      <diagonal/>
    </border>
  </borders>
  <cellStyleXfs count="10070">
    <xf numFmtId="0" fontId="0" fillId="0" borderId="0"/>
    <xf numFmtId="4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>
      <alignment vertical="center"/>
    </xf>
    <xf numFmtId="0" fontId="11" fillId="0" borderId="0">
      <alignment vertical="center"/>
    </xf>
    <xf numFmtId="0" fontId="26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3" fillId="0" borderId="0"/>
    <xf numFmtId="0" fontId="34" fillId="0" borderId="0"/>
    <xf numFmtId="0" fontId="33" fillId="0" borderId="0"/>
    <xf numFmtId="9" fontId="4" fillId="0" borderId="0" applyFont="0" applyFill="0" applyBorder="0" applyAlignment="0" applyProtection="0">
      <alignment vertical="center"/>
    </xf>
    <xf numFmtId="0" fontId="33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/>
    <xf numFmtId="41" fontId="26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33" fillId="0" borderId="0"/>
    <xf numFmtId="41" fontId="4" fillId="0" borderId="0" applyFont="0" applyFill="0" applyBorder="0" applyAlignment="0" applyProtection="0">
      <alignment vertical="center"/>
    </xf>
    <xf numFmtId="0" fontId="26" fillId="0" borderId="0"/>
    <xf numFmtId="41" fontId="26" fillId="0" borderId="0" applyFont="0" applyFill="0" applyBorder="0" applyAlignment="0" applyProtection="0"/>
    <xf numFmtId="0" fontId="35" fillId="0" borderId="0">
      <alignment vertical="center"/>
    </xf>
    <xf numFmtId="0" fontId="9" fillId="0" borderId="0"/>
    <xf numFmtId="4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26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0" fontId="41" fillId="0" borderId="0"/>
    <xf numFmtId="0" fontId="26" fillId="0" borderId="0"/>
    <xf numFmtId="0" fontId="4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/>
    <xf numFmtId="0" fontId="33" fillId="0" borderId="0"/>
    <xf numFmtId="0" fontId="33" fillId="0" borderId="0"/>
    <xf numFmtId="0" fontId="2" fillId="30" borderId="125" applyNumberFormat="0" applyFont="0" applyAlignment="0" applyProtection="0">
      <alignment vertical="center"/>
    </xf>
    <xf numFmtId="0" fontId="43" fillId="0" borderId="0">
      <alignment vertical="center"/>
    </xf>
    <xf numFmtId="0" fontId="33" fillId="0" borderId="0"/>
    <xf numFmtId="0" fontId="44" fillId="0" borderId="0"/>
    <xf numFmtId="0" fontId="45" fillId="0" borderId="126" applyNumberFormat="0" applyFill="0" applyAlignment="0" applyProtection="0">
      <alignment vertical="center"/>
    </xf>
    <xf numFmtId="0" fontId="48" fillId="0" borderId="0"/>
    <xf numFmtId="0" fontId="48" fillId="0" borderId="0"/>
    <xf numFmtId="41" fontId="48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55" fillId="0" borderId="0"/>
    <xf numFmtId="0" fontId="48" fillId="0" borderId="0"/>
    <xf numFmtId="41" fontId="2" fillId="0" borderId="0" applyFont="0" applyFill="0" applyBorder="0" applyAlignment="0" applyProtection="0">
      <alignment vertical="center"/>
    </xf>
    <xf numFmtId="0" fontId="58" fillId="0" borderId="0" applyFont="0" applyFill="0" applyBorder="0" applyAlignment="0" applyProtection="0"/>
    <xf numFmtId="0" fontId="55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33" fillId="0" borderId="0"/>
    <xf numFmtId="43" fontId="11" fillId="0" borderId="0" applyFont="0" applyFill="0" applyBorder="0" applyAlignment="0" applyProtection="0"/>
    <xf numFmtId="38" fontId="58" fillId="0" borderId="0" applyFont="0" applyFill="0" applyBorder="0" applyAlignment="0" applyProtection="0"/>
    <xf numFmtId="41" fontId="11" fillId="0" borderId="0"/>
    <xf numFmtId="0" fontId="33" fillId="0" borderId="0"/>
    <xf numFmtId="38" fontId="58" fillId="0" borderId="0" applyFont="0" applyFill="0" applyBorder="0" applyAlignment="0" applyProtection="0"/>
    <xf numFmtId="0" fontId="61" fillId="0" borderId="0"/>
    <xf numFmtId="0" fontId="33" fillId="0" borderId="0"/>
    <xf numFmtId="0" fontId="62" fillId="0" borderId="0" applyNumberFormat="0" applyFill="0" applyBorder="0" applyAlignment="0" applyProtection="0"/>
    <xf numFmtId="9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1" fillId="0" borderId="149">
      <alignment horizontal="centerContinuous" vertical="center"/>
    </xf>
    <xf numFmtId="41" fontId="11" fillId="0" borderId="0"/>
    <xf numFmtId="3" fontId="63" fillId="0" borderId="122"/>
    <xf numFmtId="194" fontId="55" fillId="0" borderId="0">
      <alignment vertical="center"/>
    </xf>
    <xf numFmtId="4" fontId="55" fillId="0" borderId="0">
      <alignment vertical="center"/>
    </xf>
    <xf numFmtId="195" fontId="55" fillId="0" borderId="0">
      <alignment vertical="center"/>
    </xf>
    <xf numFmtId="3" fontId="63" fillId="0" borderId="122"/>
    <xf numFmtId="0" fontId="61" fillId="0" borderId="149">
      <alignment horizontal="centerContinuous" vertical="center"/>
    </xf>
    <xf numFmtId="0" fontId="61" fillId="0" borderId="149">
      <alignment horizontal="centerContinuous" vertical="center"/>
    </xf>
    <xf numFmtId="24" fontId="58" fillId="0" borderId="0" applyFont="0" applyFill="0" applyBorder="0" applyAlignment="0" applyProtection="0"/>
    <xf numFmtId="196" fontId="58" fillId="0" borderId="0" applyFont="0" applyFill="0" applyBorder="0" applyAlignment="0" applyProtection="0"/>
    <xf numFmtId="197" fontId="11" fillId="0" borderId="0" applyNumberFormat="0" applyFont="0" applyFill="0" applyBorder="0" applyAlignment="0" applyProtection="0"/>
    <xf numFmtId="197" fontId="11" fillId="0" borderId="0" applyNumberFormat="0" applyFont="0" applyFill="0" applyBorder="0" applyAlignment="0" applyProtection="0"/>
    <xf numFmtId="198" fontId="11" fillId="0" borderId="0" applyNumberFormat="0" applyFont="0" applyFill="0" applyBorder="0" applyAlignment="0" applyProtection="0"/>
    <xf numFmtId="0" fontId="64" fillId="0" borderId="0">
      <alignment vertical="center"/>
    </xf>
    <xf numFmtId="0" fontId="65" fillId="0" borderId="0">
      <alignment vertical="center"/>
    </xf>
    <xf numFmtId="0" fontId="64" fillId="0" borderId="0">
      <alignment vertical="center"/>
    </xf>
    <xf numFmtId="0" fontId="11" fillId="0" borderId="0" applyFont="0" applyFill="0" applyBorder="0" applyAlignment="0" applyProtection="0"/>
    <xf numFmtId="0" fontId="33" fillId="0" borderId="0"/>
    <xf numFmtId="0" fontId="11" fillId="0" borderId="0"/>
    <xf numFmtId="0" fontId="66" fillId="63" borderId="0" applyFont="0" applyFill="0" applyBorder="0" applyAlignment="0" applyProtection="0">
      <alignment horizontal="center"/>
    </xf>
    <xf numFmtId="199" fontId="66" fillId="63" borderId="0" applyFont="0" applyFill="0" applyBorder="0" applyAlignment="0" applyProtection="0">
      <alignment horizontal="center"/>
    </xf>
    <xf numFmtId="0" fontId="55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200" fontId="67" fillId="0" borderId="0" applyFont="0" applyFill="0" applyBorder="0" applyAlignment="0" applyProtection="0"/>
    <xf numFmtId="0" fontId="11" fillId="0" borderId="0" applyFont="0" applyFill="0" applyBorder="0" applyAlignment="0" applyProtection="0"/>
    <xf numFmtId="201" fontId="68" fillId="0" borderId="86">
      <protection locked="0"/>
    </xf>
    <xf numFmtId="38" fontId="58" fillId="0" borderId="0" applyFont="0" applyFill="0" applyBorder="0" applyAlignment="0" applyProtection="0"/>
    <xf numFmtId="0" fontId="55" fillId="0" borderId="0"/>
    <xf numFmtId="0" fontId="11" fillId="0" borderId="0"/>
    <xf numFmtId="0" fontId="55" fillId="0" borderId="0"/>
    <xf numFmtId="0" fontId="55" fillId="0" borderId="0"/>
    <xf numFmtId="0" fontId="69" fillId="0" borderId="0"/>
    <xf numFmtId="0" fontId="69" fillId="0" borderId="0"/>
    <xf numFmtId="0" fontId="55" fillId="0" borderId="0"/>
    <xf numFmtId="0" fontId="69" fillId="0" borderId="0"/>
    <xf numFmtId="0" fontId="11" fillId="0" borderId="0"/>
    <xf numFmtId="0" fontId="5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1" fillId="0" borderId="0"/>
    <xf numFmtId="0" fontId="69" fillId="0" borderId="0"/>
    <xf numFmtId="0" fontId="33" fillId="0" borderId="0" applyFont="0" applyFill="0" applyBorder="0" applyAlignment="0" applyProtection="0"/>
    <xf numFmtId="202" fontId="71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Font="0" applyFill="0" applyBorder="0" applyAlignment="0" applyProtection="0"/>
    <xf numFmtId="10" fontId="75" fillId="0" borderId="0" applyFont="0" applyFill="0" applyBorder="0" applyAlignment="0" applyProtection="0"/>
    <xf numFmtId="200" fontId="71" fillId="0" borderId="0" applyFont="0" applyFill="0" applyBorder="0" applyAlignment="0" applyProtection="0"/>
    <xf numFmtId="0" fontId="71" fillId="0" borderId="0"/>
    <xf numFmtId="0" fontId="75" fillId="0" borderId="0"/>
    <xf numFmtId="0" fontId="63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76" fillId="0" borderId="0" applyBorder="0" applyAlignment="0" applyProtection="0"/>
    <xf numFmtId="0" fontId="5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33" fillId="0" borderId="0"/>
    <xf numFmtId="0" fontId="78" fillId="0" borderId="0" applyNumberFormat="0" applyFill="0" applyBorder="0" applyAlignment="0" applyProtection="0">
      <alignment vertical="top"/>
      <protection locked="0"/>
    </xf>
    <xf numFmtId="41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0" fontId="55" fillId="0" borderId="0"/>
    <xf numFmtId="0" fontId="80" fillId="0" borderId="0"/>
    <xf numFmtId="37" fontId="81" fillId="0" borderId="0"/>
    <xf numFmtId="0" fontId="80" fillId="0" borderId="0"/>
    <xf numFmtId="0" fontId="79" fillId="0" borderId="0"/>
    <xf numFmtId="0" fontId="82" fillId="0" borderId="0" applyNumberFormat="0" applyFill="0" applyBorder="0" applyAlignment="0" applyProtection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0" fontId="83" fillId="0" borderId="0"/>
    <xf numFmtId="0" fontId="33" fillId="0" borderId="0"/>
    <xf numFmtId="41" fontId="11" fillId="0" borderId="0"/>
    <xf numFmtId="0" fontId="82" fillId="0" borderId="0" applyFont="0" applyFill="0" applyBorder="0" applyAlignment="0" applyProtection="0"/>
    <xf numFmtId="41" fontId="11" fillId="0" borderId="0"/>
    <xf numFmtId="0" fontId="33" fillId="0" borderId="0"/>
    <xf numFmtId="0" fontId="83" fillId="0" borderId="0"/>
    <xf numFmtId="0" fontId="55" fillId="0" borderId="0"/>
    <xf numFmtId="0" fontId="33" fillId="0" borderId="0"/>
    <xf numFmtId="0" fontId="83" fillId="0" borderId="0"/>
    <xf numFmtId="0" fontId="83" fillId="0" borderId="0"/>
    <xf numFmtId="0" fontId="83" fillId="0" borderId="0"/>
    <xf numFmtId="0" fontId="11" fillId="0" borderId="0" applyFont="0" applyFill="0" applyBorder="0" applyAlignment="0" applyProtection="0"/>
    <xf numFmtId="0" fontId="82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83" fillId="0" borderId="0"/>
    <xf numFmtId="0" fontId="33" fillId="0" borderId="0"/>
    <xf numFmtId="0" fontId="83" fillId="0" borderId="0"/>
    <xf numFmtId="0" fontId="33" fillId="0" borderId="0"/>
    <xf numFmtId="0" fontId="33" fillId="0" borderId="0"/>
    <xf numFmtId="0" fontId="55" fillId="0" borderId="0"/>
    <xf numFmtId="0" fontId="55" fillId="0" borderId="0"/>
    <xf numFmtId="0" fontId="5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84" fillId="0" borderId="0" applyFont="0" applyFill="0" applyBorder="0" applyAlignment="0" applyProtection="0"/>
    <xf numFmtId="44" fontId="84" fillId="0" borderId="0" applyFont="0" applyFill="0" applyBorder="0" applyAlignment="0" applyProtection="0"/>
    <xf numFmtId="0" fontId="83" fillId="0" borderId="0"/>
    <xf numFmtId="0" fontId="84" fillId="0" borderId="0" applyFont="0" applyFill="0" applyBorder="0" applyAlignment="0" applyProtection="0"/>
    <xf numFmtId="0" fontId="8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3" fillId="0" borderId="0"/>
    <xf numFmtId="0" fontId="11" fillId="0" borderId="0" applyFont="0" applyFill="0" applyBorder="0" applyAlignment="0" applyProtection="0"/>
    <xf numFmtId="0" fontId="33" fillId="0" borderId="0"/>
    <xf numFmtId="0" fontId="8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43" fontId="33" fillId="0" borderId="0" applyFont="0" applyFill="0" applyBorder="0" applyAlignment="0" applyProtection="0"/>
    <xf numFmtId="0" fontId="55" fillId="0" borderId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55" fillId="0" borderId="0"/>
    <xf numFmtId="0" fontId="55" fillId="0" borderId="0"/>
    <xf numFmtId="0" fontId="33" fillId="0" borderId="0"/>
    <xf numFmtId="0" fontId="33" fillId="0" borderId="0"/>
    <xf numFmtId="0" fontId="82" fillId="0" borderId="0" applyFont="0" applyFill="0" applyBorder="0" applyAlignment="0" applyProtection="0"/>
    <xf numFmtId="0" fontId="11" fillId="0" borderId="0"/>
    <xf numFmtId="0" fontId="83" fillId="0" borderId="0"/>
    <xf numFmtId="0" fontId="82" fillId="0" borderId="0" applyFont="0" applyFill="0" applyBorder="0" applyAlignment="0" applyProtection="0"/>
    <xf numFmtId="0" fontId="33" fillId="0" borderId="0"/>
    <xf numFmtId="203" fontId="33" fillId="0" borderId="0" applyFont="0" applyFill="0" applyBorder="0" applyAlignment="0" applyProtection="0"/>
    <xf numFmtId="0" fontId="33" fillId="0" borderId="0"/>
    <xf numFmtId="204" fontId="1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203" fontId="33" fillId="0" borderId="0" applyFont="0" applyFill="0" applyBorder="0" applyAlignment="0" applyProtection="0"/>
    <xf numFmtId="0" fontId="33" fillId="0" borderId="0"/>
    <xf numFmtId="0" fontId="33" fillId="0" borderId="0"/>
    <xf numFmtId="0" fontId="82" fillId="0" borderId="0" applyFont="0" applyFill="0" applyBorder="0" applyAlignment="0" applyProtection="0"/>
    <xf numFmtId="0" fontId="33" fillId="0" borderId="0"/>
    <xf numFmtId="0" fontId="33" fillId="0" borderId="0"/>
    <xf numFmtId="0" fontId="55" fillId="0" borderId="0"/>
    <xf numFmtId="0" fontId="33" fillId="0" borderId="0"/>
    <xf numFmtId="0" fontId="55" fillId="0" borderId="0"/>
    <xf numFmtId="43" fontId="33" fillId="0" borderId="0" applyFont="0" applyFill="0" applyBorder="0" applyAlignment="0" applyProtection="0"/>
    <xf numFmtId="0" fontId="83" fillId="0" borderId="0"/>
    <xf numFmtId="0" fontId="83" fillId="0" borderId="0"/>
    <xf numFmtId="0" fontId="33" fillId="0" borderId="0"/>
    <xf numFmtId="0" fontId="55" fillId="0" borderId="0"/>
    <xf numFmtId="0" fontId="33" fillId="0" borderId="0"/>
    <xf numFmtId="0" fontId="55" fillId="0" borderId="0"/>
    <xf numFmtId="0" fontId="11" fillId="0" borderId="0" applyFont="0" applyFill="0" applyBorder="0" applyAlignment="0" applyProtection="0"/>
    <xf numFmtId="0" fontId="55" fillId="0" borderId="0"/>
    <xf numFmtId="0" fontId="33" fillId="0" borderId="0"/>
    <xf numFmtId="0" fontId="69" fillId="0" borderId="0"/>
    <xf numFmtId="0" fontId="33" fillId="0" borderId="0"/>
    <xf numFmtId="0" fontId="33" fillId="0" borderId="0"/>
    <xf numFmtId="0" fontId="83" fillId="0" borderId="0"/>
    <xf numFmtId="0" fontId="69" fillId="0" borderId="0"/>
    <xf numFmtId="0" fontId="69" fillId="0" borderId="0"/>
    <xf numFmtId="0" fontId="69" fillId="0" borderId="0"/>
    <xf numFmtId="0" fontId="33" fillId="0" borderId="0"/>
    <xf numFmtId="204" fontId="11" fillId="0" borderId="0" applyFont="0" applyFill="0" applyBorder="0" applyAlignment="0" applyProtection="0"/>
    <xf numFmtId="0" fontId="33" fillId="0" borderId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4" fontId="84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85" fillId="0" borderId="0"/>
    <xf numFmtId="0" fontId="33" fillId="0" borderId="0"/>
    <xf numFmtId="0" fontId="83" fillId="0" borderId="0"/>
    <xf numFmtId="0" fontId="83" fillId="0" borderId="0"/>
    <xf numFmtId="0" fontId="33" fillId="0" borderId="0"/>
    <xf numFmtId="0" fontId="83" fillId="0" borderId="0"/>
    <xf numFmtId="0" fontId="83" fillId="0" borderId="0"/>
    <xf numFmtId="0" fontId="33" fillId="0" borderId="0"/>
    <xf numFmtId="0" fontId="33" fillId="0" borderId="0"/>
    <xf numFmtId="0" fontId="33" fillId="0" borderId="0"/>
    <xf numFmtId="0" fontId="11" fillId="0" borderId="0"/>
    <xf numFmtId="0" fontId="33" fillId="0" borderId="0"/>
    <xf numFmtId="0" fontId="33" fillId="0" borderId="0"/>
    <xf numFmtId="0" fontId="55" fillId="0" borderId="0" applyFont="0" applyFill="0" applyBorder="0" applyAlignment="0" applyProtection="0"/>
    <xf numFmtId="0" fontId="11" fillId="0" borderId="0"/>
    <xf numFmtId="0" fontId="3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0" fontId="33" fillId="0" borderId="0"/>
    <xf numFmtId="0" fontId="83" fillId="0" borderId="0"/>
    <xf numFmtId="0" fontId="33" fillId="0" borderId="0"/>
    <xf numFmtId="0" fontId="11" fillId="0" borderId="0"/>
    <xf numFmtId="0" fontId="82" fillId="0" borderId="0" applyFont="0" applyFill="0" applyBorder="0" applyAlignment="0" applyProtection="0"/>
    <xf numFmtId="0" fontId="33" fillId="63" borderId="0"/>
    <xf numFmtId="0" fontId="33" fillId="63" borderId="0"/>
    <xf numFmtId="0" fontId="33" fillId="63" borderId="0"/>
    <xf numFmtId="0" fontId="33" fillId="63" borderId="0"/>
    <xf numFmtId="0" fontId="33" fillId="63" borderId="0"/>
    <xf numFmtId="0" fontId="33" fillId="63" borderId="0"/>
    <xf numFmtId="0" fontId="86" fillId="64" borderId="0"/>
    <xf numFmtId="0" fontId="87" fillId="65" borderId="0"/>
    <xf numFmtId="0" fontId="88" fillId="66" borderId="0"/>
    <xf numFmtId="0" fontId="89" fillId="0" borderId="0"/>
    <xf numFmtId="0" fontId="56" fillId="0" borderId="0"/>
    <xf numFmtId="0" fontId="77" fillId="0" borderId="0"/>
    <xf numFmtId="0" fontId="83" fillId="0" borderId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4" fontId="33" fillId="67" borderId="0"/>
    <xf numFmtId="4" fontId="33" fillId="67" borderId="0"/>
    <xf numFmtId="4" fontId="33" fillId="67" borderId="0"/>
    <xf numFmtId="4" fontId="33" fillId="67" borderId="0"/>
    <xf numFmtId="4" fontId="33" fillId="67" borderId="0"/>
    <xf numFmtId="4" fontId="33" fillId="67" borderId="0"/>
    <xf numFmtId="3" fontId="33" fillId="67" borderId="0">
      <alignment vertical="center"/>
    </xf>
    <xf numFmtId="0" fontId="33" fillId="0" borderId="0"/>
    <xf numFmtId="0" fontId="11" fillId="0" borderId="0"/>
    <xf numFmtId="0" fontId="33" fillId="0" borderId="0"/>
    <xf numFmtId="0" fontId="33" fillId="0" borderId="0"/>
    <xf numFmtId="0" fontId="6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2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3" fillId="0" borderId="0"/>
    <xf numFmtId="0" fontId="33" fillId="0" borderId="0"/>
    <xf numFmtId="0" fontId="83" fillId="0" borderId="0"/>
    <xf numFmtId="0" fontId="33" fillId="0" borderId="0"/>
    <xf numFmtId="0" fontId="55" fillId="0" borderId="0"/>
    <xf numFmtId="0" fontId="90" fillId="68" borderId="0"/>
    <xf numFmtId="0" fontId="90" fillId="68" borderId="0"/>
    <xf numFmtId="0" fontId="90" fillId="68" borderId="0"/>
    <xf numFmtId="0" fontId="90" fillId="68" borderId="0"/>
    <xf numFmtId="0" fontId="90" fillId="68" borderId="0"/>
    <xf numFmtId="0" fontId="33" fillId="0" borderId="0"/>
    <xf numFmtId="0" fontId="11" fillId="0" borderId="0" applyFont="0" applyFill="0" applyBorder="0" applyAlignment="0" applyProtection="0"/>
    <xf numFmtId="0" fontId="33" fillId="0" borderId="0"/>
    <xf numFmtId="0" fontId="33" fillId="0" borderId="0"/>
    <xf numFmtId="0" fontId="85" fillId="0" borderId="0"/>
    <xf numFmtId="43" fontId="3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3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0" fontId="33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0" fontId="83" fillId="0" borderId="0"/>
    <xf numFmtId="0" fontId="33" fillId="0" borderId="0"/>
    <xf numFmtId="0" fontId="33" fillId="0" borderId="0"/>
    <xf numFmtId="0" fontId="83" fillId="0" borderId="0"/>
    <xf numFmtId="0" fontId="33" fillId="0" borderId="0"/>
    <xf numFmtId="0" fontId="84" fillId="0" borderId="0" applyFont="0" applyFill="0" applyBorder="0" applyAlignment="0" applyProtection="0"/>
    <xf numFmtId="0" fontId="91" fillId="0" borderId="0"/>
    <xf numFmtId="0" fontId="83" fillId="0" borderId="0"/>
    <xf numFmtId="0" fontId="83" fillId="0" borderId="0"/>
    <xf numFmtId="0" fontId="33" fillId="0" borderId="0"/>
    <xf numFmtId="42" fontId="11" fillId="0" borderId="0" applyFont="0" applyFill="0" applyBorder="0" applyAlignment="0" applyProtection="0"/>
    <xf numFmtId="0" fontId="11" fillId="0" borderId="0"/>
    <xf numFmtId="0" fontId="11" fillId="0" borderId="0"/>
    <xf numFmtId="0" fontId="33" fillId="0" borderId="0"/>
    <xf numFmtId="41" fontId="11" fillId="0" borderId="0"/>
    <xf numFmtId="204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3" fillId="0" borderId="0"/>
    <xf numFmtId="0" fontId="83" fillId="0" borderId="0"/>
    <xf numFmtId="204" fontId="55" fillId="0" borderId="0" applyFont="0" applyFill="0" applyBorder="0" applyAlignment="0" applyProtection="0"/>
    <xf numFmtId="205" fontId="11" fillId="0" borderId="0" applyFont="0" applyFill="0" applyBorder="0" applyAlignment="0" applyProtection="0"/>
    <xf numFmtId="0" fontId="33" fillId="0" borderId="0"/>
    <xf numFmtId="0" fontId="33" fillId="63" borderId="0"/>
    <xf numFmtId="0" fontId="33" fillId="63" borderId="0"/>
    <xf numFmtId="0" fontId="33" fillId="63" borderId="0"/>
    <xf numFmtId="0" fontId="33" fillId="63" borderId="0"/>
    <xf numFmtId="0" fontId="33" fillId="63" borderId="0"/>
    <xf numFmtId="0" fontId="33" fillId="63" borderId="0"/>
    <xf numFmtId="0" fontId="86" fillId="64" borderId="0"/>
    <xf numFmtId="0" fontId="87" fillId="65" borderId="0"/>
    <xf numFmtId="0" fontId="88" fillId="66" borderId="0"/>
    <xf numFmtId="0" fontId="89" fillId="0" borderId="0"/>
    <xf numFmtId="0" fontId="56" fillId="0" borderId="0"/>
    <xf numFmtId="0" fontId="77" fillId="0" borderId="0"/>
    <xf numFmtId="0" fontId="83" fillId="0" borderId="0"/>
    <xf numFmtId="0" fontId="33" fillId="0" borderId="0" applyNumberFormat="0" applyFill="0" applyBorder="0" applyAlignment="0" applyProtection="0"/>
    <xf numFmtId="0" fontId="33" fillId="0" borderId="0"/>
    <xf numFmtId="0" fontId="1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1" fillId="0" borderId="0" applyFont="0" applyFill="0" applyBorder="0" applyAlignment="0" applyProtection="0"/>
    <xf numFmtId="0" fontId="33" fillId="0" borderId="0"/>
    <xf numFmtId="0" fontId="82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82" fillId="0" borderId="0"/>
    <xf numFmtId="0" fontId="33" fillId="0" borderId="0"/>
    <xf numFmtId="43" fontId="33" fillId="0" borderId="0" applyFont="0" applyFill="0" applyBorder="0" applyAlignment="0" applyProtection="0"/>
    <xf numFmtId="0" fontId="82" fillId="0" borderId="0"/>
    <xf numFmtId="0" fontId="11" fillId="0" borderId="0"/>
    <xf numFmtId="0" fontId="11" fillId="0" borderId="0"/>
    <xf numFmtId="0" fontId="33" fillId="0" borderId="0"/>
    <xf numFmtId="0" fontId="83" fillId="0" borderId="0"/>
    <xf numFmtId="0" fontId="33" fillId="0" borderId="0"/>
    <xf numFmtId="0" fontId="83" fillId="0" borderId="0"/>
    <xf numFmtId="0" fontId="83" fillId="0" borderId="0"/>
    <xf numFmtId="0" fontId="33" fillId="0" borderId="0"/>
    <xf numFmtId="0" fontId="83" fillId="0" borderId="0"/>
    <xf numFmtId="0" fontId="33" fillId="0" borderId="0"/>
    <xf numFmtId="43" fontId="33" fillId="0" borderId="0" applyFont="0" applyFill="0" applyBorder="0" applyAlignment="0" applyProtection="0"/>
    <xf numFmtId="0" fontId="83" fillId="0" borderId="0"/>
    <xf numFmtId="0" fontId="11" fillId="0" borderId="0" applyFont="0" applyFill="0" applyBorder="0" applyAlignment="0" applyProtection="0"/>
    <xf numFmtId="0" fontId="58" fillId="0" borderId="0"/>
    <xf numFmtId="0" fontId="84" fillId="0" borderId="0" applyFont="0" applyFill="0" applyBorder="0" applyAlignment="0" applyProtection="0"/>
    <xf numFmtId="0" fontId="83" fillId="0" borderId="0"/>
    <xf numFmtId="0" fontId="83" fillId="0" borderId="0"/>
    <xf numFmtId="0" fontId="33" fillId="0" borderId="0"/>
    <xf numFmtId="0" fontId="33" fillId="0" borderId="0"/>
    <xf numFmtId="0" fontId="85" fillId="0" borderId="0"/>
    <xf numFmtId="204" fontId="55" fillId="0" borderId="0" applyFont="0" applyFill="0" applyBorder="0" applyAlignment="0" applyProtection="0"/>
    <xf numFmtId="0" fontId="55" fillId="0" borderId="0"/>
    <xf numFmtId="0" fontId="33" fillId="0" borderId="0"/>
    <xf numFmtId="43" fontId="33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/>
    <xf numFmtId="0" fontId="84" fillId="0" borderId="0" applyFont="0" applyFill="0" applyBorder="0" applyAlignment="0" applyProtection="0"/>
    <xf numFmtId="0" fontId="33" fillId="0" borderId="0"/>
    <xf numFmtId="0" fontId="83" fillId="0" borderId="0"/>
    <xf numFmtId="0" fontId="11" fillId="0" borderId="0" applyFont="0" applyFill="0" applyBorder="0" applyAlignment="0" applyProtection="0"/>
    <xf numFmtId="0" fontId="33" fillId="0" borderId="0"/>
    <xf numFmtId="0" fontId="8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83" fillId="0" borderId="0"/>
    <xf numFmtId="0" fontId="33" fillId="0" borderId="0"/>
    <xf numFmtId="0" fontId="11" fillId="0" borderId="0" applyFont="0" applyFill="0" applyBorder="0" applyAlignment="0" applyProtection="0"/>
    <xf numFmtId="0" fontId="83" fillId="0" borderId="0"/>
    <xf numFmtId="0" fontId="33" fillId="0" borderId="0"/>
    <xf numFmtId="0" fontId="3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1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0" fontId="8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33" fillId="0" borderId="0"/>
    <xf numFmtId="0" fontId="11" fillId="0" borderId="0"/>
    <xf numFmtId="43" fontId="33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83" fillId="0" borderId="0"/>
    <xf numFmtId="0" fontId="83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3" fillId="0" borderId="0"/>
    <xf numFmtId="0" fontId="55" fillId="0" borderId="0"/>
    <xf numFmtId="0" fontId="33" fillId="0" borderId="0"/>
    <xf numFmtId="41" fontId="11" fillId="0" borderId="0"/>
    <xf numFmtId="41" fontId="11" fillId="0" borderId="0"/>
    <xf numFmtId="41" fontId="11" fillId="0" borderId="0"/>
    <xf numFmtId="0" fontId="5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0" fontId="33" fillId="0" borderId="0"/>
    <xf numFmtId="0" fontId="82" fillId="0" borderId="0" applyFont="0" applyFill="0" applyBorder="0" applyAlignment="0" applyProtection="0"/>
    <xf numFmtId="0" fontId="33" fillId="0" borderId="0"/>
    <xf numFmtId="0" fontId="33" fillId="0" borderId="0"/>
    <xf numFmtId="0" fontId="1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11" fillId="0" borderId="0" applyFont="0" applyFill="0" applyBorder="0" applyAlignment="0" applyProtection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33" fillId="0" borderId="0"/>
    <xf numFmtId="204" fontId="55" fillId="0" borderId="0" applyFont="0" applyFill="0" applyBorder="0" applyAlignment="0" applyProtection="0"/>
    <xf numFmtId="205" fontId="11" fillId="0" borderId="0" applyFont="0" applyFill="0" applyBorder="0" applyAlignment="0" applyProtection="0"/>
    <xf numFmtId="20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55" fillId="0" borderId="0"/>
    <xf numFmtId="0" fontId="83" fillId="0" borderId="0"/>
    <xf numFmtId="0" fontId="83" fillId="0" borderId="0"/>
    <xf numFmtId="0" fontId="33" fillId="0" borderId="0"/>
    <xf numFmtId="0" fontId="91" fillId="0" borderId="0"/>
    <xf numFmtId="0" fontId="82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55" fillId="0" borderId="0"/>
    <xf numFmtId="0" fontId="84" fillId="0" borderId="0" applyFont="0" applyFill="0" applyBorder="0" applyAlignment="0" applyProtection="0"/>
    <xf numFmtId="0" fontId="55" fillId="0" borderId="0"/>
    <xf numFmtId="0" fontId="55" fillId="0" borderId="0"/>
    <xf numFmtId="0" fontId="33" fillId="0" borderId="0"/>
    <xf numFmtId="0" fontId="83" fillId="0" borderId="0"/>
    <xf numFmtId="0" fontId="55" fillId="0" borderId="0"/>
    <xf numFmtId="204" fontId="11" fillId="0" borderId="0" applyFont="0" applyFill="0" applyBorder="0" applyAlignment="0" applyProtection="0"/>
    <xf numFmtId="0" fontId="33" fillId="0" borderId="0"/>
    <xf numFmtId="0" fontId="83" fillId="0" borderId="0"/>
    <xf numFmtId="0" fontId="33" fillId="0" borderId="0"/>
    <xf numFmtId="0" fontId="92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0" fontId="83" fillId="0" borderId="0"/>
    <xf numFmtId="43" fontId="33" fillId="0" borderId="0" applyFont="0" applyFill="0" applyBorder="0" applyAlignment="0" applyProtection="0"/>
    <xf numFmtId="0" fontId="8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3" fillId="0" borderId="0"/>
    <xf numFmtId="0" fontId="58" fillId="0" borderId="0"/>
    <xf numFmtId="0" fontId="8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42" fontId="11" fillId="0" borderId="0" applyFont="0" applyFill="0" applyBorder="0" applyAlignment="0" applyProtection="0"/>
    <xf numFmtId="0" fontId="33" fillId="0" borderId="0"/>
    <xf numFmtId="0" fontId="33" fillId="0" borderId="0"/>
    <xf numFmtId="0" fontId="83" fillId="0" borderId="0"/>
    <xf numFmtId="0" fontId="83" fillId="0" borderId="0"/>
    <xf numFmtId="0" fontId="33" fillId="0" borderId="0"/>
    <xf numFmtId="44" fontId="84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83" fillId="0" borderId="0"/>
    <xf numFmtId="0" fontId="33" fillId="0" borderId="0"/>
    <xf numFmtId="43" fontId="33" fillId="0" borderId="0" applyFont="0" applyFill="0" applyBorder="0" applyAlignment="0" applyProtection="0"/>
    <xf numFmtId="0" fontId="83" fillId="0" borderId="0"/>
    <xf numFmtId="0" fontId="33" fillId="0" borderId="0"/>
    <xf numFmtId="0" fontId="33" fillId="0" borderId="0"/>
    <xf numFmtId="0" fontId="83" fillId="0" borderId="0"/>
    <xf numFmtId="0" fontId="11" fillId="0" borderId="0" applyFont="0" applyFill="0" applyBorder="0" applyAlignment="0" applyProtection="0"/>
    <xf numFmtId="0" fontId="55" fillId="0" borderId="0"/>
    <xf numFmtId="0" fontId="83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33" fillId="0" borderId="0"/>
    <xf numFmtId="203" fontId="33" fillId="0" borderId="0" applyFont="0" applyFill="0" applyBorder="0" applyAlignment="0" applyProtection="0"/>
    <xf numFmtId="0" fontId="33" fillId="0" borderId="0"/>
    <xf numFmtId="0" fontId="5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3" fillId="0" borderId="0"/>
    <xf numFmtId="203" fontId="33" fillId="0" borderId="0" applyFont="0" applyFill="0" applyBorder="0" applyAlignment="0" applyProtection="0"/>
    <xf numFmtId="0" fontId="11" fillId="0" borderId="0"/>
    <xf numFmtId="0" fontId="11" fillId="0" borderId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55" fillId="0" borderId="0"/>
    <xf numFmtId="0" fontId="33" fillId="0" borderId="0"/>
    <xf numFmtId="0" fontId="82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83" fillId="0" borderId="0"/>
    <xf numFmtId="0" fontId="82" fillId="0" borderId="0"/>
    <xf numFmtId="43" fontId="33" fillId="0" borderId="0" applyFont="0" applyFill="0" applyBorder="0" applyAlignment="0" applyProtection="0"/>
    <xf numFmtId="0" fontId="33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 applyFont="0" applyFill="0" applyBorder="0" applyAlignment="0" applyProtection="0"/>
    <xf numFmtId="0" fontId="84" fillId="0" borderId="0" applyFont="0" applyFill="0" applyBorder="0" applyAlignment="0" applyProtection="0"/>
    <xf numFmtId="0" fontId="33" fillId="0" borderId="0"/>
    <xf numFmtId="0" fontId="55" fillId="0" borderId="0"/>
    <xf numFmtId="0" fontId="84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83" fillId="0" borderId="0"/>
    <xf numFmtId="0" fontId="83" fillId="0" borderId="0"/>
    <xf numFmtId="0" fontId="82" fillId="0" borderId="0" applyFont="0" applyFill="0" applyBorder="0" applyAlignment="0" applyProtection="0"/>
    <xf numFmtId="0" fontId="33" fillId="0" borderId="0"/>
    <xf numFmtId="204" fontId="11" fillId="0" borderId="0" applyFont="0" applyFill="0" applyBorder="0" applyAlignment="0" applyProtection="0"/>
    <xf numFmtId="0" fontId="83" fillId="0" borderId="0"/>
    <xf numFmtId="0" fontId="33" fillId="0" borderId="0"/>
    <xf numFmtId="0" fontId="33" fillId="0" borderId="0"/>
    <xf numFmtId="0" fontId="83" fillId="0" borderId="0"/>
    <xf numFmtId="0" fontId="33" fillId="0" borderId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0" fontId="83" fillId="0" borderId="0"/>
    <xf numFmtId="0" fontId="33" fillId="0" borderId="0"/>
    <xf numFmtId="0" fontId="33" fillId="0" borderId="0"/>
    <xf numFmtId="0" fontId="33" fillId="0" borderId="0" applyNumberFormat="0" applyFill="0" applyBorder="0" applyAlignment="0" applyProtection="0"/>
    <xf numFmtId="0" fontId="33" fillId="0" borderId="0"/>
    <xf numFmtId="0" fontId="83" fillId="0" borderId="0"/>
    <xf numFmtId="43" fontId="33" fillId="0" borderId="0" applyFont="0" applyFill="0" applyBorder="0" applyAlignment="0" applyProtection="0"/>
    <xf numFmtId="0" fontId="33" fillId="0" borderId="0"/>
    <xf numFmtId="44" fontId="84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3" fillId="0" borderId="0"/>
    <xf numFmtId="0" fontId="33" fillId="0" borderId="0"/>
    <xf numFmtId="0" fontId="33" fillId="0" borderId="0"/>
    <xf numFmtId="0" fontId="83" fillId="0" borderId="0"/>
    <xf numFmtId="0" fontId="33" fillId="0" borderId="0"/>
    <xf numFmtId="0" fontId="82" fillId="0" borderId="0" applyFont="0" applyFill="0" applyBorder="0" applyAlignment="0" applyProtection="0"/>
    <xf numFmtId="0" fontId="33" fillId="0" borderId="0"/>
    <xf numFmtId="0" fontId="82" fillId="0" borderId="0" applyFont="0" applyFill="0" applyBorder="0" applyAlignment="0" applyProtection="0"/>
    <xf numFmtId="0" fontId="11" fillId="0" borderId="0"/>
    <xf numFmtId="0" fontId="33" fillId="0" borderId="0"/>
    <xf numFmtId="0" fontId="83" fillId="0" borderId="0"/>
    <xf numFmtId="0" fontId="83" fillId="0" borderId="0"/>
    <xf numFmtId="0" fontId="33" fillId="0" borderId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33" fillId="0" borderId="0"/>
    <xf numFmtId="0" fontId="85" fillId="0" borderId="0"/>
    <xf numFmtId="0" fontId="5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8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8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1" fillId="0" borderId="0"/>
    <xf numFmtId="0" fontId="33" fillId="0" borderId="0" applyNumberFormat="0" applyFill="0" applyBorder="0" applyAlignment="0" applyProtection="0"/>
    <xf numFmtId="204" fontId="55" fillId="0" borderId="0" applyFont="0" applyFill="0" applyBorder="0" applyAlignment="0" applyProtection="0"/>
    <xf numFmtId="20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83" fillId="0" borderId="0"/>
    <xf numFmtId="0" fontId="83" fillId="0" borderId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33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1" fillId="0" borderId="0" applyFont="0" applyFill="0" applyBorder="0" applyAlignment="0" applyProtection="0"/>
    <xf numFmtId="0" fontId="33" fillId="0" borderId="0"/>
    <xf numFmtId="0" fontId="33" fillId="0" borderId="0"/>
    <xf numFmtId="0" fontId="11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1" fillId="0" borderId="0"/>
    <xf numFmtId="43" fontId="33" fillId="0" borderId="0" applyFont="0" applyFill="0" applyBorder="0" applyAlignment="0" applyProtection="0"/>
    <xf numFmtId="0" fontId="83" fillId="0" borderId="0"/>
    <xf numFmtId="0" fontId="83" fillId="0" borderId="0"/>
    <xf numFmtId="0" fontId="55" fillId="0" borderId="0"/>
    <xf numFmtId="0" fontId="83" fillId="0" borderId="0"/>
    <xf numFmtId="0" fontId="83" fillId="0" borderId="0"/>
    <xf numFmtId="0" fontId="83" fillId="0" borderId="0"/>
    <xf numFmtId="0" fontId="82" fillId="0" borderId="0"/>
    <xf numFmtId="0" fontId="33" fillId="0" borderId="0"/>
    <xf numFmtId="0" fontId="33" fillId="0" borderId="0"/>
    <xf numFmtId="0" fontId="55" fillId="0" borderId="0"/>
    <xf numFmtId="0" fontId="33" fillId="0" borderId="0"/>
    <xf numFmtId="0" fontId="33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41" fontId="11" fillId="0" borderId="0"/>
    <xf numFmtId="0" fontId="33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3" fillId="0" borderId="0"/>
    <xf numFmtId="43" fontId="33" fillId="0" borderId="0" applyFont="0" applyFill="0" applyBorder="0" applyAlignment="0" applyProtection="0"/>
    <xf numFmtId="0" fontId="83" fillId="0" borderId="0"/>
    <xf numFmtId="0" fontId="33" fillId="0" borderId="0"/>
    <xf numFmtId="0" fontId="83" fillId="0" borderId="0"/>
    <xf numFmtId="0" fontId="33" fillId="0" borderId="0"/>
    <xf numFmtId="0" fontId="33" fillId="0" borderId="0"/>
    <xf numFmtId="40" fontId="5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7" fillId="0" borderId="0"/>
    <xf numFmtId="4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64" fillId="0" borderId="0"/>
    <xf numFmtId="0" fontId="64" fillId="0" borderId="0">
      <alignment vertical="center"/>
    </xf>
    <xf numFmtId="0" fontId="64" fillId="0" borderId="0">
      <alignment vertical="center"/>
    </xf>
    <xf numFmtId="0" fontId="94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01" fontId="95" fillId="0" borderId="0">
      <protection locked="0"/>
    </xf>
    <xf numFmtId="40" fontId="96" fillId="0" borderId="0" applyFont="0" applyFill="0" applyBorder="0" applyAlignment="0" applyProtection="0"/>
    <xf numFmtId="201" fontId="95" fillId="0" borderId="0">
      <protection locked="0"/>
    </xf>
    <xf numFmtId="201" fontId="95" fillId="0" borderId="0">
      <protection locked="0"/>
    </xf>
    <xf numFmtId="201" fontId="95" fillId="0" borderId="0">
      <protection locked="0"/>
    </xf>
    <xf numFmtId="0" fontId="97" fillId="0" borderId="0"/>
    <xf numFmtId="0" fontId="97" fillId="0" borderId="0"/>
    <xf numFmtId="1" fontId="61" fillId="0" borderId="178">
      <alignment horizontal="center" vertical="center"/>
    </xf>
    <xf numFmtId="9" fontId="61" fillId="0" borderId="0">
      <alignment vertical="center"/>
    </xf>
    <xf numFmtId="0" fontId="11" fillId="0" borderId="0"/>
    <xf numFmtId="0" fontId="11" fillId="0" borderId="0"/>
    <xf numFmtId="3" fontId="63" fillId="0" borderId="122"/>
    <xf numFmtId="0" fontId="61" fillId="0" borderId="0">
      <alignment vertical="center"/>
    </xf>
    <xf numFmtId="206" fontId="98" fillId="0" borderId="180">
      <alignment horizontal="center"/>
    </xf>
    <xf numFmtId="3" fontId="63" fillId="0" borderId="122"/>
    <xf numFmtId="10" fontId="61" fillId="0" borderId="0">
      <alignment vertical="center"/>
    </xf>
    <xf numFmtId="0" fontId="61" fillId="0" borderId="0">
      <alignment vertical="center"/>
    </xf>
    <xf numFmtId="207" fontId="61" fillId="0" borderId="0">
      <alignment vertical="center"/>
    </xf>
    <xf numFmtId="0" fontId="99" fillId="0" borderId="181"/>
    <xf numFmtId="0" fontId="82" fillId="69" borderId="0">
      <protection locked="0"/>
    </xf>
    <xf numFmtId="0" fontId="83" fillId="69" borderId="0">
      <protection locked="0"/>
    </xf>
    <xf numFmtId="0" fontId="83" fillId="69" borderId="0">
      <protection locked="0"/>
    </xf>
    <xf numFmtId="0" fontId="83" fillId="69" borderId="0">
      <protection locked="0"/>
    </xf>
    <xf numFmtId="0" fontId="83" fillId="69" borderId="0">
      <protection locked="0"/>
    </xf>
    <xf numFmtId="0" fontId="83" fillId="69" borderId="0">
      <protection locked="0"/>
    </xf>
    <xf numFmtId="0" fontId="83" fillId="69" borderId="0">
      <protection locked="0"/>
    </xf>
    <xf numFmtId="0" fontId="83" fillId="69" borderId="0">
      <protection locked="0"/>
    </xf>
    <xf numFmtId="0" fontId="83" fillId="69" borderId="0">
      <protection locked="0"/>
    </xf>
    <xf numFmtId="208" fontId="100" fillId="70" borderId="86"/>
    <xf numFmtId="0" fontId="101" fillId="0" borderId="0" applyFont="0"/>
    <xf numFmtId="38" fontId="55" fillId="0" borderId="182">
      <alignment vertical="center"/>
    </xf>
    <xf numFmtId="0" fontId="55" fillId="0" borderId="0"/>
    <xf numFmtId="0" fontId="33" fillId="0" borderId="0" applyNumberFormat="0" applyFill="0" applyBorder="0" applyAlignment="0" applyProtection="0"/>
    <xf numFmtId="201" fontId="95" fillId="0" borderId="0">
      <protection locked="0"/>
    </xf>
    <xf numFmtId="9" fontId="93" fillId="0" borderId="0" applyFont="0" applyFill="0" applyBorder="0" applyAlignment="0" applyProtection="0"/>
    <xf numFmtId="203" fontId="69" fillId="0" borderId="0" applyFont="0" applyFill="0" applyBorder="0" applyAlignment="0" applyProtection="0"/>
    <xf numFmtId="209" fontId="69" fillId="0" borderId="0" applyFont="0" applyFill="0" applyBorder="0" applyAlignment="0" applyProtection="0"/>
    <xf numFmtId="0" fontId="102" fillId="71" borderId="0" applyNumberFormat="0" applyBorder="0" applyAlignment="0" applyProtection="0">
      <alignment vertical="center"/>
    </xf>
    <xf numFmtId="0" fontId="102" fillId="71" borderId="0" applyNumberFormat="0" applyBorder="0" applyAlignment="0" applyProtection="0">
      <alignment vertical="center"/>
    </xf>
    <xf numFmtId="0" fontId="102" fillId="72" borderId="0" applyNumberFormat="0" applyBorder="0" applyAlignment="0" applyProtection="0">
      <alignment vertical="center"/>
    </xf>
    <xf numFmtId="0" fontId="102" fillId="72" borderId="0" applyNumberFormat="0" applyBorder="0" applyAlignment="0" applyProtection="0">
      <alignment vertical="center"/>
    </xf>
    <xf numFmtId="0" fontId="102" fillId="73" borderId="0" applyNumberFormat="0" applyBorder="0" applyAlignment="0" applyProtection="0">
      <alignment vertical="center"/>
    </xf>
    <xf numFmtId="0" fontId="102" fillId="73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102" fillId="75" borderId="0" applyNumberFormat="0" applyBorder="0" applyAlignment="0" applyProtection="0">
      <alignment vertical="center"/>
    </xf>
    <xf numFmtId="0" fontId="102" fillId="75" borderId="0" applyNumberFormat="0" applyBorder="0" applyAlignment="0" applyProtection="0">
      <alignment vertical="center"/>
    </xf>
    <xf numFmtId="0" fontId="102" fillId="76" borderId="0" applyNumberFormat="0" applyBorder="0" applyAlignment="0" applyProtection="0">
      <alignment vertical="center"/>
    </xf>
    <xf numFmtId="0" fontId="102" fillId="7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3" fillId="71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3" fillId="71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3" fillId="7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3" fillId="72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3" fillId="73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3" fillId="73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4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3" fillId="74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3" fillId="74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04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3" fillId="75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3" fillId="75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104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3" fillId="76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3" fillId="76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4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55" fillId="0" borderId="0"/>
    <xf numFmtId="0" fontId="33" fillId="0" borderId="0" applyBorder="0"/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102" fillId="77" borderId="0" applyNumberFormat="0" applyBorder="0" applyAlignment="0" applyProtection="0">
      <alignment vertical="center"/>
    </xf>
    <xf numFmtId="0" fontId="102" fillId="77" borderId="0" applyNumberFormat="0" applyBorder="0" applyAlignment="0" applyProtection="0">
      <alignment vertical="center"/>
    </xf>
    <xf numFmtId="0" fontId="102" fillId="78" borderId="0" applyNumberFormat="0" applyBorder="0" applyAlignment="0" applyProtection="0">
      <alignment vertical="center"/>
    </xf>
    <xf numFmtId="0" fontId="102" fillId="78" borderId="0" applyNumberFormat="0" applyBorder="0" applyAlignment="0" applyProtection="0">
      <alignment vertical="center"/>
    </xf>
    <xf numFmtId="0" fontId="102" fillId="79" borderId="0" applyNumberFormat="0" applyBorder="0" applyAlignment="0" applyProtection="0">
      <alignment vertical="center"/>
    </xf>
    <xf numFmtId="0" fontId="102" fillId="79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102" fillId="74" borderId="0" applyNumberFormat="0" applyBorder="0" applyAlignment="0" applyProtection="0">
      <alignment vertical="center"/>
    </xf>
    <xf numFmtId="0" fontId="102" fillId="77" borderId="0" applyNumberFormat="0" applyBorder="0" applyAlignment="0" applyProtection="0">
      <alignment vertical="center"/>
    </xf>
    <xf numFmtId="0" fontId="102" fillId="77" borderId="0" applyNumberFormat="0" applyBorder="0" applyAlignment="0" applyProtection="0">
      <alignment vertical="center"/>
    </xf>
    <xf numFmtId="0" fontId="102" fillId="80" borderId="0" applyNumberFormat="0" applyBorder="0" applyAlignment="0" applyProtection="0">
      <alignment vertical="center"/>
    </xf>
    <xf numFmtId="0" fontId="102" fillId="8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3" fillId="77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3" fillId="77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3" fillId="7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3" fillId="78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3" fillId="7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3" fillId="7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04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3" fillId="74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3" fillId="74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4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3" fillId="7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3" fillId="7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4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3" fillId="80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3" fillId="80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4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06" fillId="81" borderId="0" applyNumberFormat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106" fillId="79" borderId="0" applyNumberFormat="0" applyBorder="0" applyAlignment="0" applyProtection="0">
      <alignment vertical="center"/>
    </xf>
    <xf numFmtId="0" fontId="106" fillId="82" borderId="0" applyNumberFormat="0" applyBorder="0" applyAlignment="0" applyProtection="0">
      <alignment vertical="center"/>
    </xf>
    <xf numFmtId="0" fontId="106" fillId="83" borderId="0" applyNumberFormat="0" applyBorder="0" applyAlignment="0" applyProtection="0">
      <alignment vertical="center"/>
    </xf>
    <xf numFmtId="0" fontId="106" fillId="84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8" fillId="81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8" fillId="81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2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8" fillId="78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8" fillId="78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46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8" fillId="79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8" fillId="79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0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8" fillId="82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8" fillId="82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4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8" fillId="83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8" fillId="83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58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8" fillId="84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8" fillId="84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0" fontId="107" fillId="62" borderId="0" applyNumberFormat="0" applyBorder="0" applyAlignment="0" applyProtection="0">
      <alignment vertical="center"/>
    </xf>
    <xf numFmtId="9" fontId="33" fillId="0" borderId="0" applyFont="0" applyFill="0" applyBorder="0" applyAlignment="0" applyProtection="0"/>
    <xf numFmtId="0" fontId="11" fillId="0" borderId="0"/>
    <xf numFmtId="14" fontId="33" fillId="0" borderId="0" applyBorder="0"/>
    <xf numFmtId="0" fontId="6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0" fillId="0" borderId="0" applyFont="0" applyFill="0" applyBorder="0" applyAlignment="0" applyProtection="0"/>
    <xf numFmtId="42" fontId="79" fillId="0" borderId="0" applyFont="0" applyFill="0" applyBorder="0" applyAlignment="0" applyProtection="0"/>
    <xf numFmtId="44" fontId="79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14" fontId="33" fillId="0" borderId="0" applyBorder="0"/>
    <xf numFmtId="14" fontId="112" fillId="0" borderId="0"/>
    <xf numFmtId="14" fontId="33" fillId="0" borderId="0" applyBorder="0"/>
    <xf numFmtId="14" fontId="33" fillId="0" borderId="0" applyBorder="0"/>
    <xf numFmtId="14" fontId="112" fillId="0" borderId="0"/>
    <xf numFmtId="14" fontId="33" fillId="0" borderId="0" applyBorder="0"/>
    <xf numFmtId="14" fontId="33" fillId="0" borderId="0" applyBorder="0"/>
    <xf numFmtId="14" fontId="33" fillId="0" borderId="0" applyBorder="0"/>
    <xf numFmtId="14" fontId="33" fillId="0" borderId="0" applyBorder="0"/>
    <xf numFmtId="14" fontId="33" fillId="0" borderId="0" applyBorder="0"/>
    <xf numFmtId="14" fontId="33" fillId="0" borderId="0" applyBorder="0"/>
    <xf numFmtId="14" fontId="112" fillId="0" borderId="0"/>
    <xf numFmtId="203" fontId="113" fillId="0" borderId="0" applyFont="0" applyFill="0" applyBorder="0" applyAlignment="0" applyProtection="0"/>
    <xf numFmtId="210" fontId="113" fillId="0" borderId="0" applyFont="0" applyFill="0" applyBorder="0" applyAlignment="0" applyProtection="0"/>
    <xf numFmtId="41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203" fontId="115" fillId="0" borderId="0" applyFont="0" applyFill="0" applyBorder="0" applyAlignment="0" applyProtection="0"/>
    <xf numFmtId="41" fontId="116" fillId="0" borderId="0" applyFont="0" applyFill="0" applyBorder="0" applyAlignment="0" applyProtection="0"/>
    <xf numFmtId="210" fontId="115" fillId="0" borderId="0" applyFont="0" applyFill="0" applyBorder="0" applyAlignment="0" applyProtection="0"/>
    <xf numFmtId="43" fontId="116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3" fontId="61" fillId="0" borderId="0"/>
    <xf numFmtId="0" fontId="106" fillId="85" borderId="0" applyNumberFormat="0" applyBorder="0" applyAlignment="0" applyProtection="0">
      <alignment vertical="center"/>
    </xf>
    <xf numFmtId="0" fontId="106" fillId="86" borderId="0" applyNumberFormat="0" applyBorder="0" applyAlignment="0" applyProtection="0">
      <alignment vertical="center"/>
    </xf>
    <xf numFmtId="0" fontId="106" fillId="87" borderId="0" applyNumberFormat="0" applyBorder="0" applyAlignment="0" applyProtection="0">
      <alignment vertical="center"/>
    </xf>
    <xf numFmtId="0" fontId="106" fillId="82" borderId="0" applyNumberFormat="0" applyBorder="0" applyAlignment="0" applyProtection="0">
      <alignment vertical="center"/>
    </xf>
    <xf numFmtId="0" fontId="106" fillId="83" borderId="0" applyNumberFormat="0" applyBorder="0" applyAlignment="0" applyProtection="0">
      <alignment vertical="center"/>
    </xf>
    <xf numFmtId="0" fontId="106" fillId="88" borderId="0" applyNumberFormat="0" applyBorder="0" applyAlignment="0" applyProtection="0">
      <alignment vertical="center"/>
    </xf>
    <xf numFmtId="0" fontId="77" fillId="0" borderId="0" applyNumberFormat="0" applyAlignment="0"/>
    <xf numFmtId="0" fontId="11" fillId="89" borderId="183">
      <alignment horizontal="center" vertical="center"/>
    </xf>
    <xf numFmtId="211" fontId="11" fillId="90" borderId="0" applyNumberFormat="0" applyProtection="0">
      <alignment horizontal="center"/>
      <protection locked="0" hidden="1"/>
    </xf>
    <xf numFmtId="201" fontId="95" fillId="0" borderId="0">
      <protection locked="0"/>
    </xf>
    <xf numFmtId="201" fontId="95" fillId="0" borderId="0">
      <protection locked="0"/>
    </xf>
    <xf numFmtId="0" fontId="118" fillId="0" borderId="0" applyFont="0" applyFill="0" applyBorder="0" applyAlignment="0" applyProtection="0"/>
    <xf numFmtId="202" fontId="119" fillId="0" borderId="0" applyFont="0" applyFill="0" applyBorder="0" applyAlignment="0" applyProtection="0"/>
    <xf numFmtId="42" fontId="118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9" fillId="0" borderId="0" applyFont="0" applyFill="0" applyBorder="0" applyAlignment="0" applyProtection="0"/>
    <xf numFmtId="42" fontId="118" fillId="0" borderId="0" applyFont="0" applyFill="0" applyBorder="0" applyAlignment="0" applyProtection="0"/>
    <xf numFmtId="204" fontId="119" fillId="0" borderId="0" applyFont="0" applyFill="0" applyBorder="0" applyAlignment="0" applyProtection="0"/>
    <xf numFmtId="204" fontId="93" fillId="0" borderId="0" applyFont="0" applyFill="0" applyBorder="0" applyAlignment="0" applyProtection="0"/>
    <xf numFmtId="0" fontId="120" fillId="0" borderId="0" applyFont="0" applyFill="0" applyBorder="0" applyAlignment="0" applyProtection="0"/>
    <xf numFmtId="204" fontId="93" fillId="0" borderId="0" applyFont="0" applyFill="0" applyBorder="0" applyAlignment="0" applyProtection="0"/>
    <xf numFmtId="212" fontId="33" fillId="0" borderId="0" applyFont="0" applyFill="0" applyBorder="0" applyAlignment="0" applyProtection="0"/>
    <xf numFmtId="204" fontId="9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22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19" fillId="0" borderId="0" applyFont="0" applyFill="0" applyBorder="0" applyAlignment="0" applyProtection="0"/>
    <xf numFmtId="42" fontId="9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18" fillId="0" borderId="0" applyFont="0" applyFill="0" applyBorder="0" applyAlignment="0" applyProtection="0"/>
    <xf numFmtId="42" fontId="121" fillId="0" borderId="0" applyFont="0" applyFill="0" applyBorder="0" applyAlignment="0" applyProtection="0"/>
    <xf numFmtId="42" fontId="120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3" fillId="0" borderId="0" applyFont="0" applyFill="0" applyBorder="0" applyAlignment="0" applyProtection="0"/>
    <xf numFmtId="200" fontId="119" fillId="0" borderId="0" applyFont="0" applyFill="0" applyBorder="0" applyAlignment="0" applyProtection="0"/>
    <xf numFmtId="44" fontId="118" fillId="0" borderId="0" applyFont="0" applyFill="0" applyBorder="0" applyAlignment="0" applyProtection="0"/>
    <xf numFmtId="205" fontId="119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9" fillId="0" borderId="0" applyFont="0" applyFill="0" applyBorder="0" applyAlignment="0" applyProtection="0"/>
    <xf numFmtId="44" fontId="118" fillId="0" borderId="0" applyFont="0" applyFill="0" applyBorder="0" applyAlignment="0" applyProtection="0"/>
    <xf numFmtId="205" fontId="119" fillId="0" borderId="0" applyFont="0" applyFill="0" applyBorder="0" applyAlignment="0" applyProtection="0"/>
    <xf numFmtId="205" fontId="93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93" fillId="0" borderId="0" applyFont="0" applyFill="0" applyBorder="0" applyAlignment="0" applyProtection="0"/>
    <xf numFmtId="213" fontId="3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19" fillId="0" borderId="0" applyFont="0" applyFill="0" applyBorder="0" applyAlignment="0" applyProtection="0"/>
    <xf numFmtId="44" fontId="9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1" fillId="0" borderId="0" applyFont="0" applyFill="0" applyBorder="0" applyAlignment="0" applyProtection="0"/>
    <xf numFmtId="44" fontId="121" fillId="0" borderId="0" applyFont="0" applyFill="0" applyBorder="0" applyAlignment="0" applyProtection="0"/>
    <xf numFmtId="44" fontId="120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11" fillId="0" borderId="0" applyFont="0" applyFill="0" applyBorder="0" applyAlignment="0" applyProtection="0"/>
    <xf numFmtId="42" fontId="114" fillId="0" borderId="0" applyFont="0" applyFill="0" applyBorder="0" applyAlignment="0" applyProtection="0"/>
    <xf numFmtId="44" fontId="114" fillId="0" borderId="0" applyFont="0" applyFill="0" applyBorder="0" applyAlignment="0" applyProtection="0"/>
    <xf numFmtId="42" fontId="116" fillId="0" borderId="0" applyFont="0" applyFill="0" applyBorder="0" applyAlignment="0" applyProtection="0"/>
    <xf numFmtId="44" fontId="116" fillId="0" borderId="0" applyFont="0" applyFill="0" applyBorder="0" applyAlignment="0" applyProtection="0"/>
    <xf numFmtId="204" fontId="115" fillId="0" borderId="0" applyFont="0" applyFill="0" applyBorder="0" applyAlignment="0" applyProtection="0"/>
    <xf numFmtId="0" fontId="115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204" fontId="113" fillId="0" borderId="0" applyFont="0" applyFill="0" applyBorder="0" applyAlignment="0" applyProtection="0"/>
    <xf numFmtId="205" fontId="113" fillId="0" borderId="0" applyFont="0" applyFill="0" applyBorder="0" applyAlignment="0" applyProtection="0"/>
    <xf numFmtId="0" fontId="58" fillId="0" borderId="0"/>
    <xf numFmtId="0" fontId="125" fillId="0" borderId="0">
      <alignment horizontal="center" wrapText="1"/>
      <protection locked="0"/>
    </xf>
    <xf numFmtId="0" fontId="33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201" fontId="95" fillId="0" borderId="0">
      <protection locked="0"/>
    </xf>
    <xf numFmtId="41" fontId="118" fillId="0" borderId="0" applyFont="0" applyFill="0" applyBorder="0" applyAlignment="0" applyProtection="0"/>
    <xf numFmtId="201" fontId="95" fillId="0" borderId="0">
      <protection locked="0"/>
    </xf>
    <xf numFmtId="0" fontId="118" fillId="0" borderId="0" applyFont="0" applyFill="0" applyBorder="0" applyAlignment="0" applyProtection="0"/>
    <xf numFmtId="203" fontId="127" fillId="0" borderId="0" applyFont="0" applyFill="0" applyBorder="0" applyAlignment="0" applyProtection="0"/>
    <xf numFmtId="41" fontId="118" fillId="0" borderId="0" applyFont="0" applyFill="0" applyBorder="0" applyAlignment="0" applyProtection="0"/>
    <xf numFmtId="0" fontId="119" fillId="0" borderId="0" applyFont="0" applyFill="0" applyBorder="0" applyAlignment="0" applyProtection="0"/>
    <xf numFmtId="41" fontId="118" fillId="0" borderId="0" applyFont="0" applyFill="0" applyBorder="0" applyAlignment="0" applyProtection="0"/>
    <xf numFmtId="203" fontId="119" fillId="0" borderId="0" applyFont="0" applyFill="0" applyBorder="0" applyAlignment="0" applyProtection="0"/>
    <xf numFmtId="203" fontId="93" fillId="0" borderId="0" applyFont="0" applyFill="0" applyBorder="0" applyAlignment="0" applyProtection="0"/>
    <xf numFmtId="0" fontId="120" fillId="0" borderId="0" applyFont="0" applyFill="0" applyBorder="0" applyAlignment="0" applyProtection="0"/>
    <xf numFmtId="203" fontId="93" fillId="0" borderId="0" applyFont="0" applyFill="0" applyBorder="0" applyAlignment="0" applyProtection="0"/>
    <xf numFmtId="214" fontId="33" fillId="0" borderId="0" applyFont="0" applyFill="0" applyBorder="0" applyAlignment="0" applyProtection="0"/>
    <xf numFmtId="203" fontId="9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19" fillId="0" borderId="0" applyFont="0" applyFill="0" applyBorder="0" applyAlignment="0" applyProtection="0"/>
    <xf numFmtId="41" fontId="93" fillId="0" borderId="0" applyFont="0" applyFill="0" applyBorder="0" applyAlignment="0" applyProtection="0"/>
    <xf numFmtId="41" fontId="128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93" fillId="0" borderId="0" applyFont="0" applyFill="0" applyBorder="0" applyAlignment="0" applyProtection="0"/>
    <xf numFmtId="43" fontId="119" fillId="0" borderId="0" applyFont="0" applyFill="0" applyBorder="0" applyAlignment="0" applyProtection="0"/>
    <xf numFmtId="43" fontId="118" fillId="0" borderId="0" applyFont="0" applyFill="0" applyBorder="0" applyAlignment="0" applyProtection="0"/>
    <xf numFmtId="210" fontId="119" fillId="0" borderId="0" applyFont="0" applyFill="0" applyBorder="0" applyAlignment="0" applyProtection="0"/>
    <xf numFmtId="210" fontId="93" fillId="0" borderId="0" applyFont="0" applyFill="0" applyBorder="0" applyAlignment="0" applyProtection="0"/>
    <xf numFmtId="0" fontId="119" fillId="0" borderId="0" applyFont="0" applyFill="0" applyBorder="0" applyAlignment="0" applyProtection="0"/>
    <xf numFmtId="43" fontId="118" fillId="0" borderId="0" applyFont="0" applyFill="0" applyBorder="0" applyAlignment="0" applyProtection="0"/>
    <xf numFmtId="210" fontId="119" fillId="0" borderId="0" applyFont="0" applyFill="0" applyBorder="0" applyAlignment="0" applyProtection="0"/>
    <xf numFmtId="210" fontId="93" fillId="0" borderId="0" applyFont="0" applyFill="0" applyBorder="0" applyAlignment="0" applyProtection="0"/>
    <xf numFmtId="0" fontId="120" fillId="0" borderId="0" applyFont="0" applyFill="0" applyBorder="0" applyAlignment="0" applyProtection="0"/>
    <xf numFmtId="210" fontId="93" fillId="0" borderId="0" applyFont="0" applyFill="0" applyBorder="0" applyAlignment="0" applyProtection="0"/>
    <xf numFmtId="215" fontId="33" fillId="0" borderId="0" applyFont="0" applyFill="0" applyBorder="0" applyAlignment="0" applyProtection="0"/>
    <xf numFmtId="210" fontId="93" fillId="0" borderId="0" applyFont="0" applyFill="0" applyBorder="0" applyAlignment="0" applyProtection="0"/>
    <xf numFmtId="0" fontId="119" fillId="0" borderId="0" applyFont="0" applyFill="0" applyBorder="0" applyAlignment="0" applyProtection="0"/>
    <xf numFmtId="43" fontId="93" fillId="0" borderId="0" applyFont="0" applyFill="0" applyBorder="0" applyAlignment="0" applyProtection="0"/>
    <xf numFmtId="43" fontId="128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19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129" fillId="72" borderId="0" applyNumberFormat="0" applyBorder="0" applyAlignment="0" applyProtection="0">
      <alignment vertical="center"/>
    </xf>
    <xf numFmtId="38" fontId="130" fillId="89" borderId="0" applyNumberFormat="0" applyFont="0" applyBorder="0" applyAlignment="0" applyProtection="0"/>
    <xf numFmtId="38" fontId="77" fillId="0" borderId="0" applyNumberFormat="0" applyFill="0" applyBorder="0" applyAlignment="0" applyProtection="0"/>
    <xf numFmtId="0" fontId="77" fillId="0" borderId="0" applyNumberFormat="0" applyFont="0" applyAlignment="0" applyProtection="0"/>
    <xf numFmtId="0" fontId="131" fillId="0" borderId="0"/>
    <xf numFmtId="216" fontId="132" fillId="0" borderId="0" applyFont="0" applyFill="0" applyBorder="0" applyAlignment="0" applyProtection="0">
      <alignment horizontal="right"/>
    </xf>
    <xf numFmtId="38" fontId="77" fillId="0" borderId="0"/>
    <xf numFmtId="3" fontId="133" fillId="0" borderId="0" applyNumberFormat="0" applyFill="0" applyBorder="0" applyAlignment="0" applyProtection="0">
      <alignment wrapText="1"/>
    </xf>
    <xf numFmtId="0" fontId="134" fillId="89" borderId="0" applyNumberFormat="0" applyFont="0" applyBorder="0" applyAlignment="0" applyProtection="0"/>
    <xf numFmtId="0" fontId="135" fillId="0" borderId="0" applyNumberFormat="0" applyFill="0" applyBorder="0" applyAlignment="0" applyProtection="0"/>
    <xf numFmtId="0" fontId="136" fillId="0" borderId="184"/>
    <xf numFmtId="0" fontId="33" fillId="63" borderId="0"/>
    <xf numFmtId="217" fontId="62" fillId="0" borderId="87" applyAlignment="0" applyProtection="0"/>
    <xf numFmtId="0" fontId="134" fillId="0" borderId="122" applyNumberFormat="0" applyFont="0" applyFill="0" applyAlignment="0" applyProtection="0"/>
    <xf numFmtId="0" fontId="137" fillId="91" borderId="0" applyFont="0" applyFill="0" applyBorder="0" applyAlignment="0" applyProtection="0"/>
    <xf numFmtId="0" fontId="138" fillId="0" borderId="0" applyNumberFormat="0">
      <alignment horizontal="center"/>
      <protection hidden="1"/>
    </xf>
    <xf numFmtId="218" fontId="139" fillId="0" borderId="0" applyFont="0" applyFill="0" applyBorder="0" applyAlignment="0" applyProtection="0"/>
    <xf numFmtId="0" fontId="140" fillId="0" borderId="0" applyNumberFormat="0" applyFill="0" applyBorder="0" applyProtection="0">
      <alignment horizontal="left"/>
    </xf>
    <xf numFmtId="0" fontId="141" fillId="0" borderId="0"/>
    <xf numFmtId="0" fontId="93" fillId="0" borderId="0"/>
    <xf numFmtId="0" fontId="114" fillId="0" borderId="0"/>
    <xf numFmtId="0" fontId="142" fillId="0" borderId="0"/>
    <xf numFmtId="0" fontId="143" fillId="0" borderId="0"/>
    <xf numFmtId="0" fontId="144" fillId="0" borderId="0"/>
    <xf numFmtId="0" fontId="116" fillId="0" borderId="0"/>
    <xf numFmtId="0" fontId="145" fillId="0" borderId="0"/>
    <xf numFmtId="0" fontId="146" fillId="0" borderId="0"/>
    <xf numFmtId="201" fontId="95" fillId="0" borderId="0">
      <protection locked="0"/>
    </xf>
    <xf numFmtId="0" fontId="93" fillId="0" borderId="0"/>
    <xf numFmtId="0" fontId="127" fillId="0" borderId="0"/>
    <xf numFmtId="0" fontId="147" fillId="0" borderId="0"/>
    <xf numFmtId="0" fontId="119" fillId="0" borderId="0"/>
    <xf numFmtId="0" fontId="118" fillId="0" borderId="0"/>
    <xf numFmtId="0" fontId="119" fillId="0" borderId="0"/>
    <xf numFmtId="0" fontId="148" fillId="0" borderId="0"/>
    <xf numFmtId="0" fontId="149" fillId="0" borderId="0"/>
    <xf numFmtId="0" fontId="118" fillId="0" borderId="0"/>
    <xf numFmtId="0" fontId="120" fillId="0" borderId="0"/>
    <xf numFmtId="0" fontId="148" fillId="0" borderId="0"/>
    <xf numFmtId="0" fontId="150" fillId="0" borderId="0"/>
    <xf numFmtId="0" fontId="93" fillId="0" borderId="0"/>
    <xf numFmtId="0" fontId="151" fillId="0" borderId="0"/>
    <xf numFmtId="0" fontId="152" fillId="0" borderId="0"/>
    <xf numFmtId="37" fontId="119" fillId="0" borderId="0" applyFill="0" applyBorder="0"/>
    <xf numFmtId="0" fontId="93" fillId="0" borderId="0"/>
    <xf numFmtId="0" fontId="153" fillId="0" borderId="0"/>
    <xf numFmtId="0" fontId="154" fillId="0" borderId="0"/>
    <xf numFmtId="37" fontId="119" fillId="0" borderId="0"/>
    <xf numFmtId="37" fontId="93" fillId="0" borderId="0"/>
    <xf numFmtId="0" fontId="119" fillId="0" borderId="0"/>
    <xf numFmtId="0" fontId="93" fillId="0" borderId="0"/>
    <xf numFmtId="0" fontId="33" fillId="0" borderId="0"/>
    <xf numFmtId="0" fontId="147" fillId="0" borderId="0"/>
    <xf numFmtId="0" fontId="127" fillId="0" borderId="0"/>
    <xf numFmtId="0" fontId="155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24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8" fillId="0" borderId="0"/>
    <xf numFmtId="0" fontId="119" fillId="0" borderId="0"/>
    <xf numFmtId="0" fontId="93" fillId="0" borderId="0"/>
    <xf numFmtId="0" fontId="120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19" fillId="0" borderId="0"/>
    <xf numFmtId="0" fontId="93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157" fillId="0" borderId="0"/>
    <xf numFmtId="0" fontId="156" fillId="0" borderId="0"/>
    <xf numFmtId="0" fontId="93" fillId="0" borderId="0"/>
    <xf numFmtId="0" fontId="119" fillId="0" borderId="0"/>
    <xf numFmtId="0" fontId="124" fillId="0" borderId="0"/>
    <xf numFmtId="0" fontId="33" fillId="0" borderId="0"/>
    <xf numFmtId="0" fontId="33" fillId="0" borderId="0"/>
    <xf numFmtId="0" fontId="120" fillId="0" borderId="0"/>
    <xf numFmtId="0" fontId="147" fillId="0" borderId="0"/>
    <xf numFmtId="0" fontId="127" fillId="0" borderId="0"/>
    <xf numFmtId="0" fontId="147" fillId="0" borderId="0"/>
    <xf numFmtId="0" fontId="127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47" fillId="0" borderId="0"/>
    <xf numFmtId="0" fontId="127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47" fillId="0" borderId="0"/>
    <xf numFmtId="0" fontId="127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47" fillId="0" borderId="0"/>
    <xf numFmtId="0" fontId="127" fillId="0" borderId="0"/>
    <xf numFmtId="0" fontId="147" fillId="0" borderId="0"/>
    <xf numFmtId="0" fontId="127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59" fillId="0" borderId="0"/>
    <xf numFmtId="0" fontId="160" fillId="0" borderId="0"/>
    <xf numFmtId="0" fontId="124" fillId="0" borderId="0"/>
    <xf numFmtId="219" fontId="26" fillId="0" borderId="0" applyFill="0" applyBorder="0" applyAlignment="0"/>
    <xf numFmtId="0" fontId="11" fillId="0" borderId="0" applyFill="0" applyBorder="0" applyAlignment="0"/>
    <xf numFmtId="0" fontId="33" fillId="0" borderId="0" applyFill="0" applyBorder="0" applyAlignment="0"/>
    <xf numFmtId="0" fontId="11" fillId="0" borderId="0" applyFill="0" applyBorder="0" applyAlignment="0"/>
    <xf numFmtId="220" fontId="26" fillId="0" borderId="0" applyFill="0" applyBorder="0" applyAlignment="0"/>
    <xf numFmtId="0" fontId="33" fillId="0" borderId="0" applyFill="0" applyBorder="0" applyAlignment="0"/>
    <xf numFmtId="221" fontId="26" fillId="0" borderId="0" applyFill="0" applyBorder="0" applyAlignment="0"/>
    <xf numFmtId="0" fontId="33" fillId="0" borderId="0" applyFill="0" applyBorder="0" applyAlignment="0"/>
    <xf numFmtId="222" fontId="26" fillId="0" borderId="0" applyFill="0" applyBorder="0" applyAlignment="0"/>
    <xf numFmtId="223" fontId="26" fillId="0" borderId="0" applyFill="0" applyBorder="0" applyAlignment="0"/>
    <xf numFmtId="0" fontId="33" fillId="0" borderId="0" applyFill="0" applyBorder="0" applyAlignment="0"/>
    <xf numFmtId="219" fontId="26" fillId="0" borderId="0" applyFill="0" applyBorder="0" applyAlignment="0"/>
    <xf numFmtId="0" fontId="33" fillId="0" borderId="0" applyFill="0" applyBorder="0" applyAlignment="0"/>
    <xf numFmtId="224" fontId="26" fillId="0" borderId="0" applyFill="0" applyBorder="0" applyAlignment="0"/>
    <xf numFmtId="0" fontId="33" fillId="0" borderId="0" applyFill="0" applyBorder="0" applyAlignment="0"/>
    <xf numFmtId="220" fontId="26" fillId="0" borderId="0" applyFill="0" applyBorder="0" applyAlignment="0"/>
    <xf numFmtId="0" fontId="161" fillId="70" borderId="185" applyNumberFormat="0" applyAlignment="0" applyProtection="0">
      <alignment vertical="center"/>
    </xf>
    <xf numFmtId="0" fontId="161" fillId="70" borderId="185" applyNumberFormat="0" applyAlignment="0" applyProtection="0">
      <alignment vertical="center"/>
    </xf>
    <xf numFmtId="225" fontId="162" fillId="92" borderId="0" applyNumberFormat="0" applyFont="0" applyBorder="0" applyAlignment="0">
      <alignment horizontal="left"/>
    </xf>
    <xf numFmtId="0" fontId="163" fillId="66" borderId="0" applyNumberFormat="0" applyBorder="0" applyAlignment="0" applyProtection="0"/>
    <xf numFmtId="0" fontId="163" fillId="93" borderId="0"/>
    <xf numFmtId="0" fontId="164" fillId="0" borderId="0" applyNumberFormat="0" applyBorder="0" applyAlignment="0" applyProtection="0"/>
    <xf numFmtId="0" fontId="165" fillId="0" borderId="0"/>
    <xf numFmtId="0" fontId="166" fillId="13" borderId="186" applyNumberFormat="0" applyAlignment="0" applyProtection="0">
      <alignment vertical="center"/>
    </xf>
    <xf numFmtId="0" fontId="82" fillId="0" borderId="0">
      <alignment vertical="center"/>
    </xf>
    <xf numFmtId="0" fontId="167" fillId="0" borderId="0" applyNumberFormat="0" applyFill="0" applyBorder="0" applyAlignment="0" applyProtection="0">
      <alignment vertical="top"/>
      <protection locked="0"/>
    </xf>
    <xf numFmtId="9" fontId="115" fillId="0" borderId="0" applyFont="0" applyFill="0" applyBorder="0" applyAlignment="0" applyProtection="0"/>
    <xf numFmtId="0" fontId="168" fillId="67" borderId="187">
      <alignment horizontal="center" wrapText="1"/>
    </xf>
    <xf numFmtId="0" fontId="169" fillId="63" borderId="0" applyNumberFormat="0">
      <alignment horizontal="center"/>
    </xf>
    <xf numFmtId="203" fontId="69" fillId="0" borderId="0" applyFont="0" applyFill="0" applyBorder="0" applyAlignment="0" applyProtection="0"/>
    <xf numFmtId="0" fontId="170" fillId="0" borderId="0" applyNumberFormat="0" applyFill="0" applyBorder="0" applyProtection="0">
      <alignment horizontal="right"/>
    </xf>
    <xf numFmtId="4" fontId="68" fillId="0" borderId="0">
      <protection locked="0"/>
    </xf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226" fontId="171" fillId="0" borderId="0"/>
    <xf numFmtId="0" fontId="83" fillId="0" borderId="188"/>
    <xf numFmtId="226" fontId="171" fillId="0" borderId="0"/>
    <xf numFmtId="227" fontId="55" fillId="0" borderId="0"/>
    <xf numFmtId="226" fontId="171" fillId="0" borderId="0"/>
    <xf numFmtId="227" fontId="55" fillId="0" borderId="0"/>
    <xf numFmtId="226" fontId="171" fillId="0" borderId="0"/>
    <xf numFmtId="227" fontId="55" fillId="0" borderId="0"/>
    <xf numFmtId="226" fontId="171" fillId="0" borderId="0"/>
    <xf numFmtId="227" fontId="55" fillId="0" borderId="0"/>
    <xf numFmtId="226" fontId="171" fillId="0" borderId="0"/>
    <xf numFmtId="227" fontId="55" fillId="0" borderId="0"/>
    <xf numFmtId="226" fontId="171" fillId="0" borderId="0"/>
    <xf numFmtId="227" fontId="55" fillId="0" borderId="0"/>
    <xf numFmtId="226" fontId="171" fillId="0" borderId="0"/>
    <xf numFmtId="227" fontId="5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3" fontId="58" fillId="0" borderId="0" applyFont="0" applyFill="0" applyBorder="0" applyAlignment="0" applyProtection="0"/>
    <xf numFmtId="0" fontId="53" fillId="0" borderId="0" applyFont="0" applyFill="0" applyBorder="0" applyAlignment="0" applyProtection="0"/>
    <xf numFmtId="203" fontId="33" fillId="0" borderId="0" applyFont="0" applyFill="0" applyBorder="0" applyAlignment="0" applyProtection="0"/>
    <xf numFmtId="228" fontId="172" fillId="0" borderId="0" applyFont="0" applyFill="0" applyBorder="0" applyAlignment="0" applyProtection="0"/>
    <xf numFmtId="219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29" fontId="139" fillId="0" borderId="0" applyFont="0" applyFill="0" applyBorder="0" applyAlignment="0" applyProtection="0">
      <alignment horizontal="right"/>
    </xf>
    <xf numFmtId="230" fontId="139" fillId="0" borderId="0" applyFont="0" applyFill="0" applyBorder="0" applyAlignment="0" applyProtection="0">
      <alignment horizontal="right"/>
    </xf>
    <xf numFmtId="0" fontId="55" fillId="0" borderId="0">
      <protection locked="0"/>
    </xf>
    <xf numFmtId="0" fontId="55" fillId="0" borderId="0">
      <protection locked="0"/>
    </xf>
    <xf numFmtId="0" fontId="55" fillId="0" borderId="0">
      <protection locked="0"/>
    </xf>
    <xf numFmtId="231" fontId="85" fillId="0" borderId="0"/>
    <xf numFmtId="232" fontId="55" fillId="0" borderId="0"/>
    <xf numFmtId="210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83" fillId="0" borderId="0"/>
    <xf numFmtId="3" fontId="33" fillId="0" borderId="0" applyFont="0" applyFill="0" applyBorder="0" applyAlignment="0" applyProtection="0"/>
    <xf numFmtId="3" fontId="33" fillId="0" borderId="0" applyFont="0" applyFill="0" applyBorder="0" applyAlignment="0" applyProtection="0"/>
    <xf numFmtId="0" fontId="174" fillId="0" borderId="0" applyNumberFormat="0" applyFill="0" applyBorder="0" applyAlignment="0" applyProtection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83" fillId="0" borderId="0"/>
    <xf numFmtId="0" fontId="175" fillId="0" borderId="122" applyProtection="0">
      <alignment horizontal="center" vertical="top" wrapText="1"/>
      <protection hidden="1"/>
    </xf>
    <xf numFmtId="210" fontId="33" fillId="0" borderId="0" applyFont="0" applyFill="0" applyBorder="0" applyAlignment="0" applyProtection="0"/>
    <xf numFmtId="0" fontId="176" fillId="0" borderId="0" applyNumberFormat="0" applyAlignment="0">
      <alignment horizontal="left"/>
    </xf>
    <xf numFmtId="0" fontId="81" fillId="0" borderId="0" applyNumberFormat="0" applyAlignment="0"/>
    <xf numFmtId="233" fontId="55" fillId="0" borderId="0" applyFont="0" applyFill="0" applyBorder="0" applyAlignment="0" applyProtection="0"/>
    <xf numFmtId="0" fontId="83" fillId="0" borderId="188"/>
    <xf numFmtId="0" fontId="82" fillId="0" borderId="0" applyFont="0" applyFill="0" applyBorder="0" applyAlignment="0" applyProtection="0"/>
    <xf numFmtId="234" fontId="55" fillId="0" borderId="0" applyFont="0" applyFill="0" applyBorder="0" applyAlignment="0" applyProtection="0"/>
    <xf numFmtId="0" fontId="69" fillId="0" borderId="0" applyFont="0" applyFill="0" applyBorder="0" applyAlignment="0" applyProtection="0"/>
    <xf numFmtId="235" fontId="68" fillId="0" borderId="0">
      <protection locked="0"/>
    </xf>
    <xf numFmtId="0" fontId="77" fillId="0" borderId="189" applyFont="0" applyFill="0" applyBorder="0" applyAlignment="0" applyProtection="0"/>
    <xf numFmtId="236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/>
    <xf numFmtId="22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7" fillId="0" borderId="0" applyFont="0" applyFill="0" applyBorder="0" applyAlignment="0"/>
    <xf numFmtId="0" fontId="33" fillId="0" borderId="0" applyFont="0" applyFill="0" applyBorder="0" applyAlignment="0"/>
    <xf numFmtId="237" fontId="139" fillId="0" borderId="0" applyFont="0" applyFill="0" applyBorder="0" applyAlignment="0" applyProtection="0">
      <alignment horizontal="right"/>
    </xf>
    <xf numFmtId="238" fontId="139" fillId="0" borderId="0" applyFont="0" applyFill="0" applyBorder="0" applyAlignment="0" applyProtection="0">
      <alignment horizontal="right"/>
    </xf>
    <xf numFmtId="0" fontId="55" fillId="0" borderId="0">
      <protection locked="0"/>
    </xf>
    <xf numFmtId="0" fontId="55" fillId="0" borderId="0">
      <protection locked="0"/>
    </xf>
    <xf numFmtId="0" fontId="55" fillId="0" borderId="0">
      <protection locked="0"/>
    </xf>
    <xf numFmtId="239" fontId="55" fillId="0" borderId="122" applyFill="0" applyBorder="0" applyAlignment="0"/>
    <xf numFmtId="200" fontId="33" fillId="0" borderId="0" applyFont="0" applyFill="0" applyBorder="0" applyAlignment="0" applyProtection="0"/>
    <xf numFmtId="240" fontId="77" fillId="0" borderId="189" applyFont="0" applyFill="0" applyBorder="0" applyAlignment="0" applyProtection="0"/>
    <xf numFmtId="241" fontId="177" fillId="0" borderId="0" applyFont="0" applyFill="0" applyBorder="0" applyAlignment="0" applyProtection="0"/>
    <xf numFmtId="0" fontId="11" fillId="0" borderId="0" applyFont="0" applyFill="0" applyBorder="0" applyAlignment="0" applyProtection="0"/>
    <xf numFmtId="242" fontId="33" fillId="0" borderId="0" applyFont="0" applyFill="0" applyBorder="0" applyAlignment="0" applyProtection="0"/>
    <xf numFmtId="232" fontId="11" fillId="0" borderId="0" applyFont="0" applyFill="0" applyBorder="0" applyAlignment="0" applyProtection="0"/>
    <xf numFmtId="243" fontId="11" fillId="0" borderId="0"/>
    <xf numFmtId="244" fontId="55" fillId="0" borderId="0"/>
    <xf numFmtId="0" fontId="85" fillId="0" borderId="0"/>
    <xf numFmtId="0" fontId="11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23" fillId="0" borderId="0"/>
    <xf numFmtId="0" fontId="178" fillId="0" borderId="190">
      <alignment horizontal="center" vertical="center"/>
    </xf>
    <xf numFmtId="200" fontId="33" fillId="0" borderId="0" applyBorder="0">
      <alignment horizontal="right"/>
    </xf>
    <xf numFmtId="200" fontId="33" fillId="0" borderId="0" applyBorder="0">
      <alignment horizontal="right"/>
    </xf>
    <xf numFmtId="39" fontId="112" fillId="0" borderId="0">
      <alignment horizontal="right"/>
    </xf>
    <xf numFmtId="200" fontId="33" fillId="0" borderId="0" applyBorder="0">
      <alignment horizontal="right"/>
    </xf>
    <xf numFmtId="200" fontId="33" fillId="0" borderId="0" applyBorder="0">
      <alignment horizontal="right"/>
    </xf>
    <xf numFmtId="39" fontId="112" fillId="0" borderId="0">
      <alignment horizontal="right"/>
    </xf>
    <xf numFmtId="200" fontId="33" fillId="0" borderId="0" applyBorder="0">
      <alignment horizontal="right"/>
    </xf>
    <xf numFmtId="200" fontId="33" fillId="0" borderId="0" applyBorder="0">
      <alignment horizontal="right"/>
    </xf>
    <xf numFmtId="200" fontId="33" fillId="0" borderId="0" applyBorder="0">
      <alignment horizontal="right"/>
    </xf>
    <xf numFmtId="200" fontId="33" fillId="0" borderId="0" applyBorder="0">
      <alignment horizontal="right"/>
    </xf>
    <xf numFmtId="200" fontId="33" fillId="0" borderId="0" applyBorder="0">
      <alignment horizontal="right"/>
    </xf>
    <xf numFmtId="200" fontId="33" fillId="0" borderId="0" applyBorder="0">
      <alignment horizontal="right"/>
    </xf>
    <xf numFmtId="0" fontId="178" fillId="0" borderId="190">
      <alignment horizontal="center" vertical="center"/>
    </xf>
    <xf numFmtId="39" fontId="112" fillId="0" borderId="0">
      <alignment horizontal="right"/>
    </xf>
    <xf numFmtId="15" fontId="85" fillId="0" borderId="0" applyFont="0" applyFill="0" applyBorder="0" applyAlignment="0" applyProtection="0"/>
    <xf numFmtId="15" fontId="179" fillId="0" borderId="0" applyFill="0" applyBorder="0" applyAlignment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179" fillId="67" borderId="0" applyFont="0" applyFill="0" applyBorder="0" applyAlignment="0" applyProtection="0"/>
    <xf numFmtId="0" fontId="134" fillId="67" borderId="178" applyFont="0" applyFill="0" applyBorder="0" applyAlignment="0" applyProtection="0"/>
    <xf numFmtId="0" fontId="77" fillId="67" borderId="0" applyFont="0" applyFill="0" applyBorder="0" applyAlignment="0" applyProtection="0"/>
    <xf numFmtId="0" fontId="77" fillId="67" borderId="0" applyFont="0" applyFill="0" applyBorder="0" applyAlignment="0" applyProtection="0"/>
    <xf numFmtId="17" fontId="179" fillId="0" borderId="0" applyFill="0" applyBorder="0">
      <alignment horizontal="right"/>
    </xf>
    <xf numFmtId="0" fontId="179" fillId="0" borderId="86"/>
    <xf numFmtId="0" fontId="126" fillId="0" borderId="0" applyProtection="0"/>
    <xf numFmtId="0" fontId="126" fillId="0" borderId="0" applyProtection="0"/>
    <xf numFmtId="245" fontId="55" fillId="0" borderId="0">
      <protection locked="0"/>
    </xf>
    <xf numFmtId="0" fontId="139" fillId="0" borderId="0" applyFont="0" applyFill="0" applyBorder="0" applyAlignment="0" applyProtection="0"/>
    <xf numFmtId="246" fontId="139" fillId="0" borderId="0" applyFont="0" applyFill="0" applyBorder="0" applyAlignment="0" applyProtection="0"/>
    <xf numFmtId="14" fontId="26" fillId="0" borderId="0" applyFill="0" applyBorder="0" applyAlignment="0"/>
    <xf numFmtId="247" fontId="55" fillId="0" borderId="0">
      <protection locked="0"/>
    </xf>
    <xf numFmtId="0" fontId="77" fillId="0" borderId="0" applyFill="0" applyBorder="0">
      <alignment horizontal="right"/>
    </xf>
    <xf numFmtId="0" fontId="33" fillId="0" borderId="76">
      <alignment horizontal="center"/>
    </xf>
    <xf numFmtId="248" fontId="57" fillId="0" borderId="0" applyFill="0" applyProtection="0">
      <alignment vertical="center"/>
    </xf>
    <xf numFmtId="249" fontId="67" fillId="0" borderId="0" applyFill="0" applyBorder="0" applyProtection="0">
      <alignment horizontal="center" vertical="center" wrapText="1"/>
      <protection locked="0"/>
    </xf>
    <xf numFmtId="249" fontId="67" fillId="0" borderId="0" applyFill="0" applyBorder="0" applyProtection="0">
      <alignment horizontal="center" vertical="center" wrapText="1"/>
      <protection locked="0"/>
    </xf>
    <xf numFmtId="249" fontId="67" fillId="0" borderId="0" applyFill="0" applyBorder="0" applyProtection="0">
      <alignment horizontal="center" vertical="center" wrapText="1"/>
      <protection locked="0"/>
    </xf>
    <xf numFmtId="249" fontId="67" fillId="0" borderId="0" applyFill="0" applyBorder="0" applyProtection="0">
      <alignment horizontal="center" vertical="center" wrapText="1"/>
      <protection locked="0"/>
    </xf>
    <xf numFmtId="249" fontId="67" fillId="0" borderId="0" applyFill="0" applyBorder="0" applyProtection="0">
      <alignment horizontal="center" vertical="center" wrapText="1"/>
      <protection locked="0"/>
    </xf>
    <xf numFmtId="38" fontId="77" fillId="0" borderId="122" applyFont="0" applyFill="0" applyBorder="0" applyAlignment="0" applyProtection="0"/>
    <xf numFmtId="0" fontId="77" fillId="0" borderId="0" applyFont="0" applyFill="0" applyBorder="0" applyAlignment="0" applyProtection="0"/>
    <xf numFmtId="40" fontId="77" fillId="0" borderId="122" applyFont="0" applyFill="0" applyBorder="0" applyAlignment="0" applyProtection="0"/>
    <xf numFmtId="0" fontId="134" fillId="0" borderId="0" applyFont="0" applyFill="0" applyBorder="0" applyAlignment="0" applyProtection="0"/>
    <xf numFmtId="250" fontId="33" fillId="0" borderId="191">
      <alignment vertical="center"/>
    </xf>
    <xf numFmtId="38" fontId="58" fillId="0" borderId="0" applyFont="0" applyFill="0" applyBorder="0" applyAlignment="0" applyProtection="0"/>
    <xf numFmtId="40" fontId="58" fillId="0" borderId="0" applyFont="0" applyFill="0" applyBorder="0" applyAlignment="0" applyProtection="0"/>
    <xf numFmtId="0" fontId="68" fillId="0" borderId="0">
      <protection locked="0"/>
    </xf>
    <xf numFmtId="251" fontId="11" fillId="0" borderId="0"/>
    <xf numFmtId="252" fontId="55" fillId="0" borderId="0"/>
    <xf numFmtId="0" fontId="77" fillId="0" borderId="0"/>
    <xf numFmtId="0" fontId="139" fillId="0" borderId="192" applyNumberFormat="0" applyFont="0" applyFill="0" applyAlignment="0" applyProtection="0"/>
    <xf numFmtId="253" fontId="139" fillId="0" borderId="192" applyNumberFormat="0" applyFont="0" applyFill="0" applyAlignment="0" applyProtection="0"/>
    <xf numFmtId="0" fontId="180" fillId="0" borderId="0" applyFill="0" applyBorder="0" applyAlignment="0" applyProtection="0"/>
    <xf numFmtId="202" fontId="180" fillId="0" borderId="0" applyFill="0" applyBorder="0" applyAlignment="0" applyProtection="0"/>
    <xf numFmtId="0" fontId="181" fillId="0" borderId="0"/>
    <xf numFmtId="0" fontId="182" fillId="0" borderId="193" applyFill="0" applyBorder="0" applyAlignment="0"/>
    <xf numFmtId="37" fontId="33" fillId="0" borderId="0"/>
    <xf numFmtId="0" fontId="134" fillId="67" borderId="0" applyNumberFormat="0" applyFont="0" applyBorder="0" applyAlignment="0" applyProtection="0"/>
    <xf numFmtId="0" fontId="183" fillId="0" borderId="0">
      <protection locked="0"/>
    </xf>
    <xf numFmtId="0" fontId="183" fillId="0" borderId="0">
      <protection locked="0"/>
    </xf>
    <xf numFmtId="219" fontId="133" fillId="0" borderId="0" applyFill="0" applyBorder="0" applyAlignment="0"/>
    <xf numFmtId="0" fontId="33" fillId="0" borderId="0" applyFill="0" applyBorder="0" applyAlignment="0"/>
    <xf numFmtId="220" fontId="133" fillId="0" borderId="0" applyFill="0" applyBorder="0" applyAlignment="0"/>
    <xf numFmtId="0" fontId="33" fillId="0" borderId="0" applyFill="0" applyBorder="0" applyAlignment="0"/>
    <xf numFmtId="219" fontId="133" fillId="0" borderId="0" applyFill="0" applyBorder="0" applyAlignment="0"/>
    <xf numFmtId="0" fontId="33" fillId="0" borderId="0" applyFill="0" applyBorder="0" applyAlignment="0"/>
    <xf numFmtId="224" fontId="133" fillId="0" borderId="0" applyFill="0" applyBorder="0" applyAlignment="0"/>
    <xf numFmtId="0" fontId="33" fillId="0" borderId="0" applyFill="0" applyBorder="0" applyAlignment="0"/>
    <xf numFmtId="220" fontId="133" fillId="0" borderId="0" applyFill="0" applyBorder="0" applyAlignment="0"/>
    <xf numFmtId="0" fontId="33" fillId="0" borderId="0" applyFill="0" applyBorder="0" applyAlignment="0"/>
    <xf numFmtId="0" fontId="184" fillId="0" borderId="0" applyNumberFormat="0" applyAlignment="0">
      <alignment horizontal="left"/>
    </xf>
    <xf numFmtId="0" fontId="185" fillId="0" borderId="0">
      <alignment horizontal="left"/>
    </xf>
    <xf numFmtId="254" fontId="11" fillId="0" borderId="0" applyFont="0" applyFill="0" applyBorder="0" applyAlignment="0" applyProtection="0"/>
    <xf numFmtId="255" fontId="33" fillId="0" borderId="0" applyFont="0" applyFill="0" applyBorder="0" applyAlignment="0" applyProtection="0"/>
    <xf numFmtId="0" fontId="33" fillId="0" borderId="194" applyNumberFormat="0" applyFont="0" applyFill="0" applyAlignment="0" applyProtection="0"/>
    <xf numFmtId="0" fontId="186" fillId="0" borderId="0" applyNumberFormat="0" applyFill="0" applyBorder="0" applyAlignment="0" applyProtection="0">
      <alignment vertical="center"/>
    </xf>
    <xf numFmtId="256" fontId="33" fillId="0" borderId="0" applyBorder="0"/>
    <xf numFmtId="0" fontId="68" fillId="0" borderId="0">
      <protection locked="0"/>
    </xf>
    <xf numFmtId="257" fontId="68" fillId="0" borderId="0">
      <protection locked="0"/>
    </xf>
    <xf numFmtId="0" fontId="68" fillId="0" borderId="0">
      <protection locked="0"/>
    </xf>
    <xf numFmtId="257" fontId="68" fillId="0" borderId="0">
      <protection locked="0"/>
    </xf>
    <xf numFmtId="0" fontId="187" fillId="0" borderId="0">
      <protection locked="0"/>
    </xf>
    <xf numFmtId="257" fontId="187" fillId="0" borderId="0">
      <protection locked="0"/>
    </xf>
    <xf numFmtId="0" fontId="68" fillId="0" borderId="0">
      <protection locked="0"/>
    </xf>
    <xf numFmtId="257" fontId="68" fillId="0" borderId="0">
      <protection locked="0"/>
    </xf>
    <xf numFmtId="0" fontId="68" fillId="0" borderId="0">
      <protection locked="0"/>
    </xf>
    <xf numFmtId="257" fontId="68" fillId="0" borderId="0">
      <protection locked="0"/>
    </xf>
    <xf numFmtId="0" fontId="68" fillId="0" borderId="0">
      <protection locked="0"/>
    </xf>
    <xf numFmtId="257" fontId="68" fillId="0" borderId="0">
      <protection locked="0"/>
    </xf>
    <xf numFmtId="0" fontId="187" fillId="0" borderId="0">
      <protection locked="0"/>
    </xf>
    <xf numFmtId="257" fontId="187" fillId="0" borderId="0">
      <protection locked="0"/>
    </xf>
    <xf numFmtId="0" fontId="68" fillId="0" borderId="0">
      <protection locked="0"/>
    </xf>
    <xf numFmtId="0" fontId="68" fillId="0" borderId="0">
      <protection locked="0"/>
    </xf>
    <xf numFmtId="258" fontId="68" fillId="0" borderId="0">
      <protection locked="0"/>
    </xf>
    <xf numFmtId="0" fontId="33" fillId="67" borderId="0" applyFont="0" applyFill="0" applyBorder="0" applyAlignment="0"/>
    <xf numFmtId="2" fontId="126" fillId="0" borderId="0" applyProtection="0"/>
    <xf numFmtId="2" fontId="126" fillId="0" borderId="0" applyProtection="0"/>
    <xf numFmtId="245" fontId="55" fillId="0" borderId="0">
      <protection locked="0"/>
    </xf>
    <xf numFmtId="2" fontId="33" fillId="0" borderId="0" applyFont="0" applyFill="0" applyBorder="0" applyAlignment="0" applyProtection="0"/>
    <xf numFmtId="0" fontId="188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/>
    <xf numFmtId="0" fontId="191" fillId="0" borderId="0" applyFill="0" applyBorder="0" applyProtection="0">
      <alignment horizontal="left"/>
    </xf>
    <xf numFmtId="2" fontId="192" fillId="0" borderId="0">
      <alignment horizontal="left"/>
    </xf>
    <xf numFmtId="38" fontId="77" fillId="0" borderId="195" applyNumberFormat="0" applyFont="0" applyFill="0" applyAlignment="0" applyProtection="0">
      <alignment horizontal="right"/>
    </xf>
    <xf numFmtId="38" fontId="77" fillId="0" borderId="195" applyNumberFormat="0" applyFont="0" applyFill="0" applyAlignment="0" applyProtection="0">
      <alignment horizontal="right"/>
    </xf>
    <xf numFmtId="38" fontId="77" fillId="0" borderId="195" applyNumberFormat="0" applyFont="0" applyFill="0" applyAlignment="0" applyProtection="0">
      <alignment horizontal="right"/>
    </xf>
    <xf numFmtId="0" fontId="77" fillId="67" borderId="122" applyNumberFormat="0" applyFont="0" applyAlignment="0" applyProtection="0">
      <alignment horizontal="center"/>
    </xf>
    <xf numFmtId="0" fontId="193" fillId="0" borderId="0" applyFont="0" applyFill="0" applyBorder="0" applyAlignment="0" applyProtection="0">
      <alignment horizontal="right"/>
    </xf>
    <xf numFmtId="259" fontId="194" fillId="0" borderId="196" applyNumberFormat="0" applyAlignment="0"/>
    <xf numFmtId="0" fontId="195" fillId="73" borderId="0" applyNumberFormat="0" applyBorder="0" applyAlignment="0" applyProtection="0">
      <alignment vertical="center"/>
    </xf>
    <xf numFmtId="0" fontId="132" fillId="0" borderId="0">
      <alignment horizontal="left" indent="2"/>
    </xf>
    <xf numFmtId="38" fontId="77" fillId="63" borderId="0" applyNumberFormat="0" applyBorder="0" applyAlignment="0" applyProtection="0"/>
    <xf numFmtId="38" fontId="77" fillId="94" borderId="0" applyNumberFormat="0" applyBorder="0" applyAlignment="0" applyProtection="0"/>
    <xf numFmtId="38" fontId="196" fillId="63" borderId="87" applyNumberFormat="0" applyBorder="0" applyAlignment="0" applyProtection="0">
      <protection hidden="1"/>
    </xf>
    <xf numFmtId="38" fontId="197" fillId="63" borderId="0" applyNumberFormat="0" applyBorder="0" applyAlignment="0" applyProtection="0"/>
    <xf numFmtId="0" fontId="33" fillId="0" borderId="0" applyFill="0" applyBorder="0" applyAlignment="0" applyProtection="0"/>
    <xf numFmtId="260" fontId="139" fillId="0" borderId="0" applyFont="0" applyFill="0" applyBorder="0" applyAlignment="0" applyProtection="0">
      <alignment horizontal="right"/>
    </xf>
    <xf numFmtId="0" fontId="198" fillId="0" borderId="0" applyNumberFormat="0" applyFill="0" applyBorder="0" applyAlignment="0" applyProtection="0">
      <alignment horizontal="left"/>
    </xf>
    <xf numFmtId="0" fontId="199" fillId="0" borderId="0" applyNumberFormat="0" applyFill="0" applyBorder="0" applyAlignment="0" applyProtection="0">
      <alignment horizontal="left"/>
    </xf>
    <xf numFmtId="0" fontId="200" fillId="0" borderId="0" applyNumberFormat="0" applyFill="0" applyBorder="0" applyAlignment="0" applyProtection="0">
      <alignment horizontal="left"/>
    </xf>
    <xf numFmtId="0" fontId="201" fillId="0" borderId="0" applyNumberFormat="0" applyFill="0" applyBorder="0" applyAlignment="0" applyProtection="0">
      <alignment horizontal="left"/>
    </xf>
    <xf numFmtId="0" fontId="202" fillId="0" borderId="0" applyNumberFormat="0" applyFill="0" applyBorder="0" applyAlignment="0" applyProtection="0">
      <alignment horizontal="left"/>
    </xf>
    <xf numFmtId="0" fontId="203" fillId="0" borderId="0" applyNumberFormat="0" applyFill="0" applyBorder="0" applyAlignment="0" applyProtection="0">
      <alignment horizontal="left"/>
    </xf>
    <xf numFmtId="0" fontId="204" fillId="0" borderId="0" applyNumberFormat="0" applyFill="0" applyBorder="0" applyAlignment="0" applyProtection="0">
      <alignment horizontal="left"/>
    </xf>
    <xf numFmtId="0" fontId="205" fillId="0" borderId="0" applyNumberFormat="0" applyFill="0" applyBorder="0" applyAlignment="0" applyProtection="0">
      <alignment horizontal="left"/>
    </xf>
    <xf numFmtId="0" fontId="206" fillId="0" borderId="0" applyNumberFormat="0" applyFill="0" applyBorder="0" applyAlignment="0" applyProtection="0">
      <alignment horizontal="left"/>
    </xf>
    <xf numFmtId="0" fontId="207" fillId="0" borderId="0">
      <alignment horizontal="left"/>
    </xf>
    <xf numFmtId="0" fontId="208" fillId="0" borderId="77" applyNumberFormat="0" applyAlignment="0" applyProtection="0">
      <alignment horizontal="left" vertical="center"/>
    </xf>
    <xf numFmtId="0" fontId="208" fillId="0" borderId="179">
      <alignment horizontal="left" vertical="center"/>
    </xf>
    <xf numFmtId="0" fontId="208" fillId="0" borderId="179">
      <alignment horizontal="left" vertical="center"/>
    </xf>
    <xf numFmtId="14" fontId="169" fillId="68" borderId="56">
      <alignment horizontal="center" vertical="center" wrapText="1"/>
    </xf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10" fillId="0" borderId="0" applyProtection="0">
      <alignment horizontal="left"/>
    </xf>
    <xf numFmtId="0" fontId="211" fillId="0" borderId="197" applyNumberFormat="0" applyFill="0" applyAlignment="0" applyProtection="0">
      <alignment vertical="center"/>
    </xf>
    <xf numFmtId="0" fontId="212" fillId="0" borderId="0" applyProtection="0">
      <alignment horizontal="left"/>
    </xf>
    <xf numFmtId="0" fontId="211" fillId="0" borderId="0" applyNumberFormat="0" applyFill="0" applyBorder="0" applyAlignment="0" applyProtection="0">
      <alignment vertical="center"/>
    </xf>
    <xf numFmtId="0" fontId="213" fillId="0" borderId="0">
      <alignment horizontal="center"/>
    </xf>
    <xf numFmtId="0" fontId="214" fillId="0" borderId="0"/>
    <xf numFmtId="0" fontId="169" fillId="0" borderId="0" applyNumberFormat="0" applyFill="0"/>
    <xf numFmtId="0" fontId="179" fillId="0" borderId="179" applyNumberFormat="0">
      <alignment horizontal="right" wrapText="1"/>
    </xf>
    <xf numFmtId="0" fontId="209" fillId="0" borderId="0" applyProtection="0"/>
    <xf numFmtId="245" fontId="55" fillId="0" borderId="0">
      <protection locked="0"/>
    </xf>
    <xf numFmtId="0" fontId="183" fillId="0" borderId="0">
      <protection locked="0"/>
    </xf>
    <xf numFmtId="0" fontId="208" fillId="0" borderId="0" applyProtection="0"/>
    <xf numFmtId="245" fontId="55" fillId="0" borderId="0">
      <protection locked="0"/>
    </xf>
    <xf numFmtId="0" fontId="215" fillId="0" borderId="0">
      <alignment horizontal="left"/>
    </xf>
    <xf numFmtId="0" fontId="216" fillId="0" borderId="56">
      <alignment horizontal="center"/>
    </xf>
    <xf numFmtId="0" fontId="216" fillId="0" borderId="0">
      <alignment horizontal="center"/>
    </xf>
    <xf numFmtId="0" fontId="33" fillId="63" borderId="54" applyNumberFormat="0" applyFont="0" applyBorder="0" applyAlignment="0" applyProtection="0"/>
    <xf numFmtId="0" fontId="217" fillId="95" borderId="0" applyFont="0" applyAlignment="0">
      <alignment horizontal="left"/>
    </xf>
    <xf numFmtId="0" fontId="33" fillId="0" borderId="0">
      <alignment horizontal="center"/>
    </xf>
    <xf numFmtId="0" fontId="218" fillId="0" borderId="0" applyNumberFormat="0" applyFill="0" applyBorder="0" applyAlignment="0" applyProtection="0">
      <alignment vertical="top"/>
      <protection locked="0"/>
    </xf>
    <xf numFmtId="0" fontId="219" fillId="0" borderId="0" applyNumberFormat="0" applyFill="0" applyBorder="0" applyAlignment="0" applyProtection="0"/>
    <xf numFmtId="202" fontId="33" fillId="0" borderId="0" applyBorder="0"/>
    <xf numFmtId="202" fontId="33" fillId="0" borderId="0" applyBorder="0"/>
    <xf numFmtId="37" fontId="112" fillId="0" borderId="0" applyBorder="0"/>
    <xf numFmtId="202" fontId="33" fillId="0" borderId="0" applyBorder="0"/>
    <xf numFmtId="202" fontId="33" fillId="0" borderId="0" applyBorder="0"/>
    <xf numFmtId="37" fontId="112" fillId="0" borderId="0" applyBorder="0"/>
    <xf numFmtId="202" fontId="33" fillId="0" borderId="0" applyBorder="0"/>
    <xf numFmtId="202" fontId="33" fillId="0" borderId="0" applyBorder="0"/>
    <xf numFmtId="202" fontId="33" fillId="0" borderId="0" applyBorder="0"/>
    <xf numFmtId="202" fontId="33" fillId="0" borderId="0" applyBorder="0"/>
    <xf numFmtId="202" fontId="33" fillId="0" borderId="0" applyBorder="0"/>
    <xf numFmtId="37" fontId="112" fillId="0" borderId="0" applyBorder="0"/>
    <xf numFmtId="259" fontId="220" fillId="0" borderId="0"/>
    <xf numFmtId="259" fontId="220" fillId="0" borderId="0"/>
    <xf numFmtId="259" fontId="220" fillId="0" borderId="0"/>
    <xf numFmtId="259" fontId="220" fillId="0" borderId="0"/>
    <xf numFmtId="259" fontId="220" fillId="0" borderId="0"/>
    <xf numFmtId="259" fontId="220" fillId="0" borderId="0"/>
    <xf numFmtId="259" fontId="220" fillId="0" borderId="0"/>
    <xf numFmtId="259" fontId="220" fillId="0" borderId="0"/>
    <xf numFmtId="259" fontId="220" fillId="0" borderId="0"/>
    <xf numFmtId="259" fontId="220" fillId="0" borderId="0"/>
    <xf numFmtId="259" fontId="220" fillId="0" borderId="0"/>
    <xf numFmtId="0" fontId="220" fillId="0" borderId="0"/>
    <xf numFmtId="205" fontId="55" fillId="0" borderId="0" applyFont="0" applyFill="0" applyBorder="0" applyAlignment="0" applyProtection="0"/>
    <xf numFmtId="0" fontId="221" fillId="0" borderId="0" applyNumberFormat="0" applyFill="0" applyBorder="0" applyAlignment="0" applyProtection="0"/>
    <xf numFmtId="10" fontId="77" fillId="67" borderId="122" applyNumberFormat="0" applyBorder="0" applyAlignment="0" applyProtection="0"/>
    <xf numFmtId="10" fontId="77" fillId="94" borderId="122" applyNumberFormat="0" applyBorder="0" applyAlignment="0" applyProtection="0"/>
    <xf numFmtId="10" fontId="77" fillId="94" borderId="122" applyNumberFormat="0" applyBorder="0" applyAlignment="0" applyProtection="0"/>
    <xf numFmtId="43" fontId="221" fillId="0" borderId="0" applyNumberFormat="0" applyFill="0" applyBorder="0" applyAlignment="0" applyProtection="0"/>
    <xf numFmtId="43" fontId="221" fillId="0" borderId="0" applyNumberFormat="0" applyFill="0" applyBorder="0" applyAlignment="0" applyProtection="0"/>
    <xf numFmtId="0" fontId="222" fillId="76" borderId="185" applyNumberFormat="0" applyAlignment="0" applyProtection="0">
      <alignment vertical="center"/>
    </xf>
    <xf numFmtId="256" fontId="223" fillId="90" borderId="122" applyNumberFormat="0" applyFont="0" applyBorder="0" applyAlignment="0">
      <protection locked="0"/>
    </xf>
    <xf numFmtId="245" fontId="224" fillId="96" borderId="0"/>
    <xf numFmtId="0" fontId="33" fillId="0" borderId="0"/>
    <xf numFmtId="0" fontId="77" fillId="67" borderId="0" applyFont="0" applyBorder="0" applyAlignment="0" applyProtection="0">
      <protection locked="0"/>
    </xf>
    <xf numFmtId="0" fontId="77" fillId="67" borderId="0" applyFont="0" applyBorder="0" applyAlignment="0">
      <protection locked="0"/>
    </xf>
    <xf numFmtId="0" fontId="77" fillId="0" borderId="0"/>
    <xf numFmtId="0" fontId="77" fillId="0" borderId="0"/>
    <xf numFmtId="10" fontId="77" fillId="67" borderId="0">
      <protection locked="0"/>
    </xf>
    <xf numFmtId="261" fontId="77" fillId="0" borderId="0"/>
    <xf numFmtId="0" fontId="225" fillId="67" borderId="0" applyNumberFormat="0" applyBorder="0" applyAlignment="0">
      <protection locked="0"/>
    </xf>
    <xf numFmtId="256" fontId="125" fillId="90" borderId="0" applyNumberFormat="0" applyFont="0" applyBorder="0" applyAlignment="0"/>
    <xf numFmtId="38" fontId="134" fillId="67" borderId="195" applyNumberFormat="0" applyAlignment="0" applyProtection="0">
      <alignment horizontal="right"/>
    </xf>
    <xf numFmtId="38" fontId="134" fillId="67" borderId="195" applyNumberFormat="0" applyAlignment="0" applyProtection="0">
      <alignment horizontal="right"/>
    </xf>
    <xf numFmtId="38" fontId="134" fillId="67" borderId="195" applyNumberFormat="0" applyAlignment="0" applyProtection="0">
      <alignment horizontal="right"/>
    </xf>
    <xf numFmtId="3" fontId="58" fillId="0" borderId="0">
      <alignment vertical="center"/>
    </xf>
    <xf numFmtId="262" fontId="33" fillId="0" borderId="0" applyFont="0" applyFill="0" applyBorder="0" applyAlignment="0" applyProtection="0"/>
    <xf numFmtId="263" fontId="33" fillId="0" borderId="0" applyFont="0" applyFill="0" applyBorder="0" applyAlignment="0" applyProtection="0"/>
    <xf numFmtId="264" fontId="55" fillId="0" borderId="0">
      <alignment vertical="center"/>
    </xf>
    <xf numFmtId="1" fontId="226" fillId="0" borderId="0" applyProtection="0">
      <protection locked="0"/>
    </xf>
    <xf numFmtId="0" fontId="55" fillId="0" borderId="198" applyFont="0"/>
    <xf numFmtId="4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7" fillId="63" borderId="0" applyNumberFormat="0" applyFont="0" applyBorder="0" applyAlignment="0" applyProtection="0"/>
    <xf numFmtId="0" fontId="85" fillId="0" borderId="0" applyNumberFormat="0" applyFont="0" applyFill="0" applyBorder="0" applyProtection="0">
      <alignment horizontal="left" vertical="center"/>
    </xf>
    <xf numFmtId="204" fontId="55" fillId="0" borderId="0" applyFont="0" applyFill="0" applyBorder="0" applyAlignment="0" applyProtection="0"/>
    <xf numFmtId="219" fontId="227" fillId="0" borderId="0" applyFill="0" applyBorder="0" applyAlignment="0"/>
    <xf numFmtId="0" fontId="33" fillId="0" borderId="0" applyFill="0" applyBorder="0" applyAlignment="0"/>
    <xf numFmtId="220" fontId="227" fillId="0" borderId="0" applyFill="0" applyBorder="0" applyAlignment="0"/>
    <xf numFmtId="0" fontId="33" fillId="0" borderId="0" applyFill="0" applyBorder="0" applyAlignment="0"/>
    <xf numFmtId="219" fontId="227" fillId="0" borderId="0" applyFill="0" applyBorder="0" applyAlignment="0"/>
    <xf numFmtId="0" fontId="33" fillId="0" borderId="0" applyFill="0" applyBorder="0" applyAlignment="0"/>
    <xf numFmtId="224" fontId="227" fillId="0" borderId="0" applyFill="0" applyBorder="0" applyAlignment="0"/>
    <xf numFmtId="0" fontId="33" fillId="0" borderId="0" applyFill="0" applyBorder="0" applyAlignment="0"/>
    <xf numFmtId="220" fontId="227" fillId="0" borderId="0" applyFill="0" applyBorder="0" applyAlignment="0"/>
    <xf numFmtId="0" fontId="33" fillId="0" borderId="0" applyFill="0" applyBorder="0" applyAlignment="0"/>
    <xf numFmtId="0" fontId="228" fillId="0" borderId="199" applyNumberFormat="0" applyFill="0" applyAlignment="0" applyProtection="0">
      <alignment vertical="center"/>
    </xf>
    <xf numFmtId="245" fontId="229" fillId="97" borderId="0"/>
    <xf numFmtId="0" fontId="55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65" fontId="33" fillId="0" borderId="0" applyBorder="0"/>
    <xf numFmtId="14" fontId="134" fillId="91" borderId="0" applyFont="0" applyFill="0" applyBorder="0" applyAlignment="0" applyProtection="0"/>
    <xf numFmtId="265" fontId="33" fillId="0" borderId="0" applyBorder="0"/>
    <xf numFmtId="265" fontId="112" fillId="0" borderId="0"/>
    <xf numFmtId="265" fontId="33" fillId="0" borderId="0" applyBorder="0"/>
    <xf numFmtId="265" fontId="33" fillId="0" borderId="0" applyBorder="0"/>
    <xf numFmtId="265" fontId="112" fillId="0" borderId="0"/>
    <xf numFmtId="265" fontId="33" fillId="0" borderId="0" applyBorder="0"/>
    <xf numFmtId="265" fontId="33" fillId="0" borderId="0" applyBorder="0"/>
    <xf numFmtId="265" fontId="33" fillId="0" borderId="0" applyBorder="0"/>
    <xf numFmtId="265" fontId="33" fillId="0" borderId="0" applyBorder="0"/>
    <xf numFmtId="265" fontId="33" fillId="0" borderId="0" applyBorder="0"/>
    <xf numFmtId="265" fontId="33" fillId="0" borderId="0" applyBorder="0"/>
    <xf numFmtId="265" fontId="112" fillId="0" borderId="0"/>
    <xf numFmtId="0" fontId="33" fillId="67" borderId="86" applyFont="0" applyFill="0" applyBorder="0" applyAlignment="0" applyProtection="0">
      <alignment horizontal="right"/>
    </xf>
    <xf numFmtId="0" fontId="33" fillId="0" borderId="0">
      <alignment horizontal="center"/>
    </xf>
    <xf numFmtId="266" fontId="139" fillId="0" borderId="0" applyFont="0" applyFill="0" applyBorder="0" applyAlignment="0" applyProtection="0"/>
    <xf numFmtId="267" fontId="139" fillId="0" borderId="0" applyFont="0" applyFill="0" applyBorder="0" applyAlignment="0" applyProtection="0"/>
    <xf numFmtId="268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0" fontId="230" fillId="0" borderId="56"/>
    <xf numFmtId="0" fontId="230" fillId="0" borderId="56"/>
    <xf numFmtId="0" fontId="231" fillId="0" borderId="0"/>
    <xf numFmtId="0" fontId="232" fillId="0" borderId="0"/>
    <xf numFmtId="270" fontId="33" fillId="0" borderId="0" applyFont="0" applyFill="0" applyBorder="0" applyAlignment="0" applyProtection="0"/>
    <xf numFmtId="271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72" fontId="33" fillId="0" borderId="0" applyFont="0" applyFill="0" applyBorder="0" applyAlignment="0" applyProtection="0"/>
    <xf numFmtId="273" fontId="33" fillId="0" borderId="0" applyFont="0" applyFill="0" applyBorder="0" applyAlignment="0" applyProtection="0"/>
    <xf numFmtId="274" fontId="139" fillId="0" borderId="0" applyFont="0" applyFill="0" applyBorder="0" applyAlignment="0" applyProtection="0"/>
    <xf numFmtId="275" fontId="139" fillId="0" borderId="0" applyFont="0" applyFill="0" applyBorder="0" applyAlignment="0" applyProtection="0"/>
    <xf numFmtId="276" fontId="33" fillId="0" borderId="0" applyFont="0" applyFill="0" applyBorder="0" applyAlignment="0" applyProtection="0"/>
    <xf numFmtId="277" fontId="33" fillId="0" borderId="0" applyFont="0" applyFill="0" applyBorder="0" applyAlignment="0" applyProtection="0"/>
    <xf numFmtId="0" fontId="68" fillId="0" borderId="0">
      <protection locked="0"/>
    </xf>
    <xf numFmtId="203" fontId="69" fillId="0" borderId="0" applyFont="0" applyFill="0" applyBorder="0" applyAlignment="0" applyProtection="0"/>
    <xf numFmtId="209" fontId="69" fillId="0" borderId="0" applyFont="0" applyFill="0" applyBorder="0" applyAlignment="0" applyProtection="0"/>
    <xf numFmtId="278" fontId="139" fillId="0" borderId="0" applyFont="0" applyFill="0" applyBorder="0" applyAlignment="0" applyProtection="0">
      <alignment horizontal="right"/>
    </xf>
    <xf numFmtId="267" fontId="55" fillId="0" borderId="0"/>
    <xf numFmtId="0" fontId="55" fillId="0" borderId="0" applyFont="0" applyFill="0" applyBorder="0" applyAlignment="0" applyProtection="0"/>
    <xf numFmtId="0" fontId="33" fillId="63" borderId="0" applyFont="0" applyBorder="0" applyAlignment="0" applyProtection="0">
      <alignment horizontal="right"/>
      <protection hidden="1"/>
    </xf>
    <xf numFmtId="38" fontId="77" fillId="0" borderId="0" applyNumberFormat="0" applyFont="0" applyFill="0" applyAlignment="0" applyProtection="0"/>
    <xf numFmtId="0" fontId="233" fillId="98" borderId="0" applyNumberFormat="0" applyBorder="0" applyAlignment="0" applyProtection="0">
      <alignment vertical="center"/>
    </xf>
    <xf numFmtId="0" fontId="85" fillId="0" borderId="0"/>
    <xf numFmtId="0" fontId="134" fillId="0" borderId="0" applyNumberFormat="0" applyFont="0" applyBorder="0" applyAlignment="0" applyProtection="0"/>
    <xf numFmtId="37" fontId="234" fillId="0" borderId="0"/>
    <xf numFmtId="0" fontId="63" fillId="0" borderId="50" applyNumberFormat="0" applyFont="0" applyBorder="0" applyProtection="0">
      <alignment horizontal="center" vertical="center"/>
    </xf>
    <xf numFmtId="0" fontId="81" fillId="0" borderId="0"/>
    <xf numFmtId="0" fontId="81" fillId="0" borderId="0"/>
    <xf numFmtId="0" fontId="57" fillId="0" borderId="0"/>
    <xf numFmtId="3" fontId="235" fillId="0" borderId="0" applyFill="0" applyBorder="0" applyAlignment="0" applyProtection="0"/>
    <xf numFmtId="0" fontId="77" fillId="0" borderId="0" applyFont="0" applyFill="0" applyBorder="0" applyAlignment="0" applyProtection="0">
      <alignment horizontal="right"/>
    </xf>
    <xf numFmtId="202" fontId="33" fillId="0" borderId="0"/>
    <xf numFmtId="279" fontId="67" fillId="0" borderId="0"/>
    <xf numFmtId="0" fontId="55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0" fontId="224" fillId="0" borderId="0"/>
    <xf numFmtId="38" fontId="77" fillId="0" borderId="122" applyFont="0" applyFill="0" applyBorder="0" applyAlignment="0" applyProtection="0"/>
    <xf numFmtId="0" fontId="33" fillId="0" borderId="0" applyFont="0" applyFill="0" applyBorder="0" applyAlignment="0"/>
    <xf numFmtId="40" fontId="77" fillId="0" borderId="0" applyFont="0" applyFill="0" applyBorder="0" applyAlignment="0"/>
    <xf numFmtId="0" fontId="77" fillId="0" borderId="0" applyFont="0" applyFill="0" applyBorder="0" applyAlignment="0"/>
    <xf numFmtId="0" fontId="33" fillId="0" borderId="0">
      <alignment vertical="center"/>
    </xf>
    <xf numFmtId="0" fontId="55" fillId="0" borderId="0"/>
    <xf numFmtId="0" fontId="179" fillId="0" borderId="0" applyNumberFormat="0" applyFill="0" applyBorder="0" applyAlignment="0" applyProtection="0"/>
    <xf numFmtId="0" fontId="77" fillId="0" borderId="0" applyFont="0" applyFill="0" applyBorder="0" applyAlignment="0" applyProtection="0"/>
    <xf numFmtId="0" fontId="33" fillId="0" borderId="0"/>
    <xf numFmtId="280" fontId="77" fillId="0" borderId="0" applyFont="0" applyFill="0" applyBorder="0" applyAlignment="0" applyProtection="0">
      <alignment horizontal="right"/>
    </xf>
    <xf numFmtId="0" fontId="33" fillId="0" borderId="0"/>
    <xf numFmtId="281" fontId="236" fillId="0" borderId="0" applyFont="0" applyFill="0" applyBorder="0" applyAlignment="0" applyProtection="0">
      <alignment horizontal="centerContinuous"/>
    </xf>
    <xf numFmtId="0" fontId="236" fillId="0" borderId="0" applyFont="0" applyFill="0" applyBorder="0" applyAlignment="0" applyProtection="0">
      <alignment horizontal="centerContinuous"/>
    </xf>
    <xf numFmtId="0" fontId="85" fillId="0" borderId="0" applyFont="0" applyFill="0" applyBorder="0" applyAlignment="0" applyProtection="0">
      <alignment horizontal="centerContinuous"/>
    </xf>
    <xf numFmtId="0" fontId="85" fillId="0" borderId="0" applyFont="0" applyFill="0" applyBorder="0" applyAlignment="0" applyProtection="0">
      <alignment horizontal="centerContinuous"/>
    </xf>
    <xf numFmtId="0" fontId="85" fillId="0" borderId="193" applyFont="0" applyFill="0" applyBorder="0" applyAlignment="0" applyProtection="0">
      <alignment horizontal="right"/>
    </xf>
    <xf numFmtId="0" fontId="85" fillId="0" borderId="0" applyFont="0" applyFill="0" applyBorder="0" applyAlignment="0" applyProtection="0">
      <alignment horizontal="centerContinuous"/>
    </xf>
    <xf numFmtId="0" fontId="85" fillId="0" borderId="0" applyFont="0" applyFill="0" applyBorder="0" applyAlignment="0" applyProtection="0">
      <alignment horizontal="centerContinuous"/>
    </xf>
    <xf numFmtId="0" fontId="85" fillId="0" borderId="193" applyFont="0" applyFill="0" applyBorder="0" applyAlignment="0" applyProtection="0">
      <alignment horizontal="right"/>
    </xf>
    <xf numFmtId="0" fontId="85" fillId="0" borderId="0" applyFont="0" applyFill="0" applyBorder="0" applyAlignment="0" applyProtection="0">
      <alignment horizontal="centerContinuous"/>
    </xf>
    <xf numFmtId="0" fontId="85" fillId="0" borderId="193" applyFont="0" applyFill="0" applyBorder="0" applyAlignment="0" applyProtection="0">
      <alignment horizontal="right"/>
    </xf>
    <xf numFmtId="0" fontId="77" fillId="0" borderId="0"/>
    <xf numFmtId="0" fontId="57" fillId="0" borderId="20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11" fillId="99" borderId="195" applyNumberFormat="0" applyFont="0" applyAlignment="0" applyProtection="0">
      <alignment vertical="center"/>
    </xf>
    <xf numFmtId="0" fontId="102" fillId="99" borderId="195" applyNumberFormat="0" applyFont="0" applyAlignment="0" applyProtection="0">
      <alignment vertical="center"/>
    </xf>
    <xf numFmtId="0" fontId="102" fillId="99" borderId="195" applyNumberFormat="0" applyFont="0" applyAlignment="0" applyProtection="0">
      <alignment vertical="center"/>
    </xf>
    <xf numFmtId="38" fontId="179" fillId="93" borderId="122" applyNumberFormat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33" fillId="0" borderId="194" applyNumberFormat="0" applyFont="0" applyFill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/>
    <xf numFmtId="0" fontId="55" fillId="0" borderId="0"/>
    <xf numFmtId="0" fontId="55" fillId="0" borderId="0"/>
    <xf numFmtId="0" fontId="33" fillId="0" borderId="0" applyFont="0" applyFill="0" applyBorder="0" applyAlignment="0" applyProtection="0"/>
    <xf numFmtId="0" fontId="33" fillId="0" borderId="0"/>
    <xf numFmtId="0" fontId="237" fillId="0" borderId="0"/>
    <xf numFmtId="0" fontId="85" fillId="0" borderId="0"/>
    <xf numFmtId="0" fontId="85" fillId="0" borderId="0"/>
    <xf numFmtId="0" fontId="238" fillId="70" borderId="201" applyNumberFormat="0" applyAlignment="0" applyProtection="0">
      <alignment vertical="center"/>
    </xf>
    <xf numFmtId="38" fontId="239" fillId="94" borderId="0">
      <alignment horizontal="right"/>
    </xf>
    <xf numFmtId="40" fontId="240" fillId="94" borderId="0">
      <alignment horizontal="right"/>
    </xf>
    <xf numFmtId="40" fontId="26" fillId="94" borderId="0">
      <alignment horizontal="right"/>
    </xf>
    <xf numFmtId="0" fontId="241" fillId="94" borderId="0">
      <alignment horizontal="right"/>
    </xf>
    <xf numFmtId="0" fontId="242" fillId="94" borderId="193"/>
    <xf numFmtId="0" fontId="243" fillId="100" borderId="193"/>
    <xf numFmtId="0" fontId="242" fillId="0" borderId="0" applyBorder="0">
      <alignment horizontal="centerContinuous"/>
    </xf>
    <xf numFmtId="0" fontId="244" fillId="0" borderId="0" applyBorder="0">
      <alignment horizontal="centerContinuous"/>
    </xf>
    <xf numFmtId="0" fontId="33" fillId="0" borderId="202" applyNumberFormat="0" applyFont="0" applyFill="0" applyAlignment="0" applyProtection="0"/>
    <xf numFmtId="0" fontId="33" fillId="0" borderId="49" applyNumberFormat="0" applyFont="0" applyFill="0" applyAlignment="0" applyProtection="0"/>
    <xf numFmtId="282" fontId="112" fillId="0" borderId="56" applyBorder="0"/>
    <xf numFmtId="283" fontId="215" fillId="63" borderId="0">
      <alignment vertical="center"/>
    </xf>
    <xf numFmtId="1" fontId="245" fillId="0" borderId="0" applyProtection="0">
      <alignment horizontal="right" vertical="center"/>
    </xf>
    <xf numFmtId="0" fontId="246" fillId="101" borderId="122" applyNumberFormat="0" applyProtection="0">
      <alignment horizontal="center" vertical="top" wrapText="1"/>
      <protection hidden="1"/>
    </xf>
    <xf numFmtId="0" fontId="247" fillId="0" borderId="86" applyNumberFormat="0">
      <alignment vertical="center"/>
    </xf>
    <xf numFmtId="0" fontId="231" fillId="0" borderId="0"/>
    <xf numFmtId="0" fontId="33" fillId="0" borderId="0" applyFill="0" applyBorder="0" applyAlignment="0" applyProtection="0"/>
    <xf numFmtId="14" fontId="125" fillId="0" borderId="0">
      <alignment horizontal="center" wrapText="1"/>
      <protection locked="0"/>
    </xf>
    <xf numFmtId="284" fontId="68" fillId="0" borderId="0">
      <protection locked="0"/>
    </xf>
    <xf numFmtId="285" fontId="33" fillId="0" borderId="0" applyFont="0" applyFill="0" applyBorder="0" applyAlignment="0" applyProtection="0"/>
    <xf numFmtId="0" fontId="248" fillId="0" borderId="0" applyFill="0" applyBorder="0" applyAlignment="0" applyProtection="0"/>
    <xf numFmtId="0" fontId="33" fillId="0" borderId="0" applyFont="0" applyFill="0" applyBorder="0" applyAlignment="0" applyProtection="0"/>
    <xf numFmtId="28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48" fillId="0" borderId="0" applyFill="0" applyBorder="0" applyAlignment="0" applyProtection="0"/>
    <xf numFmtId="0" fontId="248" fillId="0" borderId="0" applyFill="0" applyBorder="0" applyAlignment="0" applyProtection="0"/>
    <xf numFmtId="287" fontId="248" fillId="0" borderId="0" applyFill="0" applyBorder="0" applyAlignment="0" applyProtection="0"/>
    <xf numFmtId="10" fontId="33" fillId="0" borderId="0" applyFont="0" applyFill="0" applyBorder="0" applyAlignment="0" applyProtection="0"/>
    <xf numFmtId="0" fontId="248" fillId="0" borderId="0" applyFill="0" applyBorder="0" applyAlignment="0" applyProtection="0"/>
    <xf numFmtId="0" fontId="55" fillId="0" borderId="0">
      <protection locked="0"/>
    </xf>
    <xf numFmtId="0" fontId="55" fillId="0" borderId="0">
      <protection locked="0"/>
    </xf>
    <xf numFmtId="0" fontId="68" fillId="0" borderId="0">
      <protection locked="0"/>
    </xf>
    <xf numFmtId="0" fontId="55" fillId="0" borderId="0">
      <protection locked="0"/>
    </xf>
    <xf numFmtId="10" fontId="232" fillId="0" borderId="0"/>
    <xf numFmtId="0" fontId="137" fillId="91" borderId="203" applyFont="0" applyFill="0" applyBorder="0" applyAlignment="0" applyProtection="0"/>
    <xf numFmtId="251" fontId="11" fillId="0" borderId="0">
      <protection locked="0"/>
    </xf>
    <xf numFmtId="0" fontId="33" fillId="0" borderId="0" applyFont="0" applyFill="0" applyBorder="0" applyAlignment="0" applyProtection="0"/>
    <xf numFmtId="0" fontId="249" fillId="0" borderId="122" applyNumberFormat="0" applyAlignment="0"/>
    <xf numFmtId="38" fontId="77" fillId="93" borderId="0" applyNumberFormat="0" applyFont="0" applyBorder="0" applyAlignment="0" applyProtection="0">
      <alignment horizontal="right"/>
    </xf>
    <xf numFmtId="0" fontId="170" fillId="0" borderId="0" applyNumberFormat="0" applyFill="0" applyBorder="0" applyAlignment="0" applyProtection="0"/>
    <xf numFmtId="38" fontId="55" fillId="0" borderId="0" applyFont="0" applyFill="0" applyBorder="0" applyAlignment="0" applyProtection="0"/>
    <xf numFmtId="0" fontId="250" fillId="0" borderId="0" applyNumberFormat="0" applyFill="0" applyBorder="0" applyAlignment="0" applyProtection="0"/>
    <xf numFmtId="0" fontId="68" fillId="0" borderId="0">
      <protection locked="0"/>
    </xf>
    <xf numFmtId="13" fontId="33" fillId="0" borderId="0" applyFont="0" applyFill="0" applyProtection="0"/>
    <xf numFmtId="219" fontId="251" fillId="0" borderId="0" applyFill="0" applyBorder="0" applyAlignment="0"/>
    <xf numFmtId="0" fontId="33" fillId="0" borderId="0" applyFill="0" applyBorder="0" applyAlignment="0"/>
    <xf numFmtId="220" fontId="251" fillId="0" borderId="0" applyFill="0" applyBorder="0" applyAlignment="0"/>
    <xf numFmtId="0" fontId="33" fillId="0" borderId="0" applyFill="0" applyBorder="0" applyAlignment="0"/>
    <xf numFmtId="219" fontId="251" fillId="0" borderId="0" applyFill="0" applyBorder="0" applyAlignment="0"/>
    <xf numFmtId="0" fontId="33" fillId="0" borderId="0" applyFill="0" applyBorder="0" applyAlignment="0"/>
    <xf numFmtId="224" fontId="251" fillId="0" borderId="0" applyFill="0" applyBorder="0" applyAlignment="0"/>
    <xf numFmtId="0" fontId="33" fillId="0" borderId="0" applyFill="0" applyBorder="0" applyAlignment="0"/>
    <xf numFmtId="220" fontId="251" fillId="0" borderId="0" applyFill="0" applyBorder="0" applyAlignment="0"/>
    <xf numFmtId="0" fontId="33" fillId="0" borderId="0" applyFill="0" applyBorder="0" applyAlignment="0"/>
    <xf numFmtId="0" fontId="252" fillId="0" borderId="51">
      <alignment horizontal="right"/>
    </xf>
    <xf numFmtId="217" fontId="253" fillId="0" borderId="0"/>
    <xf numFmtId="9" fontId="254" fillId="0" borderId="0" applyFont="0" applyFill="0" applyProtection="0"/>
    <xf numFmtId="0" fontId="179" fillId="0" borderId="0" applyFill="0" applyBorder="0" applyProtection="0">
      <alignment horizontal="right"/>
    </xf>
    <xf numFmtId="0" fontId="58" fillId="0" borderId="0" applyNumberFormat="0" applyFont="0" applyFill="0" applyBorder="0" applyAlignment="0" applyProtection="0">
      <alignment horizontal="left"/>
    </xf>
    <xf numFmtId="15" fontId="58" fillId="0" borderId="0" applyFont="0" applyFill="0" applyBorder="0" applyAlignment="0" applyProtection="0"/>
    <xf numFmtId="4" fontId="58" fillId="0" borderId="0" applyFont="0" applyFill="0" applyBorder="0" applyAlignment="0" applyProtection="0"/>
    <xf numFmtId="0" fontId="62" fillId="0" borderId="56">
      <alignment horizontal="center"/>
    </xf>
    <xf numFmtId="3" fontId="58" fillId="0" borderId="0" applyFont="0" applyFill="0" applyBorder="0" applyAlignment="0" applyProtection="0"/>
    <xf numFmtId="0" fontId="58" fillId="102" borderId="0" applyNumberFormat="0" applyFont="0" applyBorder="0" applyAlignment="0" applyProtection="0"/>
    <xf numFmtId="0" fontId="134" fillId="103" borderId="0" applyNumberFormat="0" applyFont="0" applyBorder="0" applyAlignment="0" applyProtection="0"/>
    <xf numFmtId="231" fontId="33" fillId="0" borderId="0"/>
    <xf numFmtId="37" fontId="67" fillId="0" borderId="0"/>
    <xf numFmtId="0" fontId="55" fillId="0" borderId="0"/>
    <xf numFmtId="0" fontId="55" fillId="0" borderId="0"/>
    <xf numFmtId="210" fontId="55" fillId="0" borderId="0" applyFont="0" applyFill="0" applyBorder="0" applyAlignment="0" applyProtection="0"/>
    <xf numFmtId="0" fontId="61" fillId="0" borderId="0" applyNumberFormat="0" applyBorder="0" applyAlignment="0">
      <alignment horizontal="right"/>
    </xf>
    <xf numFmtId="38" fontId="255" fillId="0" borderId="0" applyNumberFormat="0" applyFill="0" applyBorder="0" applyAlignment="0" applyProtection="0"/>
    <xf numFmtId="0" fontId="25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56" fillId="104" borderId="0" applyNumberFormat="0" applyFont="0" applyBorder="0" applyAlignment="0">
      <alignment horizontal="center"/>
    </xf>
    <xf numFmtId="4" fontId="257" fillId="0" borderId="0">
      <alignment horizontal="right"/>
    </xf>
    <xf numFmtId="30" fontId="258" fillId="0" borderId="0" applyNumberFormat="0" applyFill="0" applyBorder="0" applyAlignment="0" applyProtection="0">
      <alignment horizontal="left"/>
    </xf>
    <xf numFmtId="38" fontId="258" fillId="0" borderId="0"/>
    <xf numFmtId="41" fontId="11" fillId="0" borderId="0" applyFont="0" applyFill="0" applyBorder="0" applyAlignment="0" applyProtection="0"/>
    <xf numFmtId="288" fontId="55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99" borderId="0" applyNumberFormat="0" applyFont="0" applyBorder="0" applyAlignment="0" applyProtection="0"/>
    <xf numFmtId="0" fontId="33" fillId="14" borderId="0" applyNumberFormat="0" applyFont="0" applyBorder="0" applyAlignment="0" applyProtection="0"/>
    <xf numFmtId="0" fontId="33" fillId="70" borderId="0" applyNumberFormat="0" applyFont="0" applyBorder="0" applyAlignment="0" applyProtection="0"/>
    <xf numFmtId="0" fontId="33" fillId="0" borderId="0" applyNumberFormat="0" applyFont="0" applyFill="0" applyBorder="0" applyAlignment="0" applyProtection="0"/>
    <xf numFmtId="0" fontId="33" fillId="70" borderId="0" applyNumberFormat="0" applyFont="0" applyBorder="0" applyAlignment="0" applyProtection="0"/>
    <xf numFmtId="0" fontId="33" fillId="0" borderId="0" applyNumberFormat="0" applyFont="0" applyFill="0" applyBorder="0" applyAlignment="0" applyProtection="0"/>
    <xf numFmtId="0" fontId="33" fillId="0" borderId="0" applyNumberFormat="0" applyFont="0" applyBorder="0" applyAlignment="0" applyProtection="0"/>
    <xf numFmtId="204" fontId="64" fillId="0" borderId="0" applyFont="0" applyFill="0" applyBorder="0" applyAlignment="0" applyProtection="0"/>
    <xf numFmtId="0" fontId="259" fillId="0" borderId="0">
      <alignment horizontal="left"/>
    </xf>
    <xf numFmtId="38" fontId="77" fillId="0" borderId="204" applyNumberFormat="0" applyFont="0" applyFill="0" applyAlignment="0" applyProtection="0"/>
    <xf numFmtId="268" fontId="33" fillId="0" borderId="0" applyFont="0" applyFill="0" applyBorder="0" applyAlignment="0" applyProtection="0"/>
    <xf numFmtId="269" fontId="33" fillId="0" borderId="0" applyFont="0" applyFill="0" applyBorder="0" applyAlignment="0" applyProtection="0"/>
    <xf numFmtId="0" fontId="256" fillId="1" borderId="204" applyNumberFormat="0" applyFont="0" applyAlignment="0">
      <alignment horizontal="center"/>
    </xf>
    <xf numFmtId="0" fontId="260" fillId="0" borderId="0" applyFill="0" applyBorder="0" applyAlignment="0" applyProtection="0"/>
    <xf numFmtId="202" fontId="260" fillId="0" borderId="0" applyFill="0" applyBorder="0" applyAlignment="0" applyProtection="0"/>
    <xf numFmtId="0" fontId="33" fillId="89" borderId="0" applyNumberFormat="0" applyBorder="0" applyProtection="0">
      <alignment horizontal="center"/>
    </xf>
    <xf numFmtId="0" fontId="261" fillId="0" borderId="0" applyNumberFormat="0" applyFill="0" applyBorder="0" applyAlignment="0">
      <alignment horizontal="center"/>
    </xf>
    <xf numFmtId="38" fontId="77" fillId="0" borderId="204" applyNumberFormat="0" applyFont="0" applyAlignment="0">
      <alignment horizontal="left" indent="1"/>
    </xf>
    <xf numFmtId="0" fontId="254" fillId="0" borderId="0"/>
    <xf numFmtId="0" fontId="58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230" fillId="0" borderId="0"/>
    <xf numFmtId="0" fontId="262" fillId="0" borderId="0">
      <alignment horizontal="left"/>
    </xf>
    <xf numFmtId="40" fontId="263" fillId="0" borderId="0" applyBorder="0">
      <alignment horizontal="right"/>
    </xf>
    <xf numFmtId="38" fontId="179" fillId="0" borderId="205" applyFont="0"/>
    <xf numFmtId="0" fontId="33" fillId="0" borderId="0" applyBorder="0"/>
    <xf numFmtId="49" fontId="112" fillId="0" borderId="0"/>
    <xf numFmtId="0" fontId="33" fillId="0" borderId="0" applyBorder="0"/>
    <xf numFmtId="0" fontId="33" fillId="0" borderId="0" applyBorder="0"/>
    <xf numFmtId="49" fontId="112" fillId="0" borderId="0"/>
    <xf numFmtId="0" fontId="33" fillId="0" borderId="0" applyBorder="0"/>
    <xf numFmtId="0" fontId="33" fillId="0" borderId="0" applyBorder="0"/>
    <xf numFmtId="0" fontId="33" fillId="0" borderId="0" applyBorder="0"/>
    <xf numFmtId="0" fontId="33" fillId="0" borderId="0" applyBorder="0"/>
    <xf numFmtId="0" fontId="33" fillId="0" borderId="0" applyBorder="0"/>
    <xf numFmtId="0" fontId="33" fillId="0" borderId="0" applyBorder="0"/>
    <xf numFmtId="0" fontId="33" fillId="0" borderId="0" applyBorder="0"/>
    <xf numFmtId="49" fontId="112" fillId="0" borderId="0"/>
    <xf numFmtId="0" fontId="55" fillId="0" borderId="0"/>
    <xf numFmtId="0" fontId="55" fillId="0" borderId="0"/>
    <xf numFmtId="0" fontId="264" fillId="0" borderId="0" applyFill="0" applyBorder="0" applyProtection="0">
      <alignment horizontal="left" vertical="center"/>
      <protection locked="0"/>
    </xf>
    <xf numFmtId="0" fontId="264" fillId="0" borderId="0" applyFill="0" applyBorder="0" applyProtection="0">
      <alignment horizontal="left" vertical="center" wrapText="1"/>
      <protection locked="0"/>
    </xf>
    <xf numFmtId="0" fontId="265" fillId="0" borderId="0" applyFill="0" applyBorder="0" applyProtection="0">
      <alignment horizontal="left" vertical="center"/>
      <protection locked="0"/>
    </xf>
    <xf numFmtId="0" fontId="265" fillId="0" borderId="0" applyFill="0" applyBorder="0" applyProtection="0">
      <alignment horizontal="left" vertical="center" wrapText="1"/>
      <protection locked="0"/>
    </xf>
    <xf numFmtId="0" fontId="266" fillId="0" borderId="0" applyFill="0" applyBorder="0" applyProtection="0">
      <alignment horizontal="left" vertical="center"/>
      <protection locked="0"/>
    </xf>
    <xf numFmtId="0" fontId="266" fillId="0" borderId="0" applyFill="0" applyBorder="0" applyProtection="0">
      <alignment horizontal="left" vertical="center" wrapText="1"/>
      <protection locked="0"/>
    </xf>
    <xf numFmtId="0" fontId="267" fillId="0" borderId="0" applyFill="0" applyBorder="0" applyProtection="0">
      <alignment horizontal="left" vertical="center"/>
      <protection locked="0"/>
    </xf>
    <xf numFmtId="0" fontId="267" fillId="0" borderId="0" applyFill="0" applyBorder="0" applyProtection="0">
      <alignment horizontal="left" vertical="center" wrapText="1"/>
      <protection locked="0"/>
    </xf>
    <xf numFmtId="0" fontId="268" fillId="0" borderId="0" applyFill="0" applyBorder="0" applyProtection="0">
      <alignment horizontal="left" vertical="center"/>
      <protection locked="0"/>
    </xf>
    <xf numFmtId="0" fontId="268" fillId="0" borderId="0" applyFill="0" applyBorder="0" applyProtection="0">
      <alignment horizontal="left" vertical="center" wrapText="1"/>
      <protection locked="0"/>
    </xf>
    <xf numFmtId="14" fontId="269" fillId="0" borderId="0" applyFill="0" applyBorder="0" applyProtection="0">
      <alignment horizontal="center" vertical="center" wrapText="1"/>
      <protection locked="0"/>
    </xf>
    <xf numFmtId="14" fontId="270" fillId="0" borderId="0" applyFill="0" applyBorder="0" applyProtection="0">
      <alignment horizontal="center" vertical="center" wrapText="1"/>
      <protection locked="0"/>
    </xf>
    <xf numFmtId="14" fontId="271" fillId="0" borderId="0" applyFill="0" applyBorder="0" applyProtection="0">
      <alignment horizontal="center" vertical="center" wrapText="1"/>
      <protection locked="0"/>
    </xf>
    <xf numFmtId="14" fontId="272" fillId="0" borderId="0" applyFill="0" applyBorder="0" applyProtection="0">
      <alignment horizontal="center" vertical="center" wrapText="1"/>
      <protection locked="0"/>
    </xf>
    <xf numFmtId="14" fontId="273" fillId="0" borderId="0" applyFill="0" applyBorder="0" applyProtection="0">
      <alignment horizontal="center" vertical="center" wrapText="1"/>
      <protection locked="0"/>
    </xf>
    <xf numFmtId="3" fontId="264" fillId="0" borderId="0" applyFill="0" applyBorder="0" applyProtection="0">
      <alignment horizontal="right"/>
      <protection locked="0"/>
    </xf>
    <xf numFmtId="3" fontId="265" fillId="0" borderId="0" applyFill="0" applyBorder="0" applyProtection="0">
      <alignment horizontal="right"/>
      <protection locked="0"/>
    </xf>
    <xf numFmtId="3" fontId="266" fillId="0" borderId="0" applyFill="0" applyBorder="0" applyProtection="0">
      <alignment horizontal="right"/>
      <protection locked="0"/>
    </xf>
    <xf numFmtId="3" fontId="267" fillId="0" borderId="0" applyFill="0" applyBorder="0" applyProtection="0">
      <alignment horizontal="right"/>
      <protection locked="0"/>
    </xf>
    <xf numFmtId="3" fontId="268" fillId="0" borderId="0" applyFill="0" applyBorder="0" applyProtection="0">
      <alignment horizontal="right"/>
      <protection locked="0"/>
    </xf>
    <xf numFmtId="194" fontId="264" fillId="0" borderId="0" applyFill="0" applyBorder="0" applyProtection="0">
      <alignment horizontal="right"/>
      <protection locked="0"/>
    </xf>
    <xf numFmtId="194" fontId="265" fillId="0" borderId="0" applyFill="0" applyBorder="0" applyProtection="0">
      <alignment horizontal="right"/>
      <protection locked="0"/>
    </xf>
    <xf numFmtId="206" fontId="266" fillId="0" borderId="0" applyFill="0" applyBorder="0" applyProtection="0">
      <alignment horizontal="right"/>
      <protection locked="0"/>
    </xf>
    <xf numFmtId="206" fontId="267" fillId="0" borderId="0" applyFill="0" applyBorder="0" applyProtection="0">
      <alignment horizontal="right"/>
      <protection locked="0"/>
    </xf>
    <xf numFmtId="194" fontId="268" fillId="0" borderId="0" applyFill="0" applyBorder="0" applyProtection="0">
      <alignment horizontal="right"/>
      <protection locked="0"/>
    </xf>
    <xf numFmtId="4" fontId="264" fillId="0" borderId="0" applyFill="0" applyBorder="0" applyProtection="0">
      <alignment horizontal="right"/>
      <protection locked="0"/>
    </xf>
    <xf numFmtId="4" fontId="265" fillId="0" borderId="0" applyFill="0" applyBorder="0" applyProtection="0">
      <alignment horizontal="right"/>
      <protection locked="0"/>
    </xf>
    <xf numFmtId="4" fontId="266" fillId="0" borderId="0" applyFill="0" applyBorder="0" applyProtection="0">
      <alignment horizontal="right"/>
      <protection locked="0"/>
    </xf>
    <xf numFmtId="4" fontId="267" fillId="0" borderId="0" applyFill="0" applyBorder="0" applyProtection="0">
      <alignment horizontal="right"/>
      <protection locked="0"/>
    </xf>
    <xf numFmtId="4" fontId="268" fillId="0" borderId="0" applyFill="0" applyBorder="0" applyProtection="0">
      <alignment horizontal="right"/>
      <protection locked="0"/>
    </xf>
    <xf numFmtId="0" fontId="274" fillId="0" borderId="0" applyBorder="0" applyProtection="0">
      <alignment vertical="center"/>
    </xf>
    <xf numFmtId="0" fontId="274" fillId="0" borderId="86" applyBorder="0" applyProtection="0">
      <alignment horizontal="right" vertical="center"/>
    </xf>
    <xf numFmtId="253" fontId="274" fillId="0" borderId="86" applyBorder="0" applyProtection="0">
      <alignment horizontal="right" vertical="center"/>
    </xf>
    <xf numFmtId="0" fontId="275" fillId="105" borderId="0" applyBorder="0" applyProtection="0">
      <alignment horizontal="centerContinuous" vertical="center"/>
    </xf>
    <xf numFmtId="0" fontId="275" fillId="95" borderId="86" applyBorder="0" applyProtection="0">
      <alignment horizontal="centerContinuous" vertical="center"/>
    </xf>
    <xf numFmtId="0" fontId="276" fillId="0" borderId="0" applyFill="0" applyBorder="0" applyProtection="0">
      <alignment horizontal="left"/>
    </xf>
    <xf numFmtId="0" fontId="191" fillId="0" borderId="206" applyFill="0" applyBorder="0" applyProtection="0">
      <alignment horizontal="left" vertical="top"/>
    </xf>
    <xf numFmtId="0" fontId="277" fillId="0" borderId="0">
      <alignment horizontal="centerContinuous"/>
    </xf>
    <xf numFmtId="1" fontId="235" fillId="0" borderId="0"/>
    <xf numFmtId="49" fontId="26" fillId="0" borderId="0" applyFill="0" applyBorder="0" applyAlignment="0"/>
    <xf numFmtId="289" fontId="26" fillId="0" borderId="0" applyFill="0" applyBorder="0" applyAlignment="0"/>
    <xf numFmtId="0" fontId="33" fillId="0" borderId="0" applyFill="0" applyBorder="0" applyAlignment="0"/>
    <xf numFmtId="290" fontId="26" fillId="0" borderId="0" applyFill="0" applyBorder="0" applyAlignment="0"/>
    <xf numFmtId="0" fontId="33" fillId="0" borderId="0" applyFill="0" applyBorder="0" applyAlignment="0"/>
    <xf numFmtId="0" fontId="278" fillId="0" borderId="0" applyFill="0" applyBorder="0" applyAlignment="0" applyProtection="0">
      <alignment horizontal="right"/>
    </xf>
    <xf numFmtId="0" fontId="157" fillId="0" borderId="0"/>
    <xf numFmtId="0" fontId="93" fillId="0" borderId="0"/>
    <xf numFmtId="0" fontId="93" fillId="0" borderId="0"/>
    <xf numFmtId="291" fontId="33" fillId="0" borderId="0" applyFont="0" applyFill="0" applyBorder="0" applyAlignment="0" applyProtection="0"/>
    <xf numFmtId="0" fontId="279" fillId="0" borderId="0" applyFill="0" applyBorder="0" applyProtection="0">
      <alignment horizontal="left" vertical="top"/>
    </xf>
    <xf numFmtId="18" fontId="112" fillId="0" borderId="0" applyFill="0" applyProtection="0">
      <alignment horizontal="center"/>
    </xf>
    <xf numFmtId="0" fontId="33" fillId="0" borderId="0" applyFont="0" applyFill="0" applyBorder="0" applyAlignment="0" applyProtection="0">
      <alignment horizontal="right"/>
    </xf>
    <xf numFmtId="0" fontId="85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40" fontId="280" fillId="0" borderId="0"/>
    <xf numFmtId="0" fontId="281" fillId="0" borderId="0">
      <alignment horizontal="center"/>
    </xf>
    <xf numFmtId="0" fontId="282" fillId="0" borderId="0" applyFill="0" applyBorder="0" applyProtection="0">
      <alignment horizontal="centerContinuous" vertical="center"/>
    </xf>
    <xf numFmtId="0" fontId="64" fillId="94" borderId="0" applyFill="0" applyBorder="0" applyProtection="0">
      <alignment horizontal="center" vertical="center"/>
    </xf>
    <xf numFmtId="0" fontId="208" fillId="0" borderId="0">
      <alignment horizontal="center"/>
    </xf>
    <xf numFmtId="0" fontId="132" fillId="0" borderId="0">
      <alignment horizontal="center"/>
    </xf>
    <xf numFmtId="0" fontId="68" fillId="0" borderId="49">
      <protection locked="0"/>
    </xf>
    <xf numFmtId="0" fontId="33" fillId="0" borderId="207" applyNumberFormat="0" applyFont="0" applyFill="0" applyAlignment="0" applyProtection="0"/>
    <xf numFmtId="245" fontId="55" fillId="0" borderId="49">
      <protection locked="0"/>
    </xf>
    <xf numFmtId="0" fontId="283" fillId="0" borderId="0" applyNumberFormat="0" applyFill="0" applyBorder="0" applyAlignment="0" applyProtection="0">
      <alignment horizontal="left"/>
    </xf>
    <xf numFmtId="0" fontId="284" fillId="0" borderId="0" applyNumberFormat="0" applyFill="0" applyBorder="0" applyAlignment="0" applyProtection="0">
      <alignment horizontal="left"/>
    </xf>
    <xf numFmtId="0" fontId="126" fillId="0" borderId="0" applyNumberFormat="0" applyFill="0" applyBorder="0" applyAlignment="0" applyProtection="0">
      <alignment horizontal="left"/>
    </xf>
    <xf numFmtId="0" fontId="285" fillId="0" borderId="0" applyNumberFormat="0" applyFill="0" applyBorder="0" applyAlignment="0" applyProtection="0">
      <alignment horizontal="left"/>
    </xf>
    <xf numFmtId="0" fontId="286" fillId="0" borderId="0" applyNumberFormat="0" applyFill="0" applyBorder="0" applyAlignment="0" applyProtection="0">
      <alignment horizontal="left"/>
    </xf>
    <xf numFmtId="0" fontId="90" fillId="0" borderId="0" applyNumberFormat="0" applyFill="0" applyBorder="0" applyAlignment="0" applyProtection="0">
      <alignment horizontal="left"/>
    </xf>
    <xf numFmtId="0" fontId="33" fillId="0" borderId="0" applyNumberFormat="0" applyFill="0" applyBorder="0" applyAlignment="0" applyProtection="0">
      <alignment horizontal="left"/>
    </xf>
    <xf numFmtId="0" fontId="287" fillId="0" borderId="0">
      <alignment horizontal="left"/>
    </xf>
    <xf numFmtId="0" fontId="57" fillId="0" borderId="0" applyNumberFormat="0" applyFill="0" applyBorder="0" applyAlignment="0" applyProtection="0">
      <alignment horizontal="left"/>
    </xf>
    <xf numFmtId="0" fontId="33" fillId="63" borderId="0" applyNumberFormat="0" applyFont="0" applyBorder="0" applyAlignment="0" applyProtection="0"/>
    <xf numFmtId="38" fontId="179" fillId="0" borderId="208" applyNumberFormat="0" applyFont="0" applyFill="0" applyAlignment="0">
      <alignment horizontal="left" indent="3"/>
    </xf>
    <xf numFmtId="209" fontId="33" fillId="0" borderId="0" applyFont="0" applyFill="0" applyBorder="0" applyAlignment="0" applyProtection="0"/>
    <xf numFmtId="292" fontId="33" fillId="0" borderId="0" applyFont="0" applyFill="0" applyBorder="0" applyAlignment="0" applyProtection="0"/>
    <xf numFmtId="41" fontId="55" fillId="0" borderId="0" applyFont="0" applyFill="0" applyBorder="0" applyAlignment="0" applyProtection="0"/>
    <xf numFmtId="38" fontId="77" fillId="0" borderId="86" applyNumberFormat="0" applyFont="0" applyFill="0" applyAlignment="0" applyProtection="0"/>
    <xf numFmtId="38" fontId="164" fillId="0" borderId="0" applyNumberFormat="0" applyAlignment="0" applyProtection="0"/>
    <xf numFmtId="0" fontId="33" fillId="0" borderId="86" applyNumberFormat="0" applyFont="0" applyFill="0" applyAlignment="0" applyProtection="0"/>
    <xf numFmtId="0" fontId="33" fillId="0" borderId="56" applyNumberFormat="0" applyFont="0" applyFill="0" applyAlignment="0" applyProtection="0"/>
    <xf numFmtId="0" fontId="33" fillId="0" borderId="0">
      <alignment vertical="center"/>
    </xf>
    <xf numFmtId="37" fontId="77" fillId="0" borderId="0"/>
    <xf numFmtId="9" fontId="288" fillId="0" borderId="0" applyNumberFormat="0" applyFill="0" applyBorder="0" applyAlignment="0"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93" fontId="33" fillId="0" borderId="0" applyFont="0" applyFill="0" applyBorder="0" applyAlignment="0" applyProtection="0"/>
    <xf numFmtId="294" fontId="33" fillId="0" borderId="0" applyFont="0" applyFill="0" applyBorder="0" applyAlignment="0" applyProtection="0"/>
    <xf numFmtId="0" fontId="33" fillId="0" borderId="0">
      <alignment horizontal="center" textRotation="180"/>
    </xf>
    <xf numFmtId="295" fontId="11" fillId="0" borderId="0" applyFont="0" applyFill="0" applyBorder="0" applyAlignment="0" applyProtection="0"/>
    <xf numFmtId="296" fontId="11" fillId="0" borderId="0" applyFont="0" applyFill="0" applyBorder="0" applyAlignment="0" applyProtection="0"/>
    <xf numFmtId="297" fontId="58" fillId="0" borderId="0" applyFont="0" applyFill="0" applyBorder="0" applyAlignment="0" applyProtection="0"/>
    <xf numFmtId="298" fontId="55" fillId="0" borderId="0" applyFont="0" applyFill="0" applyBorder="0" applyAlignment="0" applyProtection="0"/>
    <xf numFmtId="295" fontId="11" fillId="0" borderId="0" applyFont="0" applyFill="0" applyBorder="0" applyAlignment="0" applyProtection="0"/>
    <xf numFmtId="296" fontId="11" fillId="0" borderId="0" applyFont="0" applyFill="0" applyBorder="0" applyAlignment="0" applyProtection="0"/>
    <xf numFmtId="0" fontId="289" fillId="0" borderId="0" applyNumberFormat="0" applyFill="0" applyBorder="0" applyAlignment="0" applyProtection="0">
      <alignment vertical="center"/>
    </xf>
    <xf numFmtId="0" fontId="192" fillId="0" borderId="0" applyNumberFormat="0" applyFont="0" applyFill="0" applyBorder="0" applyProtection="0">
      <alignment horizontal="center" vertical="center" wrapText="1"/>
    </xf>
    <xf numFmtId="0" fontId="248" fillId="0" borderId="0" applyFont="0" applyFill="0" applyBorder="0" applyAlignment="0" applyProtection="0"/>
    <xf numFmtId="299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299" fontId="248" fillId="0" borderId="0" applyFont="0" applyFill="0" applyBorder="0" applyAlignment="0" applyProtection="0"/>
    <xf numFmtId="299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299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48" fillId="0" borderId="0" applyFont="0" applyFill="0" applyBorder="0" applyAlignment="0" applyProtection="0"/>
    <xf numFmtId="0" fontId="290" fillId="0" borderId="0" applyNumberFormat="0" applyFill="0" applyBorder="0" applyAlignment="0" applyProtection="0"/>
    <xf numFmtId="205" fontId="55" fillId="0" borderId="0" applyFont="0" applyFill="0" applyBorder="0" applyAlignment="0" applyProtection="0"/>
    <xf numFmtId="0" fontId="33" fillId="0" borderId="0" applyFont="0" applyFill="0" applyBorder="0" applyAlignment="0"/>
    <xf numFmtId="38" fontId="77" fillId="0" borderId="0"/>
    <xf numFmtId="218" fontId="139" fillId="0" borderId="0" applyFont="0" applyFill="0" applyBorder="0" applyAlignment="0" applyProtection="0"/>
    <xf numFmtId="0" fontId="291" fillId="0" borderId="0" applyNumberFormat="0" applyFill="0" applyBorder="0" applyAlignment="0" applyProtection="0">
      <alignment vertical="top"/>
      <protection locked="0"/>
    </xf>
    <xf numFmtId="0" fontId="292" fillId="0" borderId="0" applyNumberFormat="0" applyFill="0" applyBorder="0" applyAlignment="0" applyProtection="0">
      <alignment vertical="top"/>
      <protection locked="0"/>
    </xf>
    <xf numFmtId="0" fontId="293" fillId="0" borderId="0"/>
    <xf numFmtId="0" fontId="57" fillId="0" borderId="0"/>
    <xf numFmtId="0" fontId="64" fillId="0" borderId="0"/>
    <xf numFmtId="9" fontId="55" fillId="0" borderId="0" applyFont="0" applyFill="0" applyBorder="0" applyAlignment="0" applyProtection="0"/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8" fillId="85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8" fillId="85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8" fillId="86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8" fillId="86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3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8" fillId="8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8" fillId="8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47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8" fillId="82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8" fillId="82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1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8" fillId="83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8" fillId="83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5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8" fillId="88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8" fillId="88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0" fontId="107" fillId="59" borderId="0" applyNumberFormat="0" applyBorder="0" applyAlignment="0" applyProtection="0">
      <alignment vertical="center"/>
    </xf>
    <xf numFmtId="38" fontId="64" fillId="0" borderId="0"/>
    <xf numFmtId="14" fontId="294" fillId="0" borderId="0">
      <alignment horizont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6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6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8" fillId="70" borderId="185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8" fillId="70" borderId="185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0" fontId="297" fillId="37" borderId="173" applyNumberFormat="0" applyAlignment="0" applyProtection="0">
      <alignment vertical="center"/>
    </xf>
    <xf numFmtId="3" fontId="299" fillId="0" borderId="0">
      <alignment horizontal="left" wrapText="1"/>
    </xf>
    <xf numFmtId="0" fontId="55" fillId="0" borderId="0">
      <protection locked="0"/>
    </xf>
    <xf numFmtId="2" fontId="300" fillId="0" borderId="0" applyFont="0" applyFill="0" applyBorder="0" applyAlignment="0" applyProtection="0"/>
    <xf numFmtId="0" fontId="183" fillId="0" borderId="0">
      <protection locked="0"/>
    </xf>
    <xf numFmtId="0" fontId="301" fillId="0" borderId="0" applyNumberFormat="0" applyFill="0" applyBorder="0" applyAlignment="0" applyProtection="0"/>
    <xf numFmtId="0" fontId="183" fillId="0" borderId="0">
      <protection locked="0"/>
    </xf>
    <xf numFmtId="0" fontId="302" fillId="0" borderId="0" applyNumberFormat="0" applyFill="0" applyBorder="0" applyAlignment="0" applyProtection="0"/>
    <xf numFmtId="300" fontId="55" fillId="0" borderId="0"/>
    <xf numFmtId="301" fontId="299" fillId="0" borderId="0">
      <alignment horizontal="right"/>
    </xf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205" fontId="66" fillId="0" borderId="0"/>
    <xf numFmtId="0" fontId="303" fillId="0" borderId="0"/>
    <xf numFmtId="0" fontId="55" fillId="0" borderId="0"/>
    <xf numFmtId="302" fontId="93" fillId="0" borderId="122">
      <alignment horizontal="right" vertical="center"/>
    </xf>
    <xf numFmtId="303" fontId="304" fillId="91" borderId="193" applyFont="0" applyFill="0" applyBorder="0" applyProtection="0">
      <alignment horizontal="right" vertical="center" shrinkToFit="1"/>
    </xf>
    <xf numFmtId="0" fontId="305" fillId="0" borderId="0" applyNumberFormat="0" applyFill="0" applyBorder="0" applyAlignment="0" applyProtection="0">
      <alignment vertical="top"/>
      <protection locked="0"/>
    </xf>
    <xf numFmtId="38" fontId="84" fillId="0" borderId="0"/>
    <xf numFmtId="0" fontId="306" fillId="0" borderId="0" applyNumberFormat="0" applyFill="0" applyBorder="0" applyProtection="0">
      <alignment vertical="center"/>
    </xf>
    <xf numFmtId="304" fontId="11" fillId="0" borderId="0" applyFont="0" applyFill="0" applyBorder="0" applyAlignment="0" applyProtection="0"/>
    <xf numFmtId="0" fontId="66" fillId="0" borderId="0"/>
    <xf numFmtId="0" fontId="66" fillId="0" borderId="0"/>
    <xf numFmtId="0" fontId="66" fillId="0" borderId="0"/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8" fillId="72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8" fillId="72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0" fontId="307" fillId="34" borderId="0" applyNumberFormat="0" applyBorder="0" applyAlignment="0" applyProtection="0">
      <alignment vertical="center"/>
    </xf>
    <xf numFmtId="3" fontId="299" fillId="0" borderId="0">
      <alignment horizontal="left"/>
    </xf>
    <xf numFmtId="0" fontId="68" fillId="0" borderId="0">
      <protection locked="0"/>
    </xf>
    <xf numFmtId="14" fontId="126" fillId="0" borderId="0" applyFill="0" applyBorder="0" applyProtection="0">
      <alignment horizontal="center" vertical="center"/>
    </xf>
    <xf numFmtId="0" fontId="300" fillId="0" borderId="0" applyFont="0" applyFill="0" applyBorder="0" applyAlignment="0" applyProtection="0"/>
    <xf numFmtId="0" fontId="309" fillId="0" borderId="0" applyFill="0" applyBorder="0" applyProtection="0">
      <alignment vertical="center"/>
    </xf>
    <xf numFmtId="0" fontId="55" fillId="106" borderId="0">
      <alignment horizontal="left"/>
    </xf>
    <xf numFmtId="0" fontId="68" fillId="0" borderId="0">
      <protection locked="0"/>
    </xf>
    <xf numFmtId="0" fontId="300" fillId="0" borderId="0" applyFont="0" applyFill="0" applyBorder="0" applyAlignment="0" applyProtection="0"/>
    <xf numFmtId="0" fontId="310" fillId="0" borderId="0" applyNumberFormat="0" applyFill="0" applyBorder="0" applyAlignment="0" applyProtection="0">
      <alignment vertical="top"/>
      <protection locked="0"/>
    </xf>
    <xf numFmtId="43" fontId="33" fillId="0" borderId="0" applyFont="0" applyFill="0" applyBorder="0" applyAlignment="0" applyProtection="0"/>
    <xf numFmtId="305" fontId="11" fillId="0" borderId="0" applyFont="0" applyFill="0" applyBorder="0" applyAlignment="0" applyProtection="0"/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3" fillId="99" borderId="19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3" fillId="99" borderId="19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4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102" fillId="30" borderId="125" applyNumberFormat="0" applyFont="0" applyAlignment="0" applyProtection="0">
      <alignment vertical="center"/>
    </xf>
    <xf numFmtId="0" fontId="311" fillId="0" borderId="0" applyFont="0" applyFill="0" applyBorder="0" applyAlignment="0" applyProtection="0"/>
    <xf numFmtId="0" fontId="311" fillId="0" borderId="0" applyFont="0" applyFill="0" applyBorder="0" applyAlignment="0" applyProtection="0"/>
    <xf numFmtId="296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55" fillId="0" borderId="0"/>
    <xf numFmtId="0" fontId="312" fillId="0" borderId="0"/>
    <xf numFmtId="306" fontId="55" fillId="0" borderId="0"/>
    <xf numFmtId="0" fontId="61" fillId="0" borderId="209" applyFont="0" applyFill="0" applyBorder="0" applyAlignment="0" applyProtection="0"/>
    <xf numFmtId="0" fontId="61" fillId="0" borderId="209" applyFont="0" applyFill="0" applyBorder="0" applyAlignment="0" applyProtection="0"/>
    <xf numFmtId="0" fontId="61" fillId="0" borderId="209" applyFont="0" applyFill="0" applyBorder="0" applyAlignment="0" applyProtection="0"/>
    <xf numFmtId="9" fontId="84" fillId="94" borderId="0" applyFill="0" applyBorder="0" applyProtection="0">
      <alignment horizontal="right"/>
    </xf>
    <xf numFmtId="10" fontId="84" fillId="0" borderId="0" applyFill="0" applyBorder="0" applyProtection="0">
      <alignment horizontal="right"/>
    </xf>
    <xf numFmtId="9" fontId="1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13" fillId="0" borderId="0" applyFont="0" applyFill="0" applyBorder="0" applyAlignment="0" applyProtection="0">
      <alignment vertical="center"/>
    </xf>
    <xf numFmtId="9" fontId="314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1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02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256" fontId="126" fillId="0" borderId="210" applyFill="0" applyBorder="0" applyProtection="0">
      <alignment vertical="center"/>
    </xf>
    <xf numFmtId="0" fontId="315" fillId="107" borderId="0" applyFill="0">
      <alignment vertical="center"/>
    </xf>
    <xf numFmtId="307" fontId="25" fillId="0" borderId="0">
      <alignment vertical="center"/>
    </xf>
    <xf numFmtId="0" fontId="316" fillId="0" borderId="0" applyNumberFormat="0" applyFill="0" applyBorder="0" applyProtection="0">
      <alignment horizontal="centerContinuous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8" fillId="98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8" fillId="98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17" fillId="35" borderId="0" applyNumberFormat="0" applyBorder="0" applyAlignment="0" applyProtection="0">
      <alignment vertical="center"/>
    </xf>
    <xf numFmtId="0" fontId="317" fillId="35" borderId="0" applyNumberFormat="0" applyBorder="0" applyAlignment="0" applyProtection="0">
      <alignment vertical="center"/>
    </xf>
    <xf numFmtId="0" fontId="33" fillId="0" borderId="0"/>
    <xf numFmtId="0" fontId="319" fillId="0" borderId="0"/>
    <xf numFmtId="0" fontId="320" fillId="0" borderId="0"/>
    <xf numFmtId="0" fontId="320" fillId="0" borderId="0"/>
    <xf numFmtId="308" fontId="11" fillId="108" borderId="122" applyNumberFormat="0">
      <alignment vertical="center"/>
    </xf>
    <xf numFmtId="308" fontId="11" fillId="108" borderId="122" applyNumberFormat="0">
      <alignment vertical="center"/>
    </xf>
    <xf numFmtId="308" fontId="11" fillId="0" borderId="122">
      <alignment vertical="center"/>
    </xf>
    <xf numFmtId="308" fontId="11" fillId="0" borderId="122">
      <alignment vertical="center"/>
    </xf>
    <xf numFmtId="0" fontId="321" fillId="0" borderId="0"/>
    <xf numFmtId="0" fontId="322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23" fillId="0" borderId="0" applyFont="0" applyFill="0" applyBorder="0" applyAlignment="0" applyProtection="0"/>
    <xf numFmtId="0" fontId="323" fillId="0" borderId="0" applyFont="0" applyFill="0" applyBorder="0" applyAlignment="0" applyProtection="0"/>
    <xf numFmtId="37" fontId="61" fillId="0" borderId="205" applyAlignment="0"/>
    <xf numFmtId="0" fontId="61" fillId="0" borderId="205" applyAlignment="0"/>
    <xf numFmtId="0" fontId="324" fillId="0" borderId="122" applyNumberFormat="0" applyFont="0" applyFill="0" applyBorder="0" applyProtection="0">
      <alignment horizontal="centerContinuous" vertical="center"/>
    </xf>
    <xf numFmtId="3" fontId="172" fillId="0" borderId="122"/>
    <xf numFmtId="0" fontId="172" fillId="0" borderId="122"/>
    <xf numFmtId="3" fontId="172" fillId="0" borderId="211"/>
    <xf numFmtId="3" fontId="172" fillId="0" borderId="212"/>
    <xf numFmtId="0" fontId="325" fillId="0" borderId="122"/>
    <xf numFmtId="0" fontId="326" fillId="0" borderId="0">
      <alignment horizontal="center"/>
    </xf>
    <xf numFmtId="0" fontId="69" fillId="0" borderId="76">
      <alignment horizont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8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7" fillId="0" borderId="0" applyNumberFormat="0" applyFill="0" applyBorder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0" fillId="13" borderId="18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0" fillId="13" borderId="18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29" fillId="38" borderId="176" applyNumberFormat="0" applyAlignment="0" applyProtection="0">
      <alignment vertical="center"/>
    </xf>
    <xf numFmtId="0" fontId="329" fillId="38" borderId="176" applyNumberFormat="0" applyAlignment="0" applyProtection="0">
      <alignment vertical="center"/>
    </xf>
    <xf numFmtId="204" fontId="11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331" fillId="0" borderId="0">
      <alignment vertical="center"/>
    </xf>
    <xf numFmtId="0" fontId="55" fillId="0" borderId="0">
      <alignment vertical="center"/>
    </xf>
    <xf numFmtId="0" fontId="331" fillId="0" borderId="0">
      <alignment vertical="center"/>
    </xf>
    <xf numFmtId="304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102" fillId="0" borderId="0">
      <alignment vertical="center"/>
    </xf>
    <xf numFmtId="0" fontId="102" fillId="0" borderId="0">
      <alignment vertical="center"/>
    </xf>
    <xf numFmtId="41" fontId="104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3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13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14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309" fontId="55" fillId="0" borderId="0" applyFont="0" applyFill="0" applyBorder="0" applyAlignment="0" applyProtection="0"/>
    <xf numFmtId="41" fontId="313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41" fontId="11" fillId="0" borderId="0" applyFont="0" applyFill="0" applyBorder="0" applyAlignment="0" applyProtection="0"/>
    <xf numFmtId="41" fontId="324" fillId="0" borderId="0" applyFont="0" applyFill="0" applyBorder="0" applyAlignment="0" applyProtection="0"/>
    <xf numFmtId="309" fontId="55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309" fontId="55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33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02" fillId="0" borderId="0" applyFont="0" applyFill="0" applyBorder="0" applyAlignment="0" applyProtection="0">
      <alignment vertical="center"/>
    </xf>
    <xf numFmtId="43" fontId="102" fillId="0" borderId="0" applyFont="0" applyFill="0" applyBorder="0" applyAlignment="0" applyProtection="0"/>
    <xf numFmtId="43" fontId="102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199" fontId="61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02" fillId="0" borderId="0" applyFont="0" applyFill="0" applyBorder="0" applyAlignment="0" applyProtection="0"/>
    <xf numFmtId="0" fontId="33" fillId="0" borderId="0"/>
    <xf numFmtId="0" fontId="33" fillId="0" borderId="0" applyNumberFormat="0" applyFill="0" applyBorder="0" applyAlignment="0" applyProtection="0"/>
    <xf numFmtId="0" fontId="55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/>
    <xf numFmtId="0" fontId="6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/>
    <xf numFmtId="0" fontId="85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42" fontId="11" fillId="0" borderId="0" applyFont="0" applyFill="0" applyBorder="0" applyAlignment="0" applyProtection="0"/>
    <xf numFmtId="0" fontId="11" fillId="0" borderId="0"/>
    <xf numFmtId="0" fontId="55" fillId="0" borderId="0"/>
    <xf numFmtId="0" fontId="11" fillId="0" borderId="0"/>
    <xf numFmtId="0" fontId="55" fillId="0" borderId="0" applyFont="0" applyFill="0" applyBorder="0" applyAlignment="0" applyProtection="0"/>
    <xf numFmtId="0" fontId="11" fillId="0" borderId="0"/>
    <xf numFmtId="0" fontId="55" fillId="0" borderId="0" applyFont="0" applyFill="0" applyBorder="0" applyAlignment="0" applyProtection="0"/>
    <xf numFmtId="0" fontId="11" fillId="0" borderId="0"/>
    <xf numFmtId="0" fontId="55" fillId="0" borderId="0" applyFont="0" applyFill="0" applyBorder="0" applyAlignment="0" applyProtection="0"/>
    <xf numFmtId="0" fontId="11" fillId="0" borderId="0"/>
    <xf numFmtId="40" fontId="192" fillId="0" borderId="0" applyFont="0" applyFill="0" applyBorder="0" applyAlignment="0" applyProtection="0"/>
    <xf numFmtId="43" fontId="33" fillId="0" borderId="0" applyFont="0" applyFill="0" applyBorder="0" applyAlignment="0" applyProtection="0"/>
    <xf numFmtId="15" fontId="33" fillId="0" borderId="0"/>
    <xf numFmtId="0" fontId="85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33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0" fontId="334" fillId="0" borderId="0" applyFont="0" applyFill="0" applyBorder="0" applyAlignment="0" applyProtection="0"/>
    <xf numFmtId="0" fontId="8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8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6" fillId="0" borderId="0">
      <alignment vertical="center"/>
    </xf>
    <xf numFmtId="0" fontId="55" fillId="0" borderId="0" applyFont="0" applyFill="0" applyBorder="0" applyAlignment="0" applyProtection="0"/>
    <xf numFmtId="0" fontId="335" fillId="0" borderId="181"/>
    <xf numFmtId="310" fontId="55" fillId="0" borderId="0"/>
    <xf numFmtId="311" fontId="55" fillId="0" borderId="0"/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7" fillId="0" borderId="199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7" fillId="0" borderId="199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36" fillId="0" borderId="175" applyNumberFormat="0" applyFill="0" applyAlignment="0" applyProtection="0">
      <alignment vertical="center"/>
    </xf>
    <xf numFmtId="0" fontId="336" fillId="0" borderId="175" applyNumberFormat="0" applyFill="0" applyAlignment="0" applyProtection="0">
      <alignment vertical="center"/>
    </xf>
    <xf numFmtId="312" fontId="55" fillId="0" borderId="0"/>
    <xf numFmtId="0" fontId="338" fillId="0" borderId="0" applyNumberFormat="0" applyFill="0" applyBorder="0" applyAlignment="0" applyProtection="0">
      <alignment vertical="top"/>
      <protection locked="0"/>
    </xf>
    <xf numFmtId="313" fontId="33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303" fillId="0" borderId="0"/>
    <xf numFmtId="9" fontId="340" fillId="109" borderId="0" applyBorder="0" applyAlignment="0" applyProtection="0">
      <alignment horizontal="center"/>
    </xf>
    <xf numFmtId="0" fontId="323" fillId="0" borderId="0" applyFont="0" applyFill="0" applyBorder="0" applyAlignment="0" applyProtection="0"/>
    <xf numFmtId="0" fontId="323" fillId="0" borderId="0" applyFont="0" applyFill="0" applyBorder="0" applyAlignment="0" applyProtection="0"/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2" fillId="0" borderId="213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2" fillId="0" borderId="213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1" fillId="0" borderId="126" applyNumberFormat="0" applyFill="0" applyAlignment="0" applyProtection="0">
      <alignment vertical="center"/>
    </xf>
    <xf numFmtId="0" fontId="341" fillId="0" borderId="126" applyNumberFormat="0" applyFill="0" applyAlignment="0" applyProtection="0">
      <alignment vertical="center"/>
    </xf>
    <xf numFmtId="314" fontId="11" fillId="0" borderId="0" applyFont="0" applyFill="0" applyBorder="0" applyAlignment="0" applyProtection="0"/>
    <xf numFmtId="314" fontId="11" fillId="0" borderId="0" applyFont="0" applyFill="0" applyBorder="0" applyAlignment="0" applyProtection="0"/>
    <xf numFmtId="315" fontId="11" fillId="0" borderId="0" applyFont="0" applyFill="0" applyBorder="0" applyAlignment="0" applyProtection="0"/>
    <xf numFmtId="316" fontId="55" fillId="0" borderId="0" applyFont="0" applyFill="0" applyBorder="0" applyAlignment="0" applyProtection="0"/>
    <xf numFmtId="317" fontId="11" fillId="0" borderId="0" applyFont="0" applyFill="0" applyBorder="0" applyAlignment="0" applyProtection="0"/>
    <xf numFmtId="318" fontId="343" fillId="0" borderId="0" applyFont="0" applyFill="0" applyBorder="0" applyAlignment="0" applyProtection="0"/>
    <xf numFmtId="319" fontId="11" fillId="0" borderId="0" applyFont="0" applyFill="0" applyBorder="0" applyAlignment="0" applyProtection="0"/>
    <xf numFmtId="320" fontId="11" fillId="0" borderId="0" applyFont="0" applyFill="0" applyBorder="0" applyAlignment="0" applyProtection="0"/>
    <xf numFmtId="321" fontId="11" fillId="0" borderId="0" applyFill="0" applyAlignment="0" applyProtection="0"/>
    <xf numFmtId="321" fontId="11" fillId="0" borderId="0" applyFill="0" applyAlignment="0" applyProtection="0"/>
    <xf numFmtId="321" fontId="11" fillId="0" borderId="0" applyFill="0" applyAlignment="0" applyProtection="0"/>
    <xf numFmtId="0" fontId="343" fillId="0" borderId="0" applyFont="0" applyFill="0" applyBorder="0" applyAlignment="0" applyProtection="0"/>
    <xf numFmtId="318" fontId="343" fillId="0" borderId="0" applyFont="0" applyFill="0" applyBorder="0" applyAlignment="0" applyProtection="0"/>
    <xf numFmtId="322" fontId="11" fillId="0" borderId="0" applyFont="0" applyFill="0" applyBorder="0" applyAlignment="0" applyProtection="0"/>
    <xf numFmtId="318" fontId="343" fillId="0" borderId="0" applyFont="0" applyFill="0" applyBorder="0" applyAlignment="0" applyProtection="0"/>
    <xf numFmtId="318" fontId="343" fillId="0" borderId="0" applyFont="0" applyFill="0" applyBorder="0" applyAlignment="0" applyProtection="0"/>
    <xf numFmtId="318" fontId="343" fillId="0" borderId="0" applyFont="0" applyFill="0" applyBorder="0" applyAlignment="0" applyProtection="0"/>
    <xf numFmtId="323" fontId="67" fillId="0" borderId="0" applyFill="0" applyBorder="0" applyProtection="0">
      <alignment horizontal="right"/>
    </xf>
    <xf numFmtId="0" fontId="77" fillId="0" borderId="0" applyBorder="0" applyAlignment="0">
      <alignment horizontal="right"/>
    </xf>
    <xf numFmtId="0" fontId="61" fillId="0" borderId="214">
      <alignment vertical="justify" wrapText="1"/>
    </xf>
    <xf numFmtId="0" fontId="61" fillId="0" borderId="214">
      <alignment vertical="justify" wrapText="1"/>
    </xf>
    <xf numFmtId="0" fontId="61" fillId="0" borderId="214">
      <alignment vertical="justify" wrapText="1"/>
    </xf>
    <xf numFmtId="0" fontId="63" fillId="0" borderId="0"/>
    <xf numFmtId="0" fontId="55" fillId="0" borderId="0"/>
    <xf numFmtId="317" fontId="55" fillId="0" borderId="0" applyFill="0" applyBorder="0" applyAlignment="0" applyProtection="0"/>
    <xf numFmtId="324" fontId="55" fillId="0" borderId="122" applyFont="0" applyFill="0" applyBorder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5" fillId="76" borderId="185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5" fillId="76" borderId="185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4" fillId="36" borderId="173" applyNumberFormat="0" applyAlignment="0" applyProtection="0">
      <alignment vertical="center"/>
    </xf>
    <xf numFmtId="0" fontId="344" fillId="36" borderId="173" applyNumberFormat="0" applyAlignment="0" applyProtection="0">
      <alignment vertical="center"/>
    </xf>
    <xf numFmtId="4" fontId="68" fillId="0" borderId="0">
      <protection locked="0"/>
    </xf>
    <xf numFmtId="4" fontId="300" fillId="0" borderId="0" applyFont="0" applyFill="0" applyBorder="0" applyAlignment="0" applyProtection="0"/>
    <xf numFmtId="0" fontId="55" fillId="0" borderId="0">
      <protection locked="0"/>
    </xf>
    <xf numFmtId="3" fontId="300" fillId="0" borderId="0" applyFont="0" applyFill="0" applyBorder="0" applyAlignment="0" applyProtection="0"/>
    <xf numFmtId="325" fontId="55" fillId="0" borderId="0">
      <alignment horizontal="center" vertical="center"/>
    </xf>
    <xf numFmtId="326" fontId="55" fillId="0" borderId="0"/>
    <xf numFmtId="327" fontId="55" fillId="0" borderId="0"/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7" fillId="0" borderId="215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7" fillId="0" borderId="215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6" fillId="0" borderId="170" applyNumberFormat="0" applyFill="0" applyAlignment="0" applyProtection="0">
      <alignment vertical="center"/>
    </xf>
    <xf numFmtId="0" fontId="346" fillId="0" borderId="170" applyNumberFormat="0" applyFill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0" fillId="0" borderId="216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0" fillId="0" borderId="216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9" fillId="0" borderId="171" applyNumberFormat="0" applyFill="0" applyAlignment="0" applyProtection="0">
      <alignment vertical="center"/>
    </xf>
    <xf numFmtId="0" fontId="349" fillId="0" borderId="171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2" fillId="0" borderId="197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2" fillId="0" borderId="197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172" applyNumberFormat="0" applyFill="0" applyAlignment="0" applyProtection="0">
      <alignment vertical="center"/>
    </xf>
    <xf numFmtId="0" fontId="351" fillId="0" borderId="172" applyNumberFormat="0" applyFill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2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2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1" fillId="0" borderId="0" applyNumberFormat="0" applyFill="0" applyBorder="0" applyAlignment="0" applyProtection="0">
      <alignment vertical="center"/>
    </xf>
    <xf numFmtId="0" fontId="351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3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3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48" fillId="0" borderId="0" applyNumberFormat="0" applyFill="0" applyBorder="0" applyAlignment="0" applyProtection="0">
      <alignment vertical="center"/>
    </xf>
    <xf numFmtId="0" fontId="34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4" fillId="0" borderId="0" applyFill="0" applyBorder="0" applyProtection="0">
      <alignment vertical="center"/>
    </xf>
    <xf numFmtId="0" fontId="355" fillId="0" borderId="0"/>
    <xf numFmtId="328" fontId="55" fillId="0" borderId="122">
      <alignment horizontal="left" vertical="center"/>
    </xf>
    <xf numFmtId="0" fontId="11" fillId="0" borderId="0" applyFont="0" applyFill="0" applyBorder="0" applyAlignment="0" applyProtection="0"/>
    <xf numFmtId="329" fontId="33" fillId="0" borderId="0" applyFill="0" applyBorder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7" fillId="7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7" fillId="7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6" fillId="33" borderId="0" applyNumberFormat="0" applyBorder="0" applyAlignment="0" applyProtection="0">
      <alignment vertical="center"/>
    </xf>
    <xf numFmtId="0" fontId="356" fillId="33" borderId="0" applyNumberFormat="0" applyBorder="0" applyAlignment="0" applyProtection="0">
      <alignment vertical="center"/>
    </xf>
    <xf numFmtId="0" fontId="55" fillId="0" borderId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330" fontId="63" fillId="0" borderId="0">
      <alignment horizontal="right" vertical="center"/>
    </xf>
    <xf numFmtId="0" fontId="55" fillId="0" borderId="0"/>
    <xf numFmtId="41" fontId="80" fillId="0" borderId="0" applyFont="0" applyFill="0" applyBorder="0" applyAlignment="0" applyProtection="0"/>
    <xf numFmtId="43" fontId="80" fillId="0" borderId="0" applyFont="0" applyFill="0" applyBorder="0" applyAlignment="0" applyProtection="0"/>
    <xf numFmtId="40" fontId="58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09" fillId="0" borderId="0"/>
    <xf numFmtId="41" fontId="358" fillId="0" borderId="0" applyFont="0" applyFill="0" applyBorder="0" applyAlignment="0" applyProtection="0"/>
    <xf numFmtId="43" fontId="358" fillId="0" borderId="0" applyFont="0" applyFill="0" applyBorder="0" applyAlignment="0" applyProtection="0"/>
    <xf numFmtId="203" fontId="32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60" fillId="70" borderId="201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60" fillId="70" borderId="201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9" fillId="37" borderId="174" applyNumberFormat="0" applyAlignment="0" applyProtection="0">
      <alignment vertical="center"/>
    </xf>
    <xf numFmtId="0" fontId="359" fillId="37" borderId="174" applyNumberFormat="0" applyAlignment="0" applyProtection="0">
      <alignment vertical="center"/>
    </xf>
    <xf numFmtId="331" fontId="55" fillId="0" borderId="0"/>
    <xf numFmtId="0" fontId="61" fillId="0" borderId="0" applyFont="0" applyFill="0" applyBorder="0" applyAlignment="0" applyProtection="0"/>
    <xf numFmtId="203" fontId="93" fillId="0" borderId="0" applyFont="0" applyFill="0" applyBorder="0" applyAlignment="0" applyProtection="0"/>
    <xf numFmtId="203" fontId="93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332" fontId="33" fillId="0" borderId="0" applyFont="0" applyFill="0" applyBorder="0" applyAlignment="0" applyProtection="0"/>
    <xf numFmtId="0" fontId="36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33" fillId="0" borderId="0" applyFont="0" applyFill="0" applyBorder="0" applyAlignment="0" applyProtection="0"/>
    <xf numFmtId="203" fontId="11" fillId="0" borderId="49"/>
    <xf numFmtId="205" fontId="11" fillId="0" borderId="0"/>
    <xf numFmtId="203" fontId="11" fillId="0" borderId="0"/>
    <xf numFmtId="333" fontId="82" fillId="0" borderId="217">
      <alignment vertical="center"/>
    </xf>
    <xf numFmtId="334" fontId="55" fillId="94" borderId="0" applyFill="0" applyBorder="0" applyProtection="0">
      <alignment horizontal="right"/>
    </xf>
    <xf numFmtId="210" fontId="64" fillId="0" borderId="0" applyFont="0" applyFill="0" applyBorder="0" applyAlignment="0" applyProtection="0"/>
    <xf numFmtId="0" fontId="64" fillId="0" borderId="0"/>
    <xf numFmtId="0" fontId="55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362" fillId="0" borderId="0" applyFont="0" applyFill="0" applyBorder="0" applyAlignment="0" applyProtection="0"/>
    <xf numFmtId="335" fontId="80" fillId="0" borderId="0" applyFont="0" applyFill="0" applyBorder="0" applyAlignment="0" applyProtection="0"/>
    <xf numFmtId="336" fontId="80" fillId="0" borderId="0" applyFont="0" applyFill="0" applyBorder="0" applyAlignment="0" applyProtection="0"/>
    <xf numFmtId="0" fontId="363" fillId="110" borderId="0" applyBorder="0" applyAlignment="0" applyProtection="0"/>
    <xf numFmtId="0" fontId="364" fillId="0" borderId="0" applyNumberFormat="0" applyFill="0" applyBorder="0" applyAlignment="0" applyProtection="0">
      <alignment vertical="top"/>
      <protection locked="0"/>
    </xf>
    <xf numFmtId="0" fontId="365" fillId="0" borderId="184" applyNumberFormat="0" applyFont="0" applyFill="0" applyAlignment="0" applyProtection="0">
      <alignment vertical="center"/>
    </xf>
    <xf numFmtId="33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5" fillId="0" borderId="0"/>
    <xf numFmtId="42" fontId="11" fillId="0" borderId="0" applyFont="0" applyFill="0" applyBorder="0" applyAlignment="0" applyProtection="0"/>
    <xf numFmtId="0" fontId="299" fillId="0" borderId="0">
      <alignment vertical="center"/>
      <protection locked="0"/>
    </xf>
    <xf numFmtId="0" fontId="366" fillId="110" borderId="218"/>
    <xf numFmtId="41" fontId="11" fillId="0" borderId="177"/>
    <xf numFmtId="338" fontId="33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55" fillId="0" borderId="0">
      <protection locked="0"/>
    </xf>
    <xf numFmtId="10" fontId="300" fillId="0" borderId="0" applyFont="0" applyFill="0" applyBorder="0" applyAlignment="0" applyProtection="0"/>
    <xf numFmtId="49" fontId="367" fillId="111" borderId="0">
      <alignment horizontal="center" vertical="center"/>
    </xf>
    <xf numFmtId="0" fontId="368" fillId="0" borderId="0" applyNumberFormat="0" applyFill="0" applyBorder="0" applyAlignment="0" applyProtection="0">
      <alignment vertical="top"/>
      <protection locked="0"/>
    </xf>
    <xf numFmtId="0" fontId="35" fillId="0" borderId="0">
      <alignment vertical="center"/>
    </xf>
    <xf numFmtId="0" fontId="33" fillId="0" borderId="0"/>
    <xf numFmtId="0" fontId="11" fillId="0" borderId="0">
      <alignment vertical="center"/>
    </xf>
    <xf numFmtId="0" fontId="33" fillId="0" borderId="0"/>
    <xf numFmtId="0" fontId="35" fillId="0" borderId="0">
      <alignment vertical="center"/>
    </xf>
    <xf numFmtId="0" fontId="369" fillId="0" borderId="0">
      <alignment vertical="center"/>
    </xf>
    <xf numFmtId="0" fontId="35" fillId="0" borderId="0">
      <alignment vertical="center"/>
    </xf>
    <xf numFmtId="0" fontId="369" fillId="0" borderId="0">
      <alignment vertical="center"/>
    </xf>
    <xf numFmtId="0" fontId="35" fillId="0" borderId="0">
      <alignment vertical="center"/>
    </xf>
    <xf numFmtId="0" fontId="36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40" fillId="0" borderId="0">
      <alignment vertical="center"/>
    </xf>
    <xf numFmtId="0" fontId="371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1" fillId="0" borderId="0">
      <alignment vertical="center"/>
    </xf>
    <xf numFmtId="0" fontId="33" fillId="0" borderId="0"/>
    <xf numFmtId="0" fontId="33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7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5" fillId="0" borderId="0"/>
    <xf numFmtId="0" fontId="11" fillId="0" borderId="0">
      <alignment vertical="center"/>
    </xf>
    <xf numFmtId="0" fontId="35" fillId="0" borderId="0">
      <alignment vertical="center"/>
    </xf>
    <xf numFmtId="0" fontId="33" fillId="0" borderId="0" applyNumberFormat="0" applyFont="0" applyFill="0" applyBorder="0" applyAlignment="0" applyProtection="0">
      <alignment vertical="top"/>
    </xf>
    <xf numFmtId="0" fontId="33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1" fillId="0" borderId="0">
      <alignment vertical="center"/>
    </xf>
    <xf numFmtId="0" fontId="54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72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/>
    <xf numFmtId="0" fontId="1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314" fillId="0" borderId="0">
      <alignment vertical="center"/>
    </xf>
    <xf numFmtId="0" fontId="104" fillId="0" borderId="0">
      <alignment vertical="center"/>
    </xf>
    <xf numFmtId="0" fontId="35" fillId="0" borderId="0">
      <alignment vertical="center"/>
    </xf>
    <xf numFmtId="0" fontId="104" fillId="0" borderId="0">
      <alignment vertical="center"/>
    </xf>
    <xf numFmtId="0" fontId="102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1" fillId="0" borderId="0">
      <alignment vertical="center"/>
    </xf>
    <xf numFmtId="0" fontId="46" fillId="0" borderId="0">
      <alignment vertical="center"/>
    </xf>
    <xf numFmtId="0" fontId="314" fillId="0" borderId="0">
      <alignment vertical="center"/>
    </xf>
    <xf numFmtId="0" fontId="313" fillId="0" borderId="0">
      <alignment vertical="center"/>
    </xf>
    <xf numFmtId="0" fontId="35" fillId="0" borderId="0">
      <alignment vertical="center"/>
    </xf>
    <xf numFmtId="0" fontId="313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1" fillId="0" borderId="0"/>
    <xf numFmtId="0" fontId="35" fillId="0" borderId="0">
      <alignment vertical="center"/>
    </xf>
    <xf numFmtId="0" fontId="314" fillId="0" borderId="0">
      <alignment vertical="center"/>
    </xf>
    <xf numFmtId="0" fontId="33" fillId="0" borderId="0"/>
    <xf numFmtId="0" fontId="35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2" fillId="0" borderId="0">
      <alignment vertical="center"/>
    </xf>
    <xf numFmtId="0" fontId="104" fillId="0" borderId="0">
      <alignment vertical="center"/>
    </xf>
    <xf numFmtId="0" fontId="33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55" fillId="0" borderId="0"/>
    <xf numFmtId="0" fontId="314" fillId="0" borderId="0">
      <alignment vertical="center"/>
    </xf>
    <xf numFmtId="0" fontId="33" fillId="0" borderId="0"/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6" fillId="0" borderId="0">
      <alignment vertical="center"/>
    </xf>
    <xf numFmtId="0" fontId="35" fillId="0" borderId="0">
      <alignment vertical="center"/>
    </xf>
    <xf numFmtId="0" fontId="33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73" fillId="0" borderId="0">
      <alignment vertical="center"/>
    </xf>
    <xf numFmtId="0" fontId="35" fillId="0" borderId="0">
      <alignment vertical="center"/>
    </xf>
    <xf numFmtId="0" fontId="374" fillId="0" borderId="0"/>
    <xf numFmtId="0" fontId="375" fillId="0" borderId="0">
      <alignment horizontal="center" wrapText="1"/>
    </xf>
    <xf numFmtId="0" fontId="299" fillId="0" borderId="0"/>
    <xf numFmtId="0" fontId="55" fillId="0" borderId="0"/>
    <xf numFmtId="0" fontId="376" fillId="0" borderId="0" applyNumberFormat="0" applyFill="0" applyBorder="0" applyAlignment="0" applyProtection="0">
      <alignment vertical="top"/>
      <protection locked="0"/>
    </xf>
    <xf numFmtId="0" fontId="377" fillId="0" borderId="0" applyNumberFormat="0" applyFill="0" applyBorder="0" applyAlignment="0" applyProtection="0">
      <alignment vertical="center"/>
    </xf>
    <xf numFmtId="0" fontId="378" fillId="0" borderId="0" applyNumberFormat="0" applyFill="0" applyBorder="0" applyAlignment="0" applyProtection="0">
      <alignment vertical="top"/>
      <protection locked="0"/>
    </xf>
    <xf numFmtId="0" fontId="379" fillId="0" borderId="0" applyNumberFormat="0" applyFill="0" applyBorder="0" applyAlignment="0" applyProtection="0">
      <alignment vertical="top"/>
      <protection locked="0"/>
    </xf>
    <xf numFmtId="0" fontId="68" fillId="0" borderId="207">
      <protection locked="0"/>
    </xf>
    <xf numFmtId="0" fontId="300" fillId="0" borderId="207" applyNumberFormat="0" applyFont="0" applyFill="0" applyAlignment="0" applyProtection="0"/>
    <xf numFmtId="210" fontId="33" fillId="0" borderId="0" applyFont="0" applyFill="0" applyBorder="0" applyAlignment="0" applyProtection="0"/>
    <xf numFmtId="38" fontId="380" fillId="0" borderId="0" applyFont="0" applyFill="0" applyBorder="0" applyAlignment="0" applyProtection="0"/>
    <xf numFmtId="40" fontId="33" fillId="0" borderId="0" applyFont="0" applyFill="0" applyBorder="0" applyAlignment="0" applyProtection="0"/>
    <xf numFmtId="38" fontId="380" fillId="0" borderId="0" applyFont="0" applyFill="0" applyBorder="0" applyAlignment="0" applyProtection="0"/>
    <xf numFmtId="0" fontId="381" fillId="112" borderId="219">
      <alignment horizontal="center"/>
    </xf>
    <xf numFmtId="336" fontId="11" fillId="0" borderId="0" applyFont="0" applyFill="0" applyBorder="0" applyAlignment="0" applyProtection="0"/>
    <xf numFmtId="335" fontId="11" fillId="0" borderId="0" applyFont="0" applyFill="0" applyBorder="0" applyAlignment="0" applyProtection="0"/>
    <xf numFmtId="8" fontId="55" fillId="0" borderId="0"/>
    <xf numFmtId="336" fontId="358" fillId="0" borderId="0" applyFont="0" applyFill="0" applyBorder="0" applyAlignment="0" applyProtection="0"/>
    <xf numFmtId="335" fontId="358" fillId="0" borderId="0" applyFont="0" applyFill="0" applyBorder="0" applyAlignment="0" applyProtection="0"/>
    <xf numFmtId="0" fontId="55" fillId="0" borderId="0">
      <protection locked="0"/>
    </xf>
    <xf numFmtId="339" fontId="11" fillId="0" borderId="0" applyFont="0" applyFill="0" applyBorder="0" applyAlignment="0" applyProtection="0"/>
    <xf numFmtId="340" fontId="85" fillId="0" borderId="0" applyFont="0" applyFill="0" applyBorder="0" applyAlignment="0" applyProtection="0"/>
    <xf numFmtId="0" fontId="55" fillId="0" borderId="0">
      <protection locked="0"/>
    </xf>
    <xf numFmtId="341" fontId="300" fillId="0" borderId="0" applyFont="0" applyFill="0" applyBorder="0" applyAlignment="0" applyProtection="0"/>
    <xf numFmtId="3" fontId="382" fillId="0" borderId="0" applyAlignment="0"/>
    <xf numFmtId="0" fontId="101" fillId="0" borderId="220">
      <alignment horizontal="left"/>
    </xf>
    <xf numFmtId="0" fontId="313" fillId="0" borderId="221" applyNumberFormat="0" applyFont="0" applyFill="0" applyProtection="0">
      <alignment horizontal="center" vertical="center" wrapText="1"/>
    </xf>
    <xf numFmtId="0" fontId="55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1" fontId="9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1" fontId="35" fillId="0" borderId="0" applyFont="0" applyFill="0" applyBorder="0" applyAlignment="0" applyProtection="0">
      <alignment vertical="center"/>
    </xf>
    <xf numFmtId="43" fontId="383" fillId="0" borderId="0" applyFont="0" applyFill="0" applyBorder="0" applyAlignment="0" applyProtection="0"/>
    <xf numFmtId="342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3" fillId="0" borderId="0"/>
    <xf numFmtId="0" fontId="384" fillId="0" borderId="0"/>
    <xf numFmtId="0" fontId="33" fillId="0" borderId="0"/>
    <xf numFmtId="9" fontId="102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85" fillId="0" borderId="0"/>
    <xf numFmtId="0" fontId="35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0" fontId="55" fillId="0" borderId="0"/>
    <xf numFmtId="342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86" fillId="0" borderId="0">
      <alignment vertical="center"/>
    </xf>
    <xf numFmtId="37" fontId="55" fillId="0" borderId="0" applyFont="0" applyFill="0" applyBorder="0" applyAlignment="0" applyProtection="0"/>
    <xf numFmtId="0" fontId="33" fillId="0" borderId="0"/>
    <xf numFmtId="41" fontId="386" fillId="0" borderId="0" applyFont="0" applyFill="0" applyBorder="0" applyAlignment="0" applyProtection="0">
      <alignment vertical="center"/>
    </xf>
    <xf numFmtId="0" fontId="386" fillId="0" borderId="0">
      <alignment vertical="center"/>
    </xf>
    <xf numFmtId="43" fontId="38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203" fontId="85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342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342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95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center" vertical="center"/>
    </xf>
    <xf numFmtId="0" fontId="8" fillId="5" borderId="3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76" fontId="6" fillId="0" borderId="36" xfId="0" applyNumberFormat="1" applyFont="1" applyBorder="1" applyAlignment="1">
      <alignment vertical="center"/>
    </xf>
    <xf numFmtId="176" fontId="6" fillId="0" borderId="38" xfId="0" applyNumberFormat="1" applyFont="1" applyBorder="1" applyAlignment="1">
      <alignment vertical="center"/>
    </xf>
    <xf numFmtId="176" fontId="6" fillId="0" borderId="39" xfId="0" applyNumberFormat="1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176" fontId="12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176" fontId="13" fillId="0" borderId="53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176" fontId="13" fillId="0" borderId="54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176" fontId="16" fillId="0" borderId="0" xfId="0" applyNumberFormat="1" applyFont="1" applyAlignment="1">
      <alignment vertical="center"/>
    </xf>
    <xf numFmtId="176" fontId="7" fillId="2" borderId="47" xfId="0" applyNumberFormat="1" applyFont="1" applyFill="1" applyBorder="1" applyAlignment="1">
      <alignment vertical="center"/>
    </xf>
    <xf numFmtId="176" fontId="7" fillId="3" borderId="47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6" fontId="6" fillId="0" borderId="47" xfId="0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176" fontId="6" fillId="0" borderId="17" xfId="0" applyNumberFormat="1" applyFont="1" applyBorder="1" applyAlignment="1">
      <alignment vertical="center"/>
    </xf>
    <xf numFmtId="176" fontId="6" fillId="0" borderId="16" xfId="0" applyNumberFormat="1" applyFont="1" applyBorder="1" applyAlignment="1">
      <alignment vertical="center"/>
    </xf>
    <xf numFmtId="176" fontId="6" fillId="0" borderId="19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vertical="center"/>
    </xf>
    <xf numFmtId="10" fontId="6" fillId="0" borderId="4" xfId="2" applyNumberFormat="1" applyFont="1" applyBorder="1" applyAlignment="1">
      <alignment vertical="center"/>
    </xf>
    <xf numFmtId="0" fontId="19" fillId="13" borderId="0" xfId="0" applyFont="1" applyFill="1" applyAlignment="1">
      <alignment horizontal="center" vertical="center" wrapText="1"/>
    </xf>
    <xf numFmtId="0" fontId="20" fillId="0" borderId="0" xfId="0" applyFont="1"/>
    <xf numFmtId="0" fontId="20" fillId="14" borderId="75" xfId="0" applyFont="1" applyFill="1" applyBorder="1" applyAlignment="1">
      <alignment vertical="center"/>
    </xf>
    <xf numFmtId="179" fontId="20" fillId="14" borderId="75" xfId="0" applyNumberFormat="1" applyFont="1" applyFill="1" applyBorder="1" applyAlignment="1">
      <alignment vertical="center"/>
    </xf>
    <xf numFmtId="41" fontId="20" fillId="0" borderId="0" xfId="1" applyFont="1"/>
    <xf numFmtId="0" fontId="20" fillId="11" borderId="0" xfId="0" applyFont="1" applyFill="1"/>
    <xf numFmtId="41" fontId="20" fillId="11" borderId="0" xfId="1" applyFont="1" applyFill="1"/>
    <xf numFmtId="0" fontId="20" fillId="15" borderId="0" xfId="0" applyFont="1" applyFill="1"/>
    <xf numFmtId="41" fontId="20" fillId="15" borderId="0" xfId="1" applyFont="1" applyFill="1"/>
    <xf numFmtId="14" fontId="8" fillId="7" borderId="5" xfId="0" applyNumberFormat="1" applyFont="1" applyFill="1" applyBorder="1" applyAlignment="1">
      <alignment horizontal="center" vertical="center"/>
    </xf>
    <xf numFmtId="14" fontId="8" fillId="7" borderId="6" xfId="0" applyNumberFormat="1" applyFont="1" applyFill="1" applyBorder="1" applyAlignment="1">
      <alignment horizontal="center" vertical="center"/>
    </xf>
    <xf numFmtId="14" fontId="8" fillId="7" borderId="7" xfId="0" applyNumberFormat="1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176" fontId="6" fillId="0" borderId="9" xfId="0" applyNumberFormat="1" applyFont="1" applyBorder="1" applyAlignment="1">
      <alignment vertical="center"/>
    </xf>
    <xf numFmtId="0" fontId="6" fillId="8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176" fontId="6" fillId="0" borderId="11" xfId="0" applyNumberFormat="1" applyFont="1" applyBorder="1" applyAlignment="1">
      <alignment vertical="center"/>
    </xf>
    <xf numFmtId="176" fontId="6" fillId="0" borderId="12" xfId="0" applyNumberFormat="1" applyFont="1" applyBorder="1" applyAlignment="1">
      <alignment vertical="center"/>
    </xf>
    <xf numFmtId="14" fontId="8" fillId="7" borderId="13" xfId="0" applyNumberFormat="1" applyFont="1" applyFill="1" applyBorder="1" applyAlignment="1">
      <alignment horizontal="center" vertical="center"/>
    </xf>
    <xf numFmtId="14" fontId="8" fillId="7" borderId="14" xfId="0" applyNumberFormat="1" applyFont="1" applyFill="1" applyBorder="1" applyAlignment="1">
      <alignment horizontal="center" vertical="center"/>
    </xf>
    <xf numFmtId="14" fontId="8" fillId="7" borderId="15" xfId="0" applyNumberFormat="1" applyFont="1" applyFill="1" applyBorder="1" applyAlignment="1">
      <alignment horizontal="center" vertical="center"/>
    </xf>
    <xf numFmtId="14" fontId="8" fillId="7" borderId="16" xfId="0" applyNumberFormat="1" applyFont="1" applyFill="1" applyBorder="1" applyAlignment="1">
      <alignment horizontal="center" vertical="center"/>
    </xf>
    <xf numFmtId="177" fontId="8" fillId="7" borderId="1" xfId="1" applyNumberFormat="1" applyFont="1" applyFill="1" applyBorder="1" applyAlignment="1">
      <alignment horizontal="center" vertical="center"/>
    </xf>
    <xf numFmtId="14" fontId="8" fillId="7" borderId="1" xfId="0" applyNumberFormat="1" applyFont="1" applyFill="1" applyBorder="1" applyAlignment="1">
      <alignment horizontal="center" vertical="center"/>
    </xf>
    <xf numFmtId="14" fontId="8" fillId="7" borderId="17" xfId="0" applyNumberFormat="1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10" fontId="6" fillId="0" borderId="1" xfId="2" applyNumberFormat="1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176" fontId="21" fillId="5" borderId="13" xfId="0" applyNumberFormat="1" applyFont="1" applyFill="1" applyBorder="1" applyAlignment="1">
      <alignment horizontal="center" vertical="center"/>
    </xf>
    <xf numFmtId="176" fontId="21" fillId="5" borderId="14" xfId="0" applyNumberFormat="1" applyFont="1" applyFill="1" applyBorder="1" applyAlignment="1">
      <alignment horizontal="center" vertical="center"/>
    </xf>
    <xf numFmtId="176" fontId="21" fillId="5" borderId="15" xfId="0" applyNumberFormat="1" applyFont="1" applyFill="1" applyBorder="1" applyAlignment="1">
      <alignment horizontal="center" vertical="center"/>
    </xf>
    <xf numFmtId="176" fontId="6" fillId="0" borderId="17" xfId="0" applyNumberFormat="1" applyFont="1" applyBorder="1" applyAlignment="1">
      <alignment horizontal="center" vertical="center"/>
    </xf>
    <xf numFmtId="176" fontId="6" fillId="0" borderId="26" xfId="0" applyNumberFormat="1" applyFont="1" applyBorder="1" applyAlignment="1">
      <alignment vertical="center"/>
    </xf>
    <xf numFmtId="176" fontId="6" fillId="0" borderId="27" xfId="0" applyNumberFormat="1" applyFont="1" applyBorder="1" applyAlignment="1">
      <alignment vertical="center"/>
    </xf>
    <xf numFmtId="176" fontId="6" fillId="0" borderId="27" xfId="0" applyNumberFormat="1" applyFont="1" applyBorder="1" applyAlignment="1">
      <alignment horizontal="center" vertical="center"/>
    </xf>
    <xf numFmtId="176" fontId="6" fillId="0" borderId="28" xfId="0" applyNumberFormat="1" applyFont="1" applyBorder="1" applyAlignment="1">
      <alignment vertical="center"/>
    </xf>
    <xf numFmtId="176" fontId="6" fillId="3" borderId="29" xfId="0" applyNumberFormat="1" applyFont="1" applyFill="1" applyBorder="1" applyAlignment="1">
      <alignment vertical="center"/>
    </xf>
    <xf numFmtId="176" fontId="6" fillId="3" borderId="30" xfId="0" applyNumberFormat="1" applyFont="1" applyFill="1" applyBorder="1" applyAlignment="1">
      <alignment vertical="center"/>
    </xf>
    <xf numFmtId="176" fontId="6" fillId="3" borderId="31" xfId="0" applyNumberFormat="1" applyFont="1" applyFill="1" applyBorder="1" applyAlignment="1">
      <alignment vertical="center"/>
    </xf>
    <xf numFmtId="176" fontId="21" fillId="5" borderId="24" xfId="0" applyNumberFormat="1" applyFont="1" applyFill="1" applyBorder="1" applyAlignment="1">
      <alignment horizontal="center" vertical="center"/>
    </xf>
    <xf numFmtId="176" fontId="21" fillId="5" borderId="23" xfId="0" applyNumberFormat="1" applyFont="1" applyFill="1" applyBorder="1" applyAlignment="1">
      <alignment horizontal="center" vertical="center"/>
    </xf>
    <xf numFmtId="178" fontId="21" fillId="5" borderId="23" xfId="0" applyNumberFormat="1" applyFont="1" applyFill="1" applyBorder="1" applyAlignment="1">
      <alignment horizontal="center" vertical="center"/>
    </xf>
    <xf numFmtId="176" fontId="21" fillId="5" borderId="25" xfId="0" applyNumberFormat="1" applyFont="1" applyFill="1" applyBorder="1" applyAlignment="1">
      <alignment horizontal="center" vertical="center"/>
    </xf>
    <xf numFmtId="176" fontId="7" fillId="3" borderId="18" xfId="0" applyNumberFormat="1" applyFont="1" applyFill="1" applyBorder="1" applyAlignment="1">
      <alignment vertical="center"/>
    </xf>
    <xf numFmtId="176" fontId="7" fillId="3" borderId="19" xfId="0" applyNumberFormat="1" applyFont="1" applyFill="1" applyBorder="1" applyAlignment="1">
      <alignment vertical="center"/>
    </xf>
    <xf numFmtId="176" fontId="7" fillId="3" borderId="19" xfId="0" applyNumberFormat="1" applyFont="1" applyFill="1" applyBorder="1" applyAlignment="1">
      <alignment horizontal="center" vertical="center"/>
    </xf>
    <xf numFmtId="176" fontId="7" fillId="3" borderId="20" xfId="0" applyNumberFormat="1" applyFont="1" applyFill="1" applyBorder="1" applyAlignment="1">
      <alignment vertical="center"/>
    </xf>
    <xf numFmtId="178" fontId="7" fillId="0" borderId="0" xfId="0" applyNumberFormat="1" applyFont="1" applyAlignment="1">
      <alignment vertical="center"/>
    </xf>
    <xf numFmtId="180" fontId="6" fillId="0" borderId="0" xfId="1" applyNumberFormat="1" applyFont="1" applyAlignment="1">
      <alignment vertical="center"/>
    </xf>
    <xf numFmtId="176" fontId="14" fillId="0" borderId="0" xfId="0" applyNumberFormat="1" applyFont="1" applyAlignment="1">
      <alignment horizontal="center" vertical="center"/>
    </xf>
    <xf numFmtId="176" fontId="13" fillId="0" borderId="36" xfId="0" applyNumberFormat="1" applyFont="1" applyBorder="1" applyAlignment="1">
      <alignment vertical="center"/>
    </xf>
    <xf numFmtId="176" fontId="13" fillId="0" borderId="35" xfId="0" applyNumberFormat="1" applyFont="1" applyBorder="1" applyAlignment="1">
      <alignment vertical="center"/>
    </xf>
    <xf numFmtId="176" fontId="14" fillId="0" borderId="0" xfId="0" applyNumberFormat="1" applyFont="1" applyAlignment="1">
      <alignment vertical="center"/>
    </xf>
    <xf numFmtId="176" fontId="13" fillId="0" borderId="39" xfId="0" applyNumberFormat="1" applyFont="1" applyBorder="1" applyAlignment="1">
      <alignment vertical="center"/>
    </xf>
    <xf numFmtId="176" fontId="13" fillId="0" borderId="57" xfId="0" applyNumberFormat="1" applyFont="1" applyBorder="1" applyAlignment="1">
      <alignment vertical="center"/>
    </xf>
    <xf numFmtId="176" fontId="13" fillId="0" borderId="0" xfId="0" applyNumberFormat="1" applyFont="1" applyFill="1" applyBorder="1" applyAlignment="1">
      <alignment vertical="center"/>
    </xf>
    <xf numFmtId="176" fontId="13" fillId="0" borderId="37" xfId="0" applyNumberFormat="1" applyFont="1" applyBorder="1" applyAlignment="1">
      <alignment vertical="center"/>
    </xf>
    <xf numFmtId="176" fontId="13" fillId="0" borderId="38" xfId="0" applyNumberFormat="1" applyFont="1" applyBorder="1" applyAlignment="1">
      <alignment vertical="center"/>
    </xf>
    <xf numFmtId="176" fontId="14" fillId="0" borderId="63" xfId="0" applyNumberFormat="1" applyFont="1" applyBorder="1" applyAlignment="1">
      <alignment vertical="center"/>
    </xf>
    <xf numFmtId="176" fontId="14" fillId="0" borderId="65" xfId="0" applyNumberFormat="1" applyFont="1" applyBorder="1" applyAlignment="1">
      <alignment vertical="center"/>
    </xf>
    <xf numFmtId="176" fontId="13" fillId="0" borderId="55" xfId="0" applyNumberFormat="1" applyFont="1" applyBorder="1" applyAlignment="1">
      <alignment vertical="center"/>
    </xf>
    <xf numFmtId="176" fontId="13" fillId="0" borderId="32" xfId="0" applyNumberFormat="1" applyFont="1" applyBorder="1" applyAlignment="1">
      <alignment vertical="center"/>
    </xf>
    <xf numFmtId="176" fontId="13" fillId="0" borderId="33" xfId="0" applyNumberFormat="1" applyFont="1" applyBorder="1" applyAlignment="1">
      <alignment vertical="center"/>
    </xf>
    <xf numFmtId="176" fontId="13" fillId="0" borderId="34" xfId="0" applyNumberFormat="1" applyFont="1" applyBorder="1" applyAlignment="1">
      <alignment vertical="center"/>
    </xf>
    <xf numFmtId="182" fontId="13" fillId="0" borderId="0" xfId="0" applyNumberFormat="1" applyFont="1" applyAlignment="1">
      <alignment vertical="center"/>
    </xf>
    <xf numFmtId="176" fontId="15" fillId="5" borderId="32" xfId="0" applyNumberFormat="1" applyFont="1" applyFill="1" applyBorder="1" applyAlignment="1">
      <alignment vertical="center"/>
    </xf>
    <xf numFmtId="176" fontId="15" fillId="5" borderId="33" xfId="0" applyNumberFormat="1" applyFont="1" applyFill="1" applyBorder="1" applyAlignment="1">
      <alignment vertical="center"/>
    </xf>
    <xf numFmtId="176" fontId="15" fillId="5" borderId="34" xfId="0" applyNumberFormat="1" applyFont="1" applyFill="1" applyBorder="1" applyAlignment="1">
      <alignment vertical="center"/>
    </xf>
    <xf numFmtId="176" fontId="13" fillId="0" borderId="83" xfId="0" applyNumberFormat="1" applyFont="1" applyBorder="1" applyAlignment="1">
      <alignment vertical="center"/>
    </xf>
    <xf numFmtId="176" fontId="14" fillId="0" borderId="83" xfId="0" applyNumberFormat="1" applyFont="1" applyBorder="1" applyAlignment="1">
      <alignment vertical="center"/>
    </xf>
    <xf numFmtId="0" fontId="24" fillId="5" borderId="81" xfId="0" applyFont="1" applyFill="1" applyBorder="1" applyAlignment="1">
      <alignment horizontal="center" vertical="center" wrapText="1"/>
    </xf>
    <xf numFmtId="0" fontId="24" fillId="5" borderId="21" xfId="0" applyFont="1" applyFill="1" applyBorder="1" applyAlignment="1">
      <alignment horizontal="center" vertical="center" wrapText="1"/>
    </xf>
    <xf numFmtId="0" fontId="24" fillId="5" borderId="82" xfId="0" applyFont="1" applyFill="1" applyBorder="1" applyAlignment="1">
      <alignment horizontal="center" vertical="center" wrapText="1"/>
    </xf>
    <xf numFmtId="176" fontId="25" fillId="0" borderId="14" xfId="0" applyNumberFormat="1" applyFont="1" applyBorder="1" applyAlignment="1">
      <alignment horizontal="center" vertical="center" wrapText="1"/>
    </xf>
    <xf numFmtId="176" fontId="25" fillId="0" borderId="14" xfId="0" applyNumberFormat="1" applyFont="1" applyBorder="1" applyAlignment="1">
      <alignment horizontal="right" vertical="center" wrapText="1"/>
    </xf>
    <xf numFmtId="176" fontId="25" fillId="0" borderId="15" xfId="0" applyNumberFormat="1" applyFont="1" applyBorder="1" applyAlignment="1">
      <alignment horizontal="right" vertical="center" wrapText="1"/>
    </xf>
    <xf numFmtId="176" fontId="25" fillId="0" borderId="27" xfId="0" applyNumberFormat="1" applyFont="1" applyBorder="1" applyAlignment="1">
      <alignment horizontal="right" vertical="center" wrapText="1"/>
    </xf>
    <xf numFmtId="176" fontId="25" fillId="0" borderId="28" xfId="0" applyNumberFormat="1" applyFont="1" applyBorder="1" applyAlignment="1">
      <alignment horizontal="right" vertical="center" wrapText="1"/>
    </xf>
    <xf numFmtId="176" fontId="23" fillId="0" borderId="30" xfId="0" applyNumberFormat="1" applyFont="1" applyBorder="1" applyAlignment="1">
      <alignment horizontal="right" vertical="center" wrapText="1"/>
    </xf>
    <xf numFmtId="176" fontId="23" fillId="0" borderId="31" xfId="0" applyNumberFormat="1" applyFont="1" applyBorder="1" applyAlignment="1">
      <alignment horizontal="right" vertical="center" wrapText="1"/>
    </xf>
    <xf numFmtId="176" fontId="25" fillId="0" borderId="23" xfId="0" applyNumberFormat="1" applyFont="1" applyBorder="1" applyAlignment="1">
      <alignment horizontal="center" vertical="center" wrapText="1"/>
    </xf>
    <xf numFmtId="176" fontId="25" fillId="0" borderId="23" xfId="0" applyNumberFormat="1" applyFont="1" applyBorder="1" applyAlignment="1">
      <alignment horizontal="right" vertical="center" wrapText="1"/>
    </xf>
    <xf numFmtId="176" fontId="25" fillId="0" borderId="25" xfId="0" applyNumberFormat="1" applyFont="1" applyBorder="1" applyAlignment="1">
      <alignment horizontal="right" vertical="center" wrapText="1"/>
    </xf>
    <xf numFmtId="176" fontId="25" fillId="0" borderId="30" xfId="0" applyNumberFormat="1" applyFont="1" applyBorder="1" applyAlignment="1">
      <alignment horizontal="right" vertical="center" wrapText="1"/>
    </xf>
    <xf numFmtId="176" fontId="25" fillId="0" borderId="31" xfId="0" applyNumberFormat="1" applyFont="1" applyBorder="1" applyAlignment="1">
      <alignment horizontal="right" vertical="center" wrapText="1"/>
    </xf>
    <xf numFmtId="176" fontId="15" fillId="5" borderId="63" xfId="0" applyNumberFormat="1" applyFont="1" applyFill="1" applyBorder="1" applyAlignment="1">
      <alignment horizontal="center" vertical="center"/>
    </xf>
    <xf numFmtId="176" fontId="15" fillId="5" borderId="64" xfId="0" applyNumberFormat="1" applyFont="1" applyFill="1" applyBorder="1" applyAlignment="1">
      <alignment horizontal="center" vertical="center"/>
    </xf>
    <xf numFmtId="176" fontId="15" fillId="5" borderId="65" xfId="0" applyNumberFormat="1" applyFont="1" applyFill="1" applyBorder="1" applyAlignment="1">
      <alignment horizontal="center" vertical="center"/>
    </xf>
    <xf numFmtId="178" fontId="13" fillId="0" borderId="0" xfId="0" applyNumberFormat="1" applyFont="1" applyAlignment="1">
      <alignment vertical="center"/>
    </xf>
    <xf numFmtId="176" fontId="25" fillId="0" borderId="27" xfId="0" applyNumberFormat="1" applyFont="1" applyBorder="1" applyAlignment="1">
      <alignment horizontal="center" vertical="center"/>
    </xf>
    <xf numFmtId="0" fontId="27" fillId="5" borderId="0" xfId="0" applyFont="1" applyFill="1" applyAlignment="1">
      <alignment vertical="center"/>
    </xf>
    <xf numFmtId="0" fontId="6" fillId="19" borderId="0" xfId="0" applyFont="1" applyFill="1" applyAlignment="1">
      <alignment vertical="center"/>
    </xf>
    <xf numFmtId="0" fontId="7" fillId="3" borderId="88" xfId="0" applyFont="1" applyFill="1" applyBorder="1" applyAlignment="1">
      <alignment vertical="center"/>
    </xf>
    <xf numFmtId="14" fontId="7" fillId="3" borderId="89" xfId="0" applyNumberFormat="1" applyFont="1" applyFill="1" applyBorder="1" applyAlignment="1">
      <alignment horizontal="center" vertical="center"/>
    </xf>
    <xf numFmtId="0" fontId="7" fillId="3" borderId="90" xfId="0" applyFont="1" applyFill="1" applyBorder="1" applyAlignment="1">
      <alignment vertical="center"/>
    </xf>
    <xf numFmtId="0" fontId="7" fillId="3" borderId="91" xfId="0" applyFont="1" applyFill="1" applyBorder="1" applyAlignment="1">
      <alignment horizontal="center" vertical="center"/>
    </xf>
    <xf numFmtId="0" fontId="7" fillId="3" borderId="92" xfId="0" applyFont="1" applyFill="1" applyBorder="1" applyAlignment="1">
      <alignment vertical="center"/>
    </xf>
    <xf numFmtId="0" fontId="7" fillId="3" borderId="93" xfId="0" applyFont="1" applyFill="1" applyBorder="1" applyAlignment="1">
      <alignment horizontal="center" vertical="center"/>
    </xf>
    <xf numFmtId="176" fontId="7" fillId="0" borderId="0" xfId="0" quotePrefix="1" applyNumberFormat="1" applyFont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28" fillId="6" borderId="16" xfId="0" applyFont="1" applyFill="1" applyBorder="1" applyAlignment="1">
      <alignment vertical="center"/>
    </xf>
    <xf numFmtId="0" fontId="28" fillId="6" borderId="1" xfId="0" applyFont="1" applyFill="1" applyBorder="1" applyAlignment="1">
      <alignment vertical="center"/>
    </xf>
    <xf numFmtId="176" fontId="28" fillId="6" borderId="1" xfId="0" applyNumberFormat="1" applyFont="1" applyFill="1" applyBorder="1" applyAlignment="1">
      <alignment horizontal="right" vertical="center"/>
    </xf>
    <xf numFmtId="176" fontId="28" fillId="6" borderId="17" xfId="0" applyNumberFormat="1" applyFont="1" applyFill="1" applyBorder="1" applyAlignment="1">
      <alignment horizontal="right" vertical="center"/>
    </xf>
    <xf numFmtId="0" fontId="28" fillId="3" borderId="16" xfId="0" applyFont="1" applyFill="1" applyBorder="1" applyAlignment="1">
      <alignment vertical="center"/>
    </xf>
    <xf numFmtId="0" fontId="28" fillId="3" borderId="1" xfId="0" applyFont="1" applyFill="1" applyBorder="1" applyAlignment="1">
      <alignment vertical="center"/>
    </xf>
    <xf numFmtId="176" fontId="28" fillId="3" borderId="1" xfId="0" applyNumberFormat="1" applyFont="1" applyFill="1" applyBorder="1" applyAlignment="1">
      <alignment horizontal="right" vertical="center"/>
    </xf>
    <xf numFmtId="176" fontId="28" fillId="3" borderId="17" xfId="0" applyNumberFormat="1" applyFont="1" applyFill="1" applyBorder="1" applyAlignment="1">
      <alignment horizontal="right" vertical="center"/>
    </xf>
    <xf numFmtId="0" fontId="28" fillId="12" borderId="16" xfId="0" applyFont="1" applyFill="1" applyBorder="1" applyAlignment="1">
      <alignment vertical="center"/>
    </xf>
    <xf numFmtId="0" fontId="28" fillId="12" borderId="1" xfId="0" applyFont="1" applyFill="1" applyBorder="1" applyAlignment="1">
      <alignment vertical="center"/>
    </xf>
    <xf numFmtId="176" fontId="28" fillId="12" borderId="1" xfId="0" applyNumberFormat="1" applyFont="1" applyFill="1" applyBorder="1" applyAlignment="1">
      <alignment horizontal="right" vertical="center"/>
    </xf>
    <xf numFmtId="176" fontId="28" fillId="12" borderId="17" xfId="0" applyNumberFormat="1" applyFont="1" applyFill="1" applyBorder="1" applyAlignment="1">
      <alignment horizontal="right" vertical="center"/>
    </xf>
    <xf numFmtId="0" fontId="29" fillId="0" borderId="16" xfId="0" applyFont="1" applyBorder="1" applyAlignment="1">
      <alignment horizontal="left" vertical="center" indent="1"/>
    </xf>
    <xf numFmtId="0" fontId="29" fillId="0" borderId="1" xfId="0" applyFont="1" applyBorder="1" applyAlignment="1">
      <alignment vertical="center"/>
    </xf>
    <xf numFmtId="176" fontId="29" fillId="0" borderId="1" xfId="0" applyNumberFormat="1" applyFont="1" applyBorder="1" applyAlignment="1">
      <alignment horizontal="right" vertical="center"/>
    </xf>
    <xf numFmtId="176" fontId="29" fillId="0" borderId="17" xfId="0" applyNumberFormat="1" applyFont="1" applyBorder="1" applyAlignment="1">
      <alignment horizontal="right" vertical="center"/>
    </xf>
    <xf numFmtId="0" fontId="28" fillId="6" borderId="18" xfId="0" applyFont="1" applyFill="1" applyBorder="1" applyAlignment="1">
      <alignment vertical="center"/>
    </xf>
    <xf numFmtId="0" fontId="28" fillId="6" borderId="19" xfId="0" applyFont="1" applyFill="1" applyBorder="1" applyAlignment="1">
      <alignment vertical="center"/>
    </xf>
    <xf numFmtId="176" fontId="28" fillId="6" borderId="19" xfId="0" applyNumberFormat="1" applyFont="1" applyFill="1" applyBorder="1" applyAlignment="1">
      <alignment horizontal="right" vertical="center"/>
    </xf>
    <xf numFmtId="176" fontId="28" fillId="6" borderId="20" xfId="0" applyNumberFormat="1" applyFont="1" applyFill="1" applyBorder="1" applyAlignment="1">
      <alignment horizontal="right" vertical="center"/>
    </xf>
    <xf numFmtId="176" fontId="7" fillId="0" borderId="0" xfId="0" applyNumberFormat="1" applyFont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0" fontId="16" fillId="0" borderId="0" xfId="0" applyNumberFormat="1" applyFont="1" applyAlignment="1">
      <alignment horizontal="center" vertical="center"/>
    </xf>
    <xf numFmtId="176" fontId="17" fillId="0" borderId="0" xfId="0" applyNumberFormat="1" applyFont="1" applyAlignment="1">
      <alignment vertical="center"/>
    </xf>
    <xf numFmtId="176" fontId="16" fillId="0" borderId="0" xfId="0" applyNumberFormat="1" applyFont="1" applyAlignment="1">
      <alignment horizontal="center" vertical="center"/>
    </xf>
    <xf numFmtId="0" fontId="8" fillId="5" borderId="50" xfId="0" applyNumberFormat="1" applyFont="1" applyFill="1" applyBorder="1" applyAlignment="1">
      <alignment horizontal="center" vertical="center"/>
    </xf>
    <xf numFmtId="176" fontId="8" fillId="5" borderId="51" xfId="0" applyNumberFormat="1" applyFont="1" applyFill="1" applyBorder="1" applyAlignment="1">
      <alignment horizontal="center" vertical="center"/>
    </xf>
    <xf numFmtId="176" fontId="8" fillId="5" borderId="52" xfId="0" applyNumberFormat="1" applyFont="1" applyFill="1" applyBorder="1" applyAlignment="1">
      <alignment horizontal="center" vertical="center"/>
    </xf>
    <xf numFmtId="176" fontId="17" fillId="0" borderId="61" xfId="0" applyNumberFormat="1" applyFont="1" applyBorder="1" applyAlignment="1">
      <alignment horizontal="center" vertical="center"/>
    </xf>
    <xf numFmtId="176" fontId="17" fillId="0" borderId="77" xfId="0" applyNumberFormat="1" applyFont="1" applyBorder="1" applyAlignment="1">
      <alignment horizontal="center" vertical="center"/>
    </xf>
    <xf numFmtId="176" fontId="7" fillId="0" borderId="62" xfId="0" applyNumberFormat="1" applyFont="1" applyBorder="1" applyAlignment="1">
      <alignment horizontal="center" vertical="center"/>
    </xf>
    <xf numFmtId="0" fontId="18" fillId="6" borderId="53" xfId="0" applyNumberFormat="1" applyFont="1" applyFill="1" applyBorder="1" applyAlignment="1">
      <alignment horizontal="center" vertical="center"/>
    </xf>
    <xf numFmtId="176" fontId="18" fillId="6" borderId="0" xfId="0" applyNumberFormat="1" applyFont="1" applyFill="1" applyBorder="1" applyAlignment="1">
      <alignment vertical="center"/>
    </xf>
    <xf numFmtId="176" fontId="18" fillId="6" borderId="54" xfId="0" applyNumberFormat="1" applyFont="1" applyFill="1" applyBorder="1" applyAlignment="1">
      <alignment vertical="center"/>
    </xf>
    <xf numFmtId="176" fontId="17" fillId="0" borderId="53" xfId="0" applyNumberFormat="1" applyFont="1" applyBorder="1" applyAlignment="1">
      <alignment vertical="center"/>
    </xf>
    <xf numFmtId="176" fontId="18" fillId="0" borderId="0" xfId="0" applyNumberFormat="1" applyFont="1" applyBorder="1" applyAlignment="1">
      <alignment vertical="center"/>
    </xf>
    <xf numFmtId="176" fontId="6" fillId="0" borderId="54" xfId="0" applyNumberFormat="1" applyFont="1" applyBorder="1" applyAlignment="1">
      <alignment horizontal="center" vertical="center"/>
    </xf>
    <xf numFmtId="0" fontId="18" fillId="0" borderId="53" xfId="0" applyNumberFormat="1" applyFont="1" applyBorder="1" applyAlignment="1">
      <alignment horizontal="center" vertical="center"/>
    </xf>
    <xf numFmtId="176" fontId="18" fillId="0" borderId="54" xfId="0" applyNumberFormat="1" applyFont="1" applyBorder="1" applyAlignment="1">
      <alignment vertical="center"/>
    </xf>
    <xf numFmtId="0" fontId="18" fillId="0" borderId="53" xfId="0" applyNumberFormat="1" applyFont="1" applyFill="1" applyBorder="1" applyAlignment="1">
      <alignment horizontal="center" vertical="center"/>
    </xf>
    <xf numFmtId="176" fontId="18" fillId="0" borderId="0" xfId="0" applyNumberFormat="1" applyFont="1" applyFill="1" applyBorder="1" applyAlignment="1">
      <alignment vertical="center"/>
    </xf>
    <xf numFmtId="176" fontId="18" fillId="0" borderId="54" xfId="0" applyNumberFormat="1" applyFont="1" applyFill="1" applyBorder="1" applyAlignment="1">
      <alignment vertical="center"/>
    </xf>
    <xf numFmtId="176" fontId="6" fillId="0" borderId="0" xfId="0" applyNumberFormat="1" applyFont="1" applyFill="1" applyAlignment="1">
      <alignment vertical="center"/>
    </xf>
    <xf numFmtId="176" fontId="17" fillId="0" borderId="53" xfId="0" applyNumberFormat="1" applyFont="1" applyFill="1" applyBorder="1" applyAlignment="1">
      <alignment vertical="center"/>
    </xf>
    <xf numFmtId="176" fontId="6" fillId="0" borderId="54" xfId="0" applyNumberFormat="1" applyFont="1" applyFill="1" applyBorder="1" applyAlignment="1">
      <alignment horizontal="center" vertical="center"/>
    </xf>
    <xf numFmtId="0" fontId="18" fillId="0" borderId="55" xfId="0" applyNumberFormat="1" applyFont="1" applyBorder="1" applyAlignment="1">
      <alignment horizontal="center" vertical="center"/>
    </xf>
    <xf numFmtId="176" fontId="18" fillId="0" borderId="56" xfId="0" applyNumberFormat="1" applyFont="1" applyBorder="1" applyAlignment="1">
      <alignment vertical="center"/>
    </xf>
    <xf numFmtId="176" fontId="18" fillId="0" borderId="57" xfId="0" applyNumberFormat="1" applyFont="1" applyBorder="1" applyAlignment="1">
      <alignment vertical="center"/>
    </xf>
    <xf numFmtId="176" fontId="17" fillId="0" borderId="55" xfId="0" applyNumberFormat="1" applyFont="1" applyBorder="1" applyAlignment="1">
      <alignment vertical="center"/>
    </xf>
    <xf numFmtId="176" fontId="6" fillId="0" borderId="57" xfId="0" applyNumberFormat="1" applyFont="1" applyBorder="1" applyAlignment="1">
      <alignment horizontal="center" vertical="center"/>
    </xf>
    <xf numFmtId="0" fontId="18" fillId="0" borderId="61" xfId="0" applyNumberFormat="1" applyFont="1" applyBorder="1" applyAlignment="1">
      <alignment horizontal="center" vertical="center"/>
    </xf>
    <xf numFmtId="176" fontId="18" fillId="0" borderId="77" xfId="0" applyNumberFormat="1" applyFont="1" applyBorder="1" applyAlignment="1">
      <alignment vertical="center"/>
    </xf>
    <xf numFmtId="176" fontId="18" fillId="0" borderId="62" xfId="0" applyNumberFormat="1" applyFont="1" applyBorder="1" applyAlignment="1">
      <alignment vertical="center"/>
    </xf>
    <xf numFmtId="176" fontId="18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16" fillId="0" borderId="0" xfId="0" applyFont="1" applyBorder="1" applyAlignment="1">
      <alignment vertical="center"/>
    </xf>
    <xf numFmtId="41" fontId="16" fillId="0" borderId="0" xfId="1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6" fillId="0" borderId="53" xfId="0" applyFont="1" applyBorder="1" applyAlignment="1">
      <alignment vertical="center"/>
    </xf>
    <xf numFmtId="0" fontId="6" fillId="0" borderId="55" xfId="0" applyFont="1" applyBorder="1" applyAlignment="1">
      <alignment vertical="center"/>
    </xf>
    <xf numFmtId="0" fontId="6" fillId="0" borderId="56" xfId="0" applyFont="1" applyBorder="1" applyAlignment="1">
      <alignment vertical="center"/>
    </xf>
    <xf numFmtId="181" fontId="6" fillId="0" borderId="0" xfId="0" applyNumberFormat="1" applyFont="1" applyAlignment="1">
      <alignment vertical="center"/>
    </xf>
    <xf numFmtId="0" fontId="6" fillId="0" borderId="0" xfId="0" applyFont="1"/>
    <xf numFmtId="176" fontId="8" fillId="5" borderId="50" xfId="0" applyNumberFormat="1" applyFont="1" applyFill="1" applyBorder="1" applyAlignment="1">
      <alignment horizontal="center" vertical="center" wrapText="1"/>
    </xf>
    <xf numFmtId="176" fontId="8" fillId="5" borderId="51" xfId="0" applyNumberFormat="1" applyFont="1" applyFill="1" applyBorder="1" applyAlignment="1">
      <alignment horizontal="center" vertical="center" wrapText="1"/>
    </xf>
    <xf numFmtId="176" fontId="8" fillId="5" borderId="52" xfId="0" applyNumberFormat="1" applyFont="1" applyFill="1" applyBorder="1" applyAlignment="1">
      <alignment horizontal="center" vertical="center" wrapText="1"/>
    </xf>
    <xf numFmtId="176" fontId="6" fillId="0" borderId="53" xfId="0" applyNumberFormat="1" applyFont="1" applyBorder="1" applyAlignment="1">
      <alignment vertical="center"/>
    </xf>
    <xf numFmtId="10" fontId="6" fillId="0" borderId="0" xfId="2" applyNumberFormat="1" applyFont="1" applyBorder="1" applyAlignment="1">
      <alignment vertical="center"/>
    </xf>
    <xf numFmtId="176" fontId="6" fillId="0" borderId="54" xfId="0" applyNumberFormat="1" applyFont="1" applyBorder="1" applyAlignment="1">
      <alignment vertical="center"/>
    </xf>
    <xf numFmtId="176" fontId="6" fillId="0" borderId="58" xfId="0" applyNumberFormat="1" applyFont="1" applyBorder="1" applyAlignment="1">
      <alignment vertical="center"/>
    </xf>
    <xf numFmtId="176" fontId="6" fillId="0" borderId="59" xfId="0" applyNumberFormat="1" applyFont="1" applyBorder="1" applyAlignment="1">
      <alignment vertical="center"/>
    </xf>
    <xf numFmtId="176" fontId="6" fillId="0" borderId="60" xfId="0" applyNumberFormat="1" applyFont="1" applyBorder="1" applyAlignment="1">
      <alignment vertical="center"/>
    </xf>
    <xf numFmtId="41" fontId="6" fillId="0" borderId="0" xfId="1" applyFont="1"/>
    <xf numFmtId="176" fontId="6" fillId="0" borderId="35" xfId="0" applyNumberFormat="1" applyFont="1" applyBorder="1" applyAlignment="1">
      <alignment vertical="center"/>
    </xf>
    <xf numFmtId="176" fontId="6" fillId="0" borderId="57" xfId="0" applyNumberFormat="1" applyFont="1" applyBorder="1" applyAlignment="1">
      <alignment vertical="center"/>
    </xf>
    <xf numFmtId="176" fontId="7" fillId="0" borderId="49" xfId="0" applyNumberFormat="1" applyFont="1" applyBorder="1" applyAlignment="1">
      <alignment vertical="center"/>
    </xf>
    <xf numFmtId="14" fontId="8" fillId="5" borderId="40" xfId="0" applyNumberFormat="1" applyFont="1" applyFill="1" applyBorder="1" applyAlignment="1">
      <alignment horizontal="center" vertical="center" shrinkToFit="1"/>
    </xf>
    <xf numFmtId="14" fontId="8" fillId="5" borderId="41" xfId="0" applyNumberFormat="1" applyFont="1" applyFill="1" applyBorder="1" applyAlignment="1">
      <alignment horizontal="center" vertical="center" shrinkToFit="1"/>
    </xf>
    <xf numFmtId="14" fontId="8" fillId="5" borderId="74" xfId="0" applyNumberFormat="1" applyFont="1" applyFill="1" applyBorder="1" applyAlignment="1">
      <alignment horizontal="center" vertical="center" shrinkToFit="1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vertical="center"/>
    </xf>
    <xf numFmtId="0" fontId="6" fillId="0" borderId="39" xfId="0" applyFont="1" applyFill="1" applyBorder="1" applyAlignment="1">
      <alignment vertical="center"/>
    </xf>
    <xf numFmtId="176" fontId="8" fillId="5" borderId="14" xfId="0" applyNumberFormat="1" applyFont="1" applyFill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/>
    </xf>
    <xf numFmtId="176" fontId="6" fillId="0" borderId="16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vertical="center"/>
    </xf>
    <xf numFmtId="176" fontId="7" fillId="0" borderId="16" xfId="0" applyNumberFormat="1" applyFont="1" applyFill="1" applyBorder="1" applyAlignment="1">
      <alignment horizontal="center" vertical="center"/>
    </xf>
    <xf numFmtId="176" fontId="6" fillId="0" borderId="35" xfId="0" applyNumberFormat="1" applyFont="1" applyBorder="1" applyAlignment="1">
      <alignment horizontal="center" vertical="center"/>
    </xf>
    <xf numFmtId="176" fontId="6" fillId="0" borderId="16" xfId="0" quotePrefix="1" applyNumberFormat="1" applyFont="1" applyFill="1" applyBorder="1" applyAlignment="1">
      <alignment horizontal="center" vertical="center"/>
    </xf>
    <xf numFmtId="176" fontId="7" fillId="0" borderId="56" xfId="0" applyNumberFormat="1" applyFont="1" applyBorder="1" applyAlignment="1">
      <alignment vertical="center"/>
    </xf>
    <xf numFmtId="176" fontId="7" fillId="0" borderId="56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1" applyNumberFormat="1" applyFont="1" applyBorder="1" applyAlignment="1">
      <alignment vertical="center"/>
    </xf>
    <xf numFmtId="176" fontId="8" fillId="5" borderId="33" xfId="0" applyNumberFormat="1" applyFont="1" applyFill="1" applyBorder="1" applyAlignment="1">
      <alignment horizontal="center" vertical="center" wrapText="1"/>
    </xf>
    <xf numFmtId="176" fontId="8" fillId="5" borderId="34" xfId="0" applyNumberFormat="1" applyFont="1" applyFill="1" applyBorder="1" applyAlignment="1">
      <alignment horizontal="center" vertical="center" wrapText="1"/>
    </xf>
    <xf numFmtId="176" fontId="7" fillId="2" borderId="35" xfId="0" applyNumberFormat="1" applyFont="1" applyFill="1" applyBorder="1" applyAlignment="1">
      <alignment vertical="center"/>
    </xf>
    <xf numFmtId="176" fontId="7" fillId="2" borderId="36" xfId="0" applyNumberFormat="1" applyFont="1" applyFill="1" applyBorder="1" applyAlignment="1">
      <alignment vertical="center"/>
    </xf>
    <xf numFmtId="176" fontId="6" fillId="0" borderId="37" xfId="0" applyNumberFormat="1" applyFont="1" applyBorder="1" applyAlignment="1">
      <alignment vertical="center"/>
    </xf>
    <xf numFmtId="183" fontId="6" fillId="0" borderId="0" xfId="0" applyNumberFormat="1" applyFont="1" applyAlignment="1">
      <alignment horizontal="center" vertical="center"/>
    </xf>
    <xf numFmtId="176" fontId="7" fillId="4" borderId="0" xfId="0" applyNumberFormat="1" applyFont="1" applyFill="1" applyAlignment="1">
      <alignment vertical="center"/>
    </xf>
    <xf numFmtId="176" fontId="7" fillId="2" borderId="0" xfId="0" applyNumberFormat="1" applyFont="1" applyFill="1" applyAlignment="1">
      <alignment vertical="center"/>
    </xf>
    <xf numFmtId="176" fontId="7" fillId="3" borderId="0" xfId="0" applyNumberFormat="1" applyFont="1" applyFill="1" applyAlignment="1">
      <alignment vertical="center"/>
    </xf>
    <xf numFmtId="176" fontId="7" fillId="2" borderId="0" xfId="0" applyNumberFormat="1" applyFont="1" applyFill="1" applyAlignment="1">
      <alignment horizontal="right" vertical="center"/>
    </xf>
    <xf numFmtId="0" fontId="6" fillId="0" borderId="0" xfId="0" applyNumberFormat="1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8" fillId="5" borderId="14" xfId="0" applyNumberFormat="1" applyFont="1" applyFill="1" applyBorder="1" applyAlignment="1">
      <alignment horizontal="left" vertical="center" wrapText="1"/>
    </xf>
    <xf numFmtId="176" fontId="7" fillId="2" borderId="16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176" fontId="6" fillId="17" borderId="0" xfId="0" applyNumberFormat="1" applyFont="1" applyFill="1" applyAlignment="1">
      <alignment vertical="center"/>
    </xf>
    <xf numFmtId="176" fontId="6" fillId="17" borderId="1" xfId="0" applyNumberFormat="1" applyFont="1" applyFill="1" applyBorder="1" applyAlignment="1">
      <alignment vertical="center"/>
    </xf>
    <xf numFmtId="176" fontId="30" fillId="17" borderId="1" xfId="0" applyNumberFormat="1" applyFont="1" applyFill="1" applyBorder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vertical="center"/>
    </xf>
    <xf numFmtId="176" fontId="6" fillId="0" borderId="1" xfId="0" quotePrefix="1" applyNumberFormat="1" applyFont="1" applyBorder="1" applyAlignment="1">
      <alignment vertical="center"/>
    </xf>
    <xf numFmtId="0" fontId="6" fillId="0" borderId="19" xfId="0" applyNumberFormat="1" applyFont="1" applyBorder="1" applyAlignment="1">
      <alignment horizontal="left" vertical="center"/>
    </xf>
    <xf numFmtId="176" fontId="6" fillId="0" borderId="55" xfId="0" applyNumberFormat="1" applyFont="1" applyBorder="1" applyAlignment="1">
      <alignment vertical="center"/>
    </xf>
    <xf numFmtId="176" fontId="16" fillId="0" borderId="0" xfId="0" applyNumberFormat="1" applyFont="1" applyBorder="1" applyAlignment="1">
      <alignment horizontal="right" vertical="center"/>
    </xf>
    <xf numFmtId="176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176" fontId="8" fillId="5" borderId="69" xfId="0" applyNumberFormat="1" applyFont="1" applyFill="1" applyBorder="1" applyAlignment="1">
      <alignment horizontal="center" vertical="center" wrapText="1"/>
    </xf>
    <xf numFmtId="0" fontId="6" fillId="0" borderId="3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76" fontId="8" fillId="5" borderId="66" xfId="0" applyNumberFormat="1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center" vertical="center"/>
    </xf>
    <xf numFmtId="176" fontId="18" fillId="2" borderId="0" xfId="0" applyNumberFormat="1" applyFont="1" applyFill="1" applyBorder="1" applyAlignment="1">
      <alignment horizontal="right" vertical="center"/>
    </xf>
    <xf numFmtId="176" fontId="18" fillId="2" borderId="54" xfId="0" applyNumberFormat="1" applyFont="1" applyFill="1" applyBorder="1" applyAlignment="1">
      <alignment horizontal="right" vertical="center"/>
    </xf>
    <xf numFmtId="176" fontId="18" fillId="2" borderId="53" xfId="0" applyNumberFormat="1" applyFont="1" applyFill="1" applyBorder="1" applyAlignment="1">
      <alignment horizontal="right" vertical="center"/>
    </xf>
    <xf numFmtId="176" fontId="18" fillId="2" borderId="67" xfId="0" applyNumberFormat="1" applyFont="1" applyFill="1" applyBorder="1" applyAlignment="1">
      <alignment horizontal="right" vertical="center"/>
    </xf>
    <xf numFmtId="0" fontId="18" fillId="0" borderId="35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176" fontId="18" fillId="0" borderId="0" xfId="0" applyNumberFormat="1" applyFont="1" applyBorder="1" applyAlignment="1">
      <alignment horizontal="right" vertical="center"/>
    </xf>
    <xf numFmtId="176" fontId="18" fillId="0" borderId="54" xfId="0" applyNumberFormat="1" applyFont="1" applyBorder="1" applyAlignment="1">
      <alignment horizontal="right" vertical="center"/>
    </xf>
    <xf numFmtId="176" fontId="18" fillId="0" borderId="53" xfId="0" applyNumberFormat="1" applyFont="1" applyBorder="1" applyAlignment="1">
      <alignment horizontal="right" vertical="center"/>
    </xf>
    <xf numFmtId="176" fontId="18" fillId="0" borderId="67" xfId="0" applyNumberFormat="1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right" vertical="center"/>
    </xf>
    <xf numFmtId="0" fontId="18" fillId="0" borderId="35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176" fontId="18" fillId="0" borderId="54" xfId="0" applyNumberFormat="1" applyFont="1" applyFill="1" applyBorder="1" applyAlignment="1">
      <alignment horizontal="right" vertical="center"/>
    </xf>
    <xf numFmtId="176" fontId="18" fillId="0" borderId="53" xfId="0" applyNumberFormat="1" applyFont="1" applyFill="1" applyBorder="1" applyAlignment="1">
      <alignment horizontal="right" vertical="center"/>
    </xf>
    <xf numFmtId="176" fontId="18" fillId="0" borderId="67" xfId="0" applyNumberFormat="1" applyFont="1" applyBorder="1" applyAlignment="1">
      <alignment horizontal="right" vertical="center"/>
    </xf>
    <xf numFmtId="0" fontId="18" fillId="0" borderId="37" xfId="0" applyFont="1" applyBorder="1" applyAlignment="1">
      <alignment vertical="center"/>
    </xf>
    <xf numFmtId="0" fontId="18" fillId="0" borderId="38" xfId="0" applyFont="1" applyBorder="1" applyAlignment="1">
      <alignment vertical="center"/>
    </xf>
    <xf numFmtId="0" fontId="18" fillId="0" borderId="38" xfId="0" applyFont="1" applyBorder="1" applyAlignment="1">
      <alignment horizontal="center" vertical="center"/>
    </xf>
    <xf numFmtId="176" fontId="18" fillId="0" borderId="38" xfId="0" applyNumberFormat="1" applyFont="1" applyBorder="1" applyAlignment="1">
      <alignment horizontal="right" vertical="center"/>
    </xf>
    <xf numFmtId="176" fontId="18" fillId="0" borderId="55" xfId="0" applyNumberFormat="1" applyFont="1" applyBorder="1" applyAlignment="1">
      <alignment horizontal="right" vertical="center"/>
    </xf>
    <xf numFmtId="176" fontId="18" fillId="0" borderId="56" xfId="0" applyNumberFormat="1" applyFont="1" applyBorder="1" applyAlignment="1">
      <alignment horizontal="right" vertical="center"/>
    </xf>
    <xf numFmtId="176" fontId="18" fillId="0" borderId="57" xfId="0" applyNumberFormat="1" applyFont="1" applyBorder="1" applyAlignment="1">
      <alignment horizontal="right" vertical="center"/>
    </xf>
    <xf numFmtId="176" fontId="18" fillId="0" borderId="68" xfId="0" applyNumberFormat="1" applyFont="1" applyBorder="1" applyAlignment="1">
      <alignment horizontal="right" vertical="center"/>
    </xf>
    <xf numFmtId="0" fontId="6" fillId="0" borderId="51" xfId="0" applyFont="1" applyBorder="1" applyAlignment="1">
      <alignment horizontal="center" vertical="center"/>
    </xf>
    <xf numFmtId="176" fontId="6" fillId="0" borderId="51" xfId="0" applyNumberFormat="1" applyFont="1" applyBorder="1" applyAlignment="1">
      <alignment horizontal="right" vertical="center"/>
    </xf>
    <xf numFmtId="176" fontId="6" fillId="0" borderId="52" xfId="0" applyNumberFormat="1" applyFont="1" applyBorder="1" applyAlignment="1">
      <alignment horizontal="right" vertical="center"/>
    </xf>
    <xf numFmtId="176" fontId="6" fillId="0" borderId="54" xfId="0" applyNumberFormat="1" applyFont="1" applyBorder="1" applyAlignment="1">
      <alignment horizontal="right" vertical="center"/>
    </xf>
    <xf numFmtId="0" fontId="6" fillId="0" borderId="56" xfId="0" applyFont="1" applyBorder="1" applyAlignment="1">
      <alignment horizontal="center" vertical="center"/>
    </xf>
    <xf numFmtId="176" fontId="6" fillId="0" borderId="56" xfId="0" applyNumberFormat="1" applyFont="1" applyBorder="1" applyAlignment="1">
      <alignment horizontal="right" vertical="center"/>
    </xf>
    <xf numFmtId="176" fontId="6" fillId="0" borderId="57" xfId="0" applyNumberFormat="1" applyFont="1" applyBorder="1" applyAlignment="1">
      <alignment horizontal="right" vertical="center"/>
    </xf>
    <xf numFmtId="176" fontId="6" fillId="0" borderId="0" xfId="0" applyNumberFormat="1" applyFont="1" applyBorder="1" applyAlignment="1">
      <alignment horizontal="left" vertical="center"/>
    </xf>
    <xf numFmtId="176" fontId="6" fillId="0" borderId="36" xfId="0" applyNumberFormat="1" applyFont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left" vertical="center"/>
    </xf>
    <xf numFmtId="176" fontId="6" fillId="0" borderId="36" xfId="0" applyNumberFormat="1" applyFont="1" applyFill="1" applyBorder="1" applyAlignment="1">
      <alignment horizontal="right" vertical="center"/>
    </xf>
    <xf numFmtId="176" fontId="31" fillId="0" borderId="0" xfId="4" applyNumberFormat="1" applyFont="1" applyFill="1" applyBorder="1" applyAlignment="1">
      <alignment horizontal="left" vertical="center"/>
    </xf>
    <xf numFmtId="176" fontId="31" fillId="0" borderId="0" xfId="4" applyNumberFormat="1" applyFont="1" applyFill="1" applyBorder="1" applyAlignment="1">
      <alignment horizontal="left" vertical="top"/>
    </xf>
    <xf numFmtId="176" fontId="20" fillId="0" borderId="0" xfId="0" applyNumberFormat="1" applyFont="1" applyFill="1" applyBorder="1" applyAlignment="1">
      <alignment horizontal="left" vertical="center"/>
    </xf>
    <xf numFmtId="176" fontId="20" fillId="0" borderId="38" xfId="0" applyNumberFormat="1" applyFont="1" applyFill="1" applyBorder="1" applyAlignment="1">
      <alignment horizontal="left" vertical="center"/>
    </xf>
    <xf numFmtId="176" fontId="6" fillId="0" borderId="38" xfId="0" applyNumberFormat="1" applyFont="1" applyFill="1" applyBorder="1" applyAlignment="1">
      <alignment horizontal="center" vertical="center"/>
    </xf>
    <xf numFmtId="176" fontId="6" fillId="0" borderId="38" xfId="0" applyNumberFormat="1" applyFont="1" applyFill="1" applyBorder="1" applyAlignment="1">
      <alignment vertical="center"/>
    </xf>
    <xf numFmtId="176" fontId="6" fillId="0" borderId="39" xfId="0" applyNumberFormat="1" applyFont="1" applyFill="1" applyBorder="1" applyAlignment="1">
      <alignment horizontal="right" vertical="center"/>
    </xf>
    <xf numFmtId="0" fontId="8" fillId="5" borderId="34" xfId="0" applyFont="1" applyFill="1" applyBorder="1" applyAlignment="1">
      <alignment horizontal="center" vertical="center" wrapText="1"/>
    </xf>
    <xf numFmtId="176" fontId="7" fillId="3" borderId="36" xfId="0" applyNumberFormat="1" applyFont="1" applyFill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10" fontId="16" fillId="0" borderId="0" xfId="2" applyNumberFormat="1" applyFont="1" applyBorder="1" applyAlignment="1">
      <alignment horizontal="center" vertical="center"/>
    </xf>
    <xf numFmtId="176" fontId="7" fillId="2" borderId="36" xfId="0" applyNumberFormat="1" applyFont="1" applyFill="1" applyBorder="1" applyAlignment="1">
      <alignment horizontal="right" vertical="center"/>
    </xf>
    <xf numFmtId="176" fontId="7" fillId="2" borderId="53" xfId="0" applyNumberFormat="1" applyFont="1" applyFill="1" applyBorder="1" applyAlignment="1">
      <alignment horizontal="right" vertical="center"/>
    </xf>
    <xf numFmtId="176" fontId="7" fillId="2" borderId="54" xfId="0" applyNumberFormat="1" applyFont="1" applyFill="1" applyBorder="1" applyAlignment="1">
      <alignment horizontal="right" vertical="center"/>
    </xf>
    <xf numFmtId="176" fontId="7" fillId="2" borderId="47" xfId="0" applyNumberFormat="1" applyFont="1" applyFill="1" applyBorder="1" applyAlignment="1">
      <alignment horizontal="right" vertical="center"/>
    </xf>
    <xf numFmtId="176" fontId="7" fillId="2" borderId="53" xfId="0" applyNumberFormat="1" applyFont="1" applyFill="1" applyBorder="1" applyAlignment="1">
      <alignment vertical="center"/>
    </xf>
    <xf numFmtId="176" fontId="7" fillId="2" borderId="54" xfId="0" applyNumberFormat="1" applyFont="1" applyFill="1" applyBorder="1" applyAlignment="1">
      <alignment vertical="center"/>
    </xf>
    <xf numFmtId="176" fontId="7" fillId="3" borderId="53" xfId="0" applyNumberFormat="1" applyFont="1" applyFill="1" applyBorder="1" applyAlignment="1">
      <alignment vertical="center"/>
    </xf>
    <xf numFmtId="176" fontId="7" fillId="3" borderId="54" xfId="0" applyNumberFormat="1" applyFont="1" applyFill="1" applyBorder="1" applyAlignment="1">
      <alignment vertical="center"/>
    </xf>
    <xf numFmtId="0" fontId="6" fillId="0" borderId="37" xfId="0" applyFont="1" applyBorder="1" applyAlignment="1">
      <alignment horizontal="center" vertical="center"/>
    </xf>
    <xf numFmtId="176" fontId="6" fillId="0" borderId="48" xfId="0" applyNumberFormat="1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176" fontId="7" fillId="3" borderId="35" xfId="0" applyNumberFormat="1" applyFont="1" applyFill="1" applyBorder="1" applyAlignment="1">
      <alignment vertical="center"/>
    </xf>
    <xf numFmtId="0" fontId="8" fillId="10" borderId="0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10" fontId="6" fillId="0" borderId="0" xfId="2" applyNumberFormat="1" applyFont="1" applyBorder="1" applyAlignment="1">
      <alignment horizontal="right" vertical="center"/>
    </xf>
    <xf numFmtId="10" fontId="6" fillId="0" borderId="0" xfId="2" applyNumberFormat="1" applyFont="1" applyAlignment="1">
      <alignment vertical="center"/>
    </xf>
    <xf numFmtId="10" fontId="7" fillId="0" borderId="0" xfId="2" applyNumberFormat="1" applyFont="1" applyAlignment="1">
      <alignment vertical="center"/>
    </xf>
    <xf numFmtId="0" fontId="31" fillId="0" borderId="0" xfId="4" applyNumberFormat="1" applyFont="1" applyBorder="1" applyAlignment="1">
      <alignment horizontal="center" vertical="center"/>
    </xf>
    <xf numFmtId="0" fontId="31" fillId="0" borderId="0" xfId="4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38" xfId="0" applyNumberFormat="1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center"/>
    </xf>
    <xf numFmtId="0" fontId="31" fillId="22" borderId="0" xfId="4" applyNumberFormat="1" applyFont="1" applyFill="1" applyBorder="1" applyAlignment="1">
      <alignment horizontal="center" vertical="center"/>
    </xf>
    <xf numFmtId="0" fontId="20" fillId="22" borderId="0" xfId="0" applyNumberFormat="1" applyFont="1" applyFill="1" applyBorder="1" applyAlignment="1">
      <alignment horizontal="center" vertical="center"/>
    </xf>
    <xf numFmtId="0" fontId="36" fillId="23" borderId="94" xfId="62" applyFont="1" applyFill="1" applyBorder="1">
      <alignment vertical="center"/>
    </xf>
    <xf numFmtId="0" fontId="36" fillId="0" borderId="94" xfId="62" applyFont="1" applyBorder="1">
      <alignment vertical="center"/>
    </xf>
    <xf numFmtId="184" fontId="36" fillId="0" borderId="94" xfId="62" applyNumberFormat="1" applyFont="1" applyBorder="1">
      <alignment vertical="center"/>
    </xf>
    <xf numFmtId="0" fontId="36" fillId="0" borderId="0" xfId="62" applyFont="1">
      <alignment vertical="center"/>
    </xf>
    <xf numFmtId="0" fontId="36" fillId="0" borderId="94" xfId="62" applyFont="1" applyFill="1" applyBorder="1">
      <alignment vertical="center"/>
    </xf>
    <xf numFmtId="184" fontId="36" fillId="0" borderId="0" xfId="62" applyNumberFormat="1" applyFont="1">
      <alignment vertical="center"/>
    </xf>
    <xf numFmtId="0" fontId="8" fillId="10" borderId="0" xfId="0" applyFont="1" applyFill="1" applyBorder="1" applyAlignment="1">
      <alignment horizontal="center" vertical="center"/>
    </xf>
    <xf numFmtId="181" fontId="6" fillId="0" borderId="35" xfId="0" applyNumberFormat="1" applyFont="1" applyBorder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81" fontId="18" fillId="0" borderId="0" xfId="0" applyNumberFormat="1" applyFont="1" applyBorder="1" applyAlignment="1">
      <alignment horizontal="right" vertical="center"/>
    </xf>
    <xf numFmtId="176" fontId="8" fillId="29" borderId="33" xfId="0" applyNumberFormat="1" applyFont="1" applyFill="1" applyBorder="1" applyAlignment="1">
      <alignment horizontal="center" vertical="center" wrapText="1"/>
    </xf>
    <xf numFmtId="176" fontId="8" fillId="29" borderId="46" xfId="0" applyNumberFormat="1" applyFont="1" applyFill="1" applyBorder="1" applyAlignment="1">
      <alignment horizontal="center" vertical="center" wrapText="1"/>
    </xf>
    <xf numFmtId="41" fontId="6" fillId="0" borderId="0" xfId="1" applyFont="1" applyBorder="1" applyAlignment="1">
      <alignment vertical="center"/>
    </xf>
    <xf numFmtId="41" fontId="6" fillId="0" borderId="0" xfId="1" applyFont="1" applyBorder="1" applyAlignment="1">
      <alignment horizontal="center" vertical="center"/>
    </xf>
    <xf numFmtId="41" fontId="16" fillId="0" borderId="0" xfId="1" applyFont="1" applyBorder="1" applyAlignment="1">
      <alignment horizontal="center" vertical="center"/>
    </xf>
    <xf numFmtId="41" fontId="6" fillId="0" borderId="47" xfId="1" applyFont="1" applyBorder="1" applyAlignment="1">
      <alignment vertical="center"/>
    </xf>
    <xf numFmtId="41" fontId="6" fillId="0" borderId="48" xfId="1" applyFont="1" applyBorder="1" applyAlignment="1">
      <alignment vertical="center"/>
    </xf>
    <xf numFmtId="41" fontId="7" fillId="0" borderId="0" xfId="1" applyFont="1" applyBorder="1" applyAlignment="1">
      <alignment vertical="center"/>
    </xf>
    <xf numFmtId="14" fontId="17" fillId="0" borderId="0" xfId="0" applyNumberFormat="1" applyFont="1" applyAlignment="1">
      <alignment horizontal="left" vertical="center" wrapText="1"/>
    </xf>
    <xf numFmtId="0" fontId="4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76" fontId="16" fillId="20" borderId="0" xfId="0" applyNumberFormat="1" applyFont="1" applyFill="1" applyAlignment="1">
      <alignment horizontal="center" vertical="center"/>
    </xf>
    <xf numFmtId="187" fontId="16" fillId="20" borderId="0" xfId="1" applyNumberFormat="1" applyFont="1" applyFill="1" applyBorder="1" applyAlignment="1">
      <alignment horizontal="center" vertical="center"/>
    </xf>
    <xf numFmtId="14" fontId="8" fillId="5" borderId="50" xfId="0" applyNumberFormat="1" applyFont="1" applyFill="1" applyBorder="1" applyAlignment="1">
      <alignment horizontal="center" vertical="center" wrapText="1"/>
    </xf>
    <xf numFmtId="14" fontId="8" fillId="5" borderId="51" xfId="0" applyNumberFormat="1" applyFont="1" applyFill="1" applyBorder="1" applyAlignment="1">
      <alignment horizontal="center" vertical="center" wrapText="1"/>
    </xf>
    <xf numFmtId="14" fontId="8" fillId="5" borderId="161" xfId="0" applyNumberFormat="1" applyFont="1" applyFill="1" applyBorder="1" applyAlignment="1">
      <alignment horizontal="center" vertical="center" wrapText="1"/>
    </xf>
    <xf numFmtId="14" fontId="8" fillId="5" borderId="52" xfId="0" applyNumberFormat="1" applyFont="1" applyFill="1" applyBorder="1" applyAlignment="1">
      <alignment horizontal="center" vertical="center" wrapText="1"/>
    </xf>
    <xf numFmtId="14" fontId="8" fillId="5" borderId="53" xfId="0" applyNumberFormat="1" applyFont="1" applyFill="1" applyBorder="1" applyAlignment="1">
      <alignment horizontal="center" vertical="center" wrapText="1"/>
    </xf>
    <xf numFmtId="14" fontId="8" fillId="5" borderId="0" xfId="0" applyNumberFormat="1" applyFont="1" applyFill="1" applyAlignment="1">
      <alignment horizontal="center" vertical="center" wrapText="1"/>
    </xf>
    <xf numFmtId="14" fontId="8" fillId="5" borderId="162" xfId="0" applyNumberFormat="1" applyFont="1" applyFill="1" applyBorder="1" applyAlignment="1">
      <alignment horizontal="center" vertical="center" wrapText="1"/>
    </xf>
    <xf numFmtId="14" fontId="8" fillId="5" borderId="54" xfId="0" applyNumberFormat="1" applyFont="1" applyFill="1" applyBorder="1" applyAlignment="1">
      <alignment horizontal="center" vertical="center" wrapText="1"/>
    </xf>
    <xf numFmtId="188" fontId="49" fillId="0" borderId="0" xfId="173" applyNumberFormat="1" applyFont="1" applyAlignment="1">
      <alignment horizontal="center" wrapText="1"/>
    </xf>
    <xf numFmtId="188" fontId="49" fillId="0" borderId="0" xfId="173" applyNumberFormat="1" applyFont="1" applyAlignment="1">
      <alignment horizontal="left"/>
    </xf>
    <xf numFmtId="188" fontId="49" fillId="27" borderId="163" xfId="173" applyNumberFormat="1" applyFont="1" applyFill="1" applyBorder="1" applyAlignment="1">
      <alignment horizontal="center"/>
    </xf>
    <xf numFmtId="188" fontId="25" fillId="0" borderId="0" xfId="173" applyNumberFormat="1" applyFont="1" applyAlignment="1">
      <alignment vertical="center"/>
    </xf>
    <xf numFmtId="176" fontId="7" fillId="4" borderId="53" xfId="0" applyNumberFormat="1" applyFont="1" applyFill="1" applyBorder="1" applyAlignment="1">
      <alignment horizontal="center" vertical="center"/>
    </xf>
    <xf numFmtId="182" fontId="7" fillId="4" borderId="162" xfId="0" applyNumberFormat="1" applyFont="1" applyFill="1" applyBorder="1" applyAlignment="1">
      <alignment vertical="center"/>
    </xf>
    <xf numFmtId="182" fontId="7" fillId="4" borderId="0" xfId="0" applyNumberFormat="1" applyFont="1" applyFill="1" applyAlignment="1">
      <alignment vertical="center"/>
    </xf>
    <xf numFmtId="182" fontId="7" fillId="4" borderId="54" xfId="0" applyNumberFormat="1" applyFont="1" applyFill="1" applyBorder="1" applyAlignment="1">
      <alignment vertical="center"/>
    </xf>
    <xf numFmtId="188" fontId="49" fillId="0" borderId="164" xfId="173" applyNumberFormat="1" applyFont="1" applyBorder="1" applyAlignment="1">
      <alignment horizontal="center" vertical="center"/>
    </xf>
    <xf numFmtId="188" fontId="49" fillId="27" borderId="164" xfId="173" applyNumberFormat="1" applyFont="1" applyFill="1" applyBorder="1" applyAlignment="1">
      <alignment horizontal="center" vertical="center"/>
    </xf>
    <xf numFmtId="176" fontId="7" fillId="2" borderId="53" xfId="0" applyNumberFormat="1" applyFont="1" applyFill="1" applyBorder="1" applyAlignment="1">
      <alignment horizontal="center" vertical="center"/>
    </xf>
    <xf numFmtId="182" fontId="7" fillId="2" borderId="162" xfId="0" applyNumberFormat="1" applyFont="1" applyFill="1" applyBorder="1" applyAlignment="1">
      <alignment vertical="center"/>
    </xf>
    <xf numFmtId="182" fontId="7" fillId="2" borderId="0" xfId="0" applyNumberFormat="1" applyFont="1" applyFill="1" applyAlignment="1">
      <alignment vertical="center"/>
    </xf>
    <xf numFmtId="182" fontId="7" fillId="2" borderId="54" xfId="0" applyNumberFormat="1" applyFont="1" applyFill="1" applyBorder="1" applyAlignment="1">
      <alignment vertical="center"/>
    </xf>
    <xf numFmtId="188" fontId="51" fillId="0" borderId="0" xfId="173" applyNumberFormat="1" applyFont="1" applyAlignment="1">
      <alignment vertical="center"/>
    </xf>
    <xf numFmtId="188" fontId="25" fillId="0" borderId="0" xfId="173" applyNumberFormat="1" applyFont="1" applyAlignment="1">
      <alignment horizontal="center" vertical="center"/>
    </xf>
    <xf numFmtId="188" fontId="25" fillId="27" borderId="0" xfId="173" applyNumberFormat="1" applyFont="1" applyFill="1" applyAlignment="1">
      <alignment vertical="center"/>
    </xf>
    <xf numFmtId="176" fontId="7" fillId="3" borderId="53" xfId="0" applyNumberFormat="1" applyFont="1" applyFill="1" applyBorder="1" applyAlignment="1">
      <alignment horizontal="center" vertical="center"/>
    </xf>
    <xf numFmtId="182" fontId="7" fillId="3" borderId="162" xfId="0" applyNumberFormat="1" applyFont="1" applyFill="1" applyBorder="1" applyAlignment="1">
      <alignment vertical="center"/>
    </xf>
    <xf numFmtId="182" fontId="7" fillId="3" borderId="0" xfId="0" applyNumberFormat="1" applyFont="1" applyFill="1" applyAlignment="1">
      <alignment vertical="center"/>
    </xf>
    <xf numFmtId="182" fontId="7" fillId="3" borderId="54" xfId="0" applyNumberFormat="1" applyFont="1" applyFill="1" applyBorder="1" applyAlignment="1">
      <alignment vertical="center"/>
    </xf>
    <xf numFmtId="188" fontId="52" fillId="0" borderId="0" xfId="173" applyNumberFormat="1" applyFont="1" applyAlignment="1">
      <alignment vertical="center"/>
    </xf>
    <xf numFmtId="188" fontId="52" fillId="0" borderId="0" xfId="173" applyNumberFormat="1" applyFont="1" applyAlignment="1">
      <alignment horizontal="center" vertical="center"/>
    </xf>
    <xf numFmtId="189" fontId="52" fillId="27" borderId="0" xfId="173" applyNumberFormat="1" applyFont="1" applyFill="1" applyAlignment="1">
      <alignment vertical="center"/>
    </xf>
    <xf numFmtId="183" fontId="18" fillId="0" borderId="53" xfId="173" applyNumberFormat="1" applyFont="1" applyBorder="1" applyAlignment="1">
      <alignment horizontal="center" vertical="center"/>
    </xf>
    <xf numFmtId="176" fontId="18" fillId="0" borderId="0" xfId="173" applyNumberFormat="1" applyFont="1" applyAlignment="1">
      <alignment vertical="center"/>
    </xf>
    <xf numFmtId="182" fontId="18" fillId="0" borderId="162" xfId="173" applyNumberFormat="1" applyFont="1" applyBorder="1" applyAlignment="1">
      <alignment vertical="center"/>
    </xf>
    <xf numFmtId="182" fontId="18" fillId="0" borderId="0" xfId="173" applyNumberFormat="1" applyFont="1" applyAlignment="1">
      <alignment vertical="center"/>
    </xf>
    <xf numFmtId="182" fontId="18" fillId="0" borderId="54" xfId="173" applyNumberFormat="1" applyFont="1" applyBorder="1" applyAlignment="1">
      <alignment vertical="center"/>
    </xf>
    <xf numFmtId="188" fontId="52" fillId="0" borderId="0" xfId="173" applyNumberFormat="1" applyFont="1" applyAlignment="1">
      <alignment horizontal="left" vertical="center" indent="1"/>
    </xf>
    <xf numFmtId="188" fontId="25" fillId="0" borderId="0" xfId="173" applyNumberFormat="1" applyFont="1" applyAlignment="1">
      <alignment horizontal="left" vertical="center" indent="2"/>
    </xf>
    <xf numFmtId="188" fontId="25" fillId="0" borderId="0" xfId="173" applyNumberFormat="1" applyFont="1" applyAlignment="1">
      <alignment horizontal="left" vertical="center"/>
    </xf>
    <xf numFmtId="189" fontId="25" fillId="27" borderId="0" xfId="173" applyNumberFormat="1" applyFont="1" applyFill="1" applyAlignment="1">
      <alignment vertical="center"/>
    </xf>
    <xf numFmtId="183" fontId="7" fillId="3" borderId="53" xfId="0" applyNumberFormat="1" applyFont="1" applyFill="1" applyBorder="1" applyAlignment="1">
      <alignment horizontal="center" vertical="center"/>
    </xf>
    <xf numFmtId="188" fontId="25" fillId="32" borderId="0" xfId="173" applyNumberFormat="1" applyFont="1" applyFill="1" applyAlignment="1">
      <alignment horizontal="left" vertical="center" indent="2"/>
    </xf>
    <xf numFmtId="188" fontId="51" fillId="0" borderId="165" xfId="173" applyNumberFormat="1" applyFont="1" applyBorder="1" applyAlignment="1">
      <alignment vertical="center"/>
    </xf>
    <xf numFmtId="188" fontId="51" fillId="0" borderId="165" xfId="173" applyNumberFormat="1" applyFont="1" applyBorder="1" applyAlignment="1">
      <alignment horizontal="left" vertical="center"/>
    </xf>
    <xf numFmtId="189" fontId="51" fillId="27" borderId="165" xfId="173" applyNumberFormat="1" applyFont="1" applyFill="1" applyBorder="1" applyAlignment="1">
      <alignment vertical="center"/>
    </xf>
    <xf numFmtId="188" fontId="23" fillId="0" borderId="0" xfId="173" applyNumberFormat="1" applyFont="1" applyAlignment="1">
      <alignment vertical="center"/>
    </xf>
    <xf numFmtId="183" fontId="7" fillId="2" borderId="53" xfId="0" applyNumberFormat="1" applyFont="1" applyFill="1" applyBorder="1" applyAlignment="1">
      <alignment horizontal="center" vertical="center"/>
    </xf>
    <xf numFmtId="188" fontId="25" fillId="0" borderId="0" xfId="173" applyNumberFormat="1" applyFont="1" applyAlignment="1">
      <alignment horizontal="left" vertical="center" indent="3"/>
    </xf>
    <xf numFmtId="183" fontId="7" fillId="4" borderId="53" xfId="0" applyNumberFormat="1" applyFont="1" applyFill="1" applyBorder="1" applyAlignment="1">
      <alignment horizontal="center" vertical="center"/>
    </xf>
    <xf numFmtId="183" fontId="7" fillId="0" borderId="53" xfId="0" applyNumberFormat="1" applyFont="1" applyBorder="1" applyAlignment="1">
      <alignment horizontal="center" vertical="center"/>
    </xf>
    <xf numFmtId="183" fontId="7" fillId="4" borderId="55" xfId="0" applyNumberFormat="1" applyFont="1" applyFill="1" applyBorder="1" applyAlignment="1">
      <alignment horizontal="center" vertical="center"/>
    </xf>
    <xf numFmtId="176" fontId="7" fillId="4" borderId="56" xfId="0" applyNumberFormat="1" applyFont="1" applyFill="1" applyBorder="1" applyAlignment="1">
      <alignment vertical="center"/>
    </xf>
    <xf numFmtId="182" fontId="7" fillId="4" borderId="166" xfId="0" applyNumberFormat="1" applyFont="1" applyFill="1" applyBorder="1" applyAlignment="1">
      <alignment vertical="center"/>
    </xf>
    <xf numFmtId="182" fontId="7" fillId="4" borderId="56" xfId="0" applyNumberFormat="1" applyFont="1" applyFill="1" applyBorder="1" applyAlignment="1">
      <alignment vertical="center"/>
    </xf>
    <xf numFmtId="182" fontId="7" fillId="4" borderId="57" xfId="0" applyNumberFormat="1" applyFont="1" applyFill="1" applyBorder="1" applyAlignment="1">
      <alignment vertical="center"/>
    </xf>
    <xf numFmtId="190" fontId="6" fillId="0" borderId="0" xfId="0" applyNumberFormat="1" applyFont="1" applyAlignment="1">
      <alignment vertical="center"/>
    </xf>
    <xf numFmtId="182" fontId="6" fillId="0" borderId="0" xfId="0" applyNumberFormat="1" applyFont="1" applyAlignment="1">
      <alignment vertical="center"/>
    </xf>
    <xf numFmtId="191" fontId="6" fillId="0" borderId="0" xfId="0" applyNumberFormat="1" applyFont="1" applyAlignment="1">
      <alignment vertical="center"/>
    </xf>
    <xf numFmtId="192" fontId="6" fillId="0" borderId="0" xfId="0" applyNumberFormat="1" applyFont="1" applyAlignment="1">
      <alignment vertical="center"/>
    </xf>
    <xf numFmtId="193" fontId="6" fillId="0" borderId="0" xfId="0" applyNumberFormat="1" applyFont="1" applyAlignment="1">
      <alignment vertical="center"/>
    </xf>
    <xf numFmtId="183" fontId="6" fillId="0" borderId="0" xfId="0" applyNumberFormat="1" applyFont="1" applyAlignment="1">
      <alignment vertical="center"/>
    </xf>
    <xf numFmtId="0" fontId="6" fillId="9" borderId="0" xfId="0" applyFont="1" applyFill="1" applyBorder="1" applyAlignment="1">
      <alignment vertical="center"/>
    </xf>
    <xf numFmtId="0" fontId="18" fillId="9" borderId="35" xfId="0" applyFont="1" applyFill="1" applyBorder="1" applyAlignment="1">
      <alignment vertical="center"/>
    </xf>
    <xf numFmtId="0" fontId="18" fillId="9" borderId="0" xfId="0" applyFont="1" applyFill="1" applyBorder="1" applyAlignment="1">
      <alignment vertical="center"/>
    </xf>
    <xf numFmtId="0" fontId="18" fillId="9" borderId="0" xfId="0" applyFont="1" applyFill="1" applyBorder="1" applyAlignment="1">
      <alignment horizontal="center" vertical="center"/>
    </xf>
    <xf numFmtId="181" fontId="18" fillId="9" borderId="0" xfId="0" applyNumberFormat="1" applyFont="1" applyFill="1" applyBorder="1" applyAlignment="1">
      <alignment horizontal="right" vertical="center"/>
    </xf>
    <xf numFmtId="176" fontId="18" fillId="9" borderId="0" xfId="0" applyNumberFormat="1" applyFont="1" applyFill="1" applyBorder="1" applyAlignment="1">
      <alignment horizontal="right" vertical="center"/>
    </xf>
    <xf numFmtId="176" fontId="18" fillId="9" borderId="54" xfId="0" applyNumberFormat="1" applyFont="1" applyFill="1" applyBorder="1" applyAlignment="1">
      <alignment horizontal="right" vertical="center"/>
    </xf>
    <xf numFmtId="176" fontId="18" fillId="9" borderId="53" xfId="0" applyNumberFormat="1" applyFont="1" applyFill="1" applyBorder="1" applyAlignment="1">
      <alignment horizontal="right" vertical="center"/>
    </xf>
    <xf numFmtId="176" fontId="18" fillId="9" borderId="67" xfId="0" applyNumberFormat="1" applyFont="1" applyFill="1" applyBorder="1" applyAlignment="1">
      <alignment horizontal="right" vertical="center"/>
    </xf>
    <xf numFmtId="41" fontId="6" fillId="0" borderId="0" xfId="1" applyFont="1" applyBorder="1" applyAlignment="1">
      <alignment horizontal="right" vertical="center"/>
    </xf>
    <xf numFmtId="181" fontId="6" fillId="0" borderId="0" xfId="0" applyNumberFormat="1" applyFont="1" applyAlignment="1">
      <alignment horizontal="left" vertical="center"/>
    </xf>
    <xf numFmtId="181" fontId="18" fillId="0" borderId="0" xfId="0" applyNumberFormat="1" applyFont="1" applyAlignment="1">
      <alignment vertical="center"/>
    </xf>
    <xf numFmtId="181" fontId="18" fillId="0" borderId="222" xfId="0" applyNumberFormat="1" applyFont="1" applyBorder="1" applyAlignment="1">
      <alignment horizontal="right" vertical="center"/>
    </xf>
    <xf numFmtId="343" fontId="387" fillId="0" borderId="122" xfId="7981" applyNumberFormat="1" applyFont="1" applyBorder="1" applyAlignment="1" applyProtection="1">
      <alignment vertical="center" wrapText="1"/>
    </xf>
    <xf numFmtId="176" fontId="29" fillId="0" borderId="70" xfId="0" applyNumberFormat="1" applyFont="1" applyBorder="1" applyAlignment="1">
      <alignment horizontal="center" vertical="center" wrapText="1"/>
    </xf>
    <xf numFmtId="176" fontId="6" fillId="9" borderId="0" xfId="0" applyNumberFormat="1" applyFont="1" applyFill="1" applyBorder="1" applyAlignment="1">
      <alignment horizontal="right" vertical="center"/>
    </xf>
    <xf numFmtId="176" fontId="16" fillId="9" borderId="0" xfId="0" applyNumberFormat="1" applyFont="1" applyFill="1" applyBorder="1" applyAlignment="1">
      <alignment horizontal="right" vertical="center"/>
    </xf>
    <xf numFmtId="181" fontId="18" fillId="21" borderId="0" xfId="0" applyNumberFormat="1" applyFont="1" applyFill="1" applyBorder="1" applyAlignment="1">
      <alignment horizontal="right" vertical="center"/>
    </xf>
    <xf numFmtId="176" fontId="7" fillId="2" borderId="35" xfId="0" applyNumberFormat="1" applyFont="1" applyFill="1" applyBorder="1" applyAlignment="1">
      <alignment horizontal="right" vertical="center"/>
    </xf>
    <xf numFmtId="0" fontId="8" fillId="5" borderId="46" xfId="0" applyFont="1" applyFill="1" applyBorder="1" applyAlignment="1">
      <alignment horizontal="center" vertical="center" wrapText="1"/>
    </xf>
    <xf numFmtId="41" fontId="6" fillId="0" borderId="36" xfId="1" applyFont="1" applyBorder="1" applyAlignment="1">
      <alignment vertical="center"/>
    </xf>
    <xf numFmtId="41" fontId="6" fillId="0" borderId="39" xfId="1" applyFont="1" applyBorder="1" applyAlignment="1">
      <alignment vertical="center"/>
    </xf>
    <xf numFmtId="41" fontId="7" fillId="2" borderId="36" xfId="1" applyFont="1" applyFill="1" applyBorder="1" applyAlignment="1">
      <alignment horizontal="right" vertical="center"/>
    </xf>
    <xf numFmtId="41" fontId="7" fillId="2" borderId="36" xfId="1" applyFont="1" applyFill="1" applyBorder="1" applyAlignment="1">
      <alignment vertical="center"/>
    </xf>
    <xf numFmtId="41" fontId="7" fillId="3" borderId="36" xfId="1" applyFont="1" applyFill="1" applyBorder="1" applyAlignment="1">
      <alignment vertical="center"/>
    </xf>
    <xf numFmtId="176" fontId="6" fillId="114" borderId="0" xfId="0" applyNumberFormat="1" applyFont="1" applyFill="1" applyAlignment="1">
      <alignment vertical="center"/>
    </xf>
    <xf numFmtId="0" fontId="6" fillId="114" borderId="0" xfId="0" applyFont="1" applyFill="1" applyAlignment="1">
      <alignment vertical="center"/>
    </xf>
    <xf numFmtId="176" fontId="18" fillId="114" borderId="67" xfId="0" applyNumberFormat="1" applyFont="1" applyFill="1" applyBorder="1" applyAlignment="1">
      <alignment horizontal="right" vertical="center"/>
    </xf>
    <xf numFmtId="176" fontId="16" fillId="115" borderId="0" xfId="0" applyNumberFormat="1" applyFont="1" applyFill="1" applyAlignment="1">
      <alignment horizontal="center" vertical="center"/>
    </xf>
    <xf numFmtId="4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176" fontId="6" fillId="115" borderId="0" xfId="0" applyNumberFormat="1" applyFont="1" applyFill="1" applyAlignment="1">
      <alignment vertical="center"/>
    </xf>
    <xf numFmtId="176" fontId="6" fillId="0" borderId="222" xfId="0" applyNumberFormat="1" applyFont="1" applyBorder="1" applyAlignment="1">
      <alignment vertical="center"/>
    </xf>
    <xf numFmtId="176" fontId="32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176" fontId="7" fillId="9" borderId="0" xfId="0" applyNumberFormat="1" applyFont="1" applyFill="1" applyBorder="1" applyAlignment="1">
      <alignment horizontal="center" vertical="center"/>
    </xf>
    <xf numFmtId="176" fontId="389" fillId="5" borderId="243" xfId="0" applyNumberFormat="1" applyFont="1" applyFill="1" applyBorder="1" applyAlignment="1">
      <alignment horizontal="center" vertical="center" wrapText="1"/>
    </xf>
    <xf numFmtId="176" fontId="389" fillId="5" borderId="240" xfId="0" applyNumberFormat="1" applyFont="1" applyFill="1" applyBorder="1" applyAlignment="1">
      <alignment horizontal="center" vertical="center" wrapText="1"/>
    </xf>
    <xf numFmtId="176" fontId="389" fillId="5" borderId="244" xfId="0" applyNumberFormat="1" applyFont="1" applyFill="1" applyBorder="1" applyAlignment="1">
      <alignment horizontal="center" vertical="center" wrapText="1"/>
    </xf>
    <xf numFmtId="176" fontId="389" fillId="5" borderId="293" xfId="0" applyNumberFormat="1" applyFont="1" applyFill="1" applyBorder="1" applyAlignment="1">
      <alignment horizontal="center" vertical="center" wrapText="1"/>
    </xf>
    <xf numFmtId="176" fontId="389" fillId="5" borderId="319" xfId="0" applyNumberFormat="1" applyFont="1" applyFill="1" applyBorder="1" applyAlignment="1">
      <alignment horizontal="center" vertical="center" wrapText="1"/>
    </xf>
    <xf numFmtId="176" fontId="390" fillId="0" borderId="0" xfId="0" applyNumberFormat="1" applyFont="1" applyAlignment="1">
      <alignment vertical="center"/>
    </xf>
    <xf numFmtId="176" fontId="391" fillId="0" borderId="0" xfId="0" applyNumberFormat="1" applyFont="1" applyAlignment="1">
      <alignment horizontal="center" vertical="center"/>
    </xf>
    <xf numFmtId="176" fontId="389" fillId="29" borderId="32" xfId="0" applyNumberFormat="1" applyFont="1" applyFill="1" applyBorder="1" applyAlignment="1">
      <alignment horizontal="center" vertical="center" wrapText="1"/>
    </xf>
    <xf numFmtId="176" fontId="389" fillId="29" borderId="33" xfId="0" applyNumberFormat="1" applyFont="1" applyFill="1" applyBorder="1" applyAlignment="1">
      <alignment horizontal="center" vertical="center" wrapText="1"/>
    </xf>
    <xf numFmtId="176" fontId="392" fillId="0" borderId="0" xfId="0" applyNumberFormat="1" applyFont="1" applyAlignment="1">
      <alignment vertical="center"/>
    </xf>
    <xf numFmtId="0" fontId="390" fillId="4" borderId="35" xfId="0" applyNumberFormat="1" applyFont="1" applyFill="1" applyBorder="1" applyAlignment="1">
      <alignment horizontal="center" vertical="center"/>
    </xf>
    <xf numFmtId="176" fontId="390" fillId="4" borderId="0" xfId="0" applyNumberFormat="1" applyFont="1" applyFill="1" applyBorder="1" applyAlignment="1">
      <alignment vertical="center"/>
    </xf>
    <xf numFmtId="176" fontId="390" fillId="4" borderId="36" xfId="0" applyNumberFormat="1" applyFont="1" applyFill="1" applyBorder="1" applyAlignment="1">
      <alignment vertical="center"/>
    </xf>
    <xf numFmtId="0" fontId="390" fillId="2" borderId="35" xfId="0" applyNumberFormat="1" applyFont="1" applyFill="1" applyBorder="1" applyAlignment="1">
      <alignment horizontal="center" vertical="center"/>
    </xf>
    <xf numFmtId="176" fontId="390" fillId="2" borderId="0" xfId="0" applyNumberFormat="1" applyFont="1" applyFill="1" applyBorder="1" applyAlignment="1">
      <alignment vertical="center"/>
    </xf>
    <xf numFmtId="176" fontId="390" fillId="2" borderId="36" xfId="0" applyNumberFormat="1" applyFont="1" applyFill="1" applyBorder="1" applyAlignment="1">
      <alignment vertical="center"/>
    </xf>
    <xf numFmtId="0" fontId="390" fillId="3" borderId="35" xfId="0" applyNumberFormat="1" applyFont="1" applyFill="1" applyBorder="1" applyAlignment="1">
      <alignment horizontal="center" vertical="center"/>
    </xf>
    <xf numFmtId="176" fontId="390" fillId="3" borderId="0" xfId="0" applyNumberFormat="1" applyFont="1" applyFill="1" applyBorder="1" applyAlignment="1">
      <alignment vertical="center"/>
    </xf>
    <xf numFmtId="176" fontId="390" fillId="3" borderId="36" xfId="0" applyNumberFormat="1" applyFont="1" applyFill="1" applyBorder="1" applyAlignment="1">
      <alignment vertical="center"/>
    </xf>
    <xf numFmtId="0" fontId="392" fillId="0" borderId="35" xfId="0" applyNumberFormat="1" applyFont="1" applyBorder="1" applyAlignment="1">
      <alignment horizontal="center" vertical="center"/>
    </xf>
    <xf numFmtId="176" fontId="392" fillId="0" borderId="0" xfId="0" applyNumberFormat="1" applyFont="1" applyBorder="1" applyAlignment="1">
      <alignment vertical="center"/>
    </xf>
    <xf numFmtId="176" fontId="392" fillId="0" borderId="36" xfId="0" applyNumberFormat="1" applyFont="1" applyBorder="1" applyAlignment="1">
      <alignment vertical="center"/>
    </xf>
    <xf numFmtId="0" fontId="392" fillId="0" borderId="37" xfId="0" applyNumberFormat="1" applyFont="1" applyBorder="1" applyAlignment="1">
      <alignment horizontal="center" vertical="center"/>
    </xf>
    <xf numFmtId="176" fontId="390" fillId="0" borderId="38" xfId="0" applyNumberFormat="1" applyFont="1" applyBorder="1" applyAlignment="1">
      <alignment vertical="center"/>
    </xf>
    <xf numFmtId="176" fontId="392" fillId="0" borderId="38" xfId="0" applyNumberFormat="1" applyFont="1" applyBorder="1" applyAlignment="1">
      <alignment vertical="center"/>
    </xf>
    <xf numFmtId="176" fontId="392" fillId="0" borderId="39" xfId="0" applyNumberFormat="1" applyFont="1" applyBorder="1" applyAlignment="1">
      <alignment vertical="center"/>
    </xf>
    <xf numFmtId="176" fontId="389" fillId="5" borderId="32" xfId="0" applyNumberFormat="1" applyFont="1" applyFill="1" applyBorder="1" applyAlignment="1">
      <alignment horizontal="center" vertical="center" wrapText="1"/>
    </xf>
    <xf numFmtId="176" fontId="389" fillId="5" borderId="33" xfId="0" applyNumberFormat="1" applyFont="1" applyFill="1" applyBorder="1" applyAlignment="1">
      <alignment horizontal="center" vertical="center" wrapText="1"/>
    </xf>
    <xf numFmtId="176" fontId="389" fillId="5" borderId="34" xfId="0" applyNumberFormat="1" applyFont="1" applyFill="1" applyBorder="1" applyAlignment="1">
      <alignment horizontal="center" vertical="center" wrapText="1"/>
    </xf>
    <xf numFmtId="176" fontId="390" fillId="0" borderId="0" xfId="0" applyNumberFormat="1" applyFont="1" applyAlignment="1">
      <alignment horizontal="left" vertical="center"/>
    </xf>
    <xf numFmtId="176" fontId="390" fillId="0" borderId="0" xfId="0" applyNumberFormat="1" applyFont="1" applyAlignment="1">
      <alignment horizontal="center" vertical="center"/>
    </xf>
    <xf numFmtId="176" fontId="390" fillId="3" borderId="0" xfId="0" applyNumberFormat="1" applyFont="1" applyFill="1" applyAlignment="1">
      <alignment vertical="center"/>
    </xf>
    <xf numFmtId="176" fontId="392" fillId="0" borderId="78" xfId="0" applyNumberFormat="1" applyFont="1" applyBorder="1" applyAlignment="1">
      <alignment vertical="center"/>
    </xf>
    <xf numFmtId="176" fontId="390" fillId="0" borderId="78" xfId="0" applyNumberFormat="1" applyFont="1" applyBorder="1" applyAlignment="1">
      <alignment vertical="center"/>
    </xf>
    <xf numFmtId="176" fontId="392" fillId="0" borderId="207" xfId="0" applyNumberFormat="1" applyFont="1" applyBorder="1" applyAlignment="1">
      <alignment vertical="center"/>
    </xf>
    <xf numFmtId="176" fontId="393" fillId="0" borderId="0" xfId="0" applyNumberFormat="1" applyFont="1" applyAlignment="1">
      <alignment vertical="center"/>
    </xf>
    <xf numFmtId="176" fontId="389" fillId="0" borderId="0" xfId="0" applyNumberFormat="1" applyFont="1" applyAlignment="1">
      <alignment vertical="center"/>
    </xf>
    <xf numFmtId="176" fontId="389" fillId="5" borderId="328" xfId="0" applyNumberFormat="1" applyFont="1" applyFill="1" applyBorder="1" applyAlignment="1">
      <alignment vertical="center"/>
    </xf>
    <xf numFmtId="176" fontId="389" fillId="5" borderId="329" xfId="0" applyNumberFormat="1" applyFont="1" applyFill="1" applyBorder="1" applyAlignment="1">
      <alignment vertical="center"/>
    </xf>
    <xf numFmtId="176" fontId="389" fillId="5" borderId="333" xfId="0" applyNumberFormat="1" applyFont="1" applyFill="1" applyBorder="1" applyAlignment="1">
      <alignment horizontal="center" vertical="center"/>
    </xf>
    <xf numFmtId="176" fontId="389" fillId="5" borderId="332" xfId="0" applyNumberFormat="1" applyFont="1" applyFill="1" applyBorder="1" applyAlignment="1">
      <alignment horizontal="center" vertical="center"/>
    </xf>
    <xf numFmtId="176" fontId="393" fillId="0" borderId="0" xfId="0" applyNumberFormat="1" applyFont="1" applyAlignment="1">
      <alignment horizontal="center" vertical="center"/>
    </xf>
    <xf numFmtId="176" fontId="393" fillId="0" borderId="305" xfId="0" applyNumberFormat="1" applyFont="1" applyBorder="1" applyAlignment="1">
      <alignment vertical="center"/>
    </xf>
    <xf numFmtId="176" fontId="393" fillId="0" borderId="241" xfId="0" applyNumberFormat="1" applyFont="1" applyBorder="1" applyAlignment="1">
      <alignment vertical="center"/>
    </xf>
    <xf numFmtId="10" fontId="393" fillId="0" borderId="241" xfId="2" applyNumberFormat="1" applyFont="1" applyBorder="1" applyAlignment="1">
      <alignment vertical="center"/>
    </xf>
    <xf numFmtId="176" fontId="393" fillId="0" borderId="306" xfId="0" applyNumberFormat="1" applyFont="1" applyBorder="1" applyAlignment="1">
      <alignment vertical="center"/>
    </xf>
    <xf numFmtId="176" fontId="393" fillId="0" borderId="0" xfId="0" applyNumberFormat="1" applyFont="1" applyAlignment="1">
      <alignment horizontal="right" vertical="center"/>
    </xf>
    <xf numFmtId="176" fontId="389" fillId="5" borderId="302" xfId="0" applyNumberFormat="1" applyFont="1" applyFill="1" applyBorder="1" applyAlignment="1">
      <alignment horizontal="center" vertical="center"/>
    </xf>
    <xf numFmtId="176" fontId="389" fillId="5" borderId="303" xfId="0" applyNumberFormat="1" applyFont="1" applyFill="1" applyBorder="1" applyAlignment="1">
      <alignment horizontal="center" vertical="center"/>
    </xf>
    <xf numFmtId="176" fontId="389" fillId="5" borderId="304" xfId="0" applyNumberFormat="1" applyFont="1" applyFill="1" applyBorder="1" applyAlignment="1">
      <alignment horizontal="center" vertical="center"/>
    </xf>
    <xf numFmtId="176" fontId="393" fillId="0" borderId="0" xfId="0" quotePrefix="1" applyNumberFormat="1" applyFont="1" applyAlignment="1">
      <alignment vertical="center"/>
    </xf>
    <xf numFmtId="176" fontId="391" fillId="0" borderId="0" xfId="0" applyNumberFormat="1" applyFont="1" applyAlignment="1">
      <alignment vertical="center"/>
    </xf>
    <xf numFmtId="176" fontId="393" fillId="0" borderId="61" xfId="0" applyNumberFormat="1" applyFont="1" applyBorder="1" applyAlignment="1">
      <alignment vertical="center"/>
    </xf>
    <xf numFmtId="176" fontId="393" fillId="0" borderId="62" xfId="0" applyNumberFormat="1" applyFont="1" applyBorder="1" applyAlignment="1">
      <alignment vertical="center"/>
    </xf>
    <xf numFmtId="176" fontId="392" fillId="0" borderId="0" xfId="0" applyNumberFormat="1" applyFont="1" applyFill="1" applyAlignment="1">
      <alignment vertical="center"/>
    </xf>
    <xf numFmtId="176" fontId="389" fillId="0" borderId="0" xfId="0" applyNumberFormat="1" applyFont="1" applyFill="1" applyAlignment="1">
      <alignment horizontal="center" vertical="center"/>
    </xf>
    <xf numFmtId="176" fontId="389" fillId="5" borderId="0" xfId="0" applyNumberFormat="1" applyFont="1" applyFill="1" applyAlignment="1">
      <alignment horizontal="center" vertical="center"/>
    </xf>
    <xf numFmtId="176" fontId="389" fillId="5" borderId="35" xfId="0" applyNumberFormat="1" applyFont="1" applyFill="1" applyBorder="1" applyAlignment="1">
      <alignment horizontal="center" vertical="center"/>
    </xf>
    <xf numFmtId="176" fontId="389" fillId="5" borderId="0" xfId="0" applyNumberFormat="1" applyFont="1" applyFill="1" applyBorder="1" applyAlignment="1">
      <alignment horizontal="center" vertical="center"/>
    </xf>
    <xf numFmtId="176" fontId="389" fillId="5" borderId="36" xfId="0" applyNumberFormat="1" applyFont="1" applyFill="1" applyBorder="1" applyAlignment="1">
      <alignment horizontal="center" vertical="center"/>
    </xf>
    <xf numFmtId="10" fontId="392" fillId="0" borderId="245" xfId="2" applyNumberFormat="1" applyFont="1" applyBorder="1" applyAlignment="1">
      <alignment horizontal="center" vertical="center"/>
    </xf>
    <xf numFmtId="176" fontId="392" fillId="0" borderId="35" xfId="0" applyNumberFormat="1" applyFont="1" applyBorder="1" applyAlignment="1">
      <alignment vertical="center"/>
    </xf>
    <xf numFmtId="176" fontId="392" fillId="0" borderId="245" xfId="0" applyNumberFormat="1" applyFont="1" applyBorder="1" applyAlignment="1">
      <alignment vertical="center"/>
    </xf>
    <xf numFmtId="176" fontId="392" fillId="0" borderId="241" xfId="0" applyNumberFormat="1" applyFont="1" applyBorder="1" applyAlignment="1">
      <alignment vertical="center"/>
    </xf>
    <xf numFmtId="176" fontId="392" fillId="0" borderId="246" xfId="0" applyNumberFormat="1" applyFont="1" applyBorder="1" applyAlignment="1">
      <alignment vertical="center"/>
    </xf>
    <xf numFmtId="10" fontId="392" fillId="0" borderId="325" xfId="2" applyNumberFormat="1" applyFont="1" applyBorder="1" applyAlignment="1">
      <alignment horizontal="center" vertical="center"/>
    </xf>
    <xf numFmtId="176" fontId="392" fillId="0" borderId="325" xfId="0" applyNumberFormat="1" applyFont="1" applyBorder="1" applyAlignment="1">
      <alignment vertical="center"/>
    </xf>
    <xf numFmtId="176" fontId="392" fillId="0" borderId="309" xfId="0" applyNumberFormat="1" applyFont="1" applyBorder="1" applyAlignment="1">
      <alignment vertical="center"/>
    </xf>
    <xf numFmtId="176" fontId="392" fillId="0" borderId="326" xfId="0" applyNumberFormat="1" applyFont="1" applyBorder="1" applyAlignment="1">
      <alignment vertical="center"/>
    </xf>
    <xf numFmtId="176" fontId="390" fillId="0" borderId="0" xfId="0" applyNumberFormat="1" applyFont="1" applyFill="1" applyAlignment="1">
      <alignment vertical="center"/>
    </xf>
    <xf numFmtId="176" fontId="390" fillId="0" borderId="37" xfId="0" applyNumberFormat="1" applyFont="1" applyBorder="1" applyAlignment="1">
      <alignment vertical="center"/>
    </xf>
    <xf numFmtId="176" fontId="392" fillId="0" borderId="65" xfId="0" applyNumberFormat="1" applyFont="1" applyBorder="1" applyAlignment="1">
      <alignment vertical="center"/>
    </xf>
    <xf numFmtId="176" fontId="390" fillId="0" borderId="65" xfId="0" applyNumberFormat="1" applyFont="1" applyBorder="1" applyAlignment="1">
      <alignment vertical="center"/>
    </xf>
    <xf numFmtId="176" fontId="392" fillId="0" borderId="0" xfId="0" applyNumberFormat="1" applyFont="1" applyBorder="1" applyAlignment="1">
      <alignment horizontal="center" vertical="center"/>
    </xf>
    <xf numFmtId="176" fontId="392" fillId="0" borderId="0" xfId="0" applyNumberFormat="1" applyFont="1" applyBorder="1" applyAlignment="1">
      <alignment horizontal="left" vertical="center" indent="1"/>
    </xf>
    <xf numFmtId="176" fontId="390" fillId="0" borderId="0" xfId="0" applyNumberFormat="1" applyFont="1" applyAlignment="1">
      <alignment horizontal="left" vertical="center" indent="1"/>
    </xf>
    <xf numFmtId="176" fontId="392" fillId="0" borderId="0" xfId="0" applyNumberFormat="1" applyFont="1" applyAlignment="1">
      <alignment horizontal="center" vertical="center"/>
    </xf>
    <xf numFmtId="176" fontId="392" fillId="0" borderId="0" xfId="0" applyNumberFormat="1" applyFont="1" applyAlignment="1">
      <alignment horizontal="left" vertical="center" indent="1"/>
    </xf>
    <xf numFmtId="176" fontId="389" fillId="5" borderId="302" xfId="0" applyNumberFormat="1" applyFont="1" applyFill="1" applyBorder="1" applyAlignment="1">
      <alignment horizontal="center" vertical="center" wrapText="1"/>
    </xf>
    <xf numFmtId="176" fontId="389" fillId="5" borderId="303" xfId="0" applyNumberFormat="1" applyFont="1" applyFill="1" applyBorder="1" applyAlignment="1">
      <alignment horizontal="center" vertical="center" wrapText="1"/>
    </xf>
    <xf numFmtId="176" fontId="389" fillId="5" borderId="304" xfId="0" applyNumberFormat="1" applyFont="1" applyFill="1" applyBorder="1" applyAlignment="1">
      <alignment horizontal="center" vertical="center" wrapText="1"/>
    </xf>
    <xf numFmtId="176" fontId="389" fillId="5" borderId="314" xfId="0" applyNumberFormat="1" applyFont="1" applyFill="1" applyBorder="1" applyAlignment="1">
      <alignment horizontal="center" vertical="center"/>
    </xf>
    <xf numFmtId="0" fontId="392" fillId="0" borderId="305" xfId="0" applyNumberFormat="1" applyFont="1" applyBorder="1" applyAlignment="1">
      <alignment horizontal="center" vertical="center"/>
    </xf>
    <xf numFmtId="176" fontId="392" fillId="0" borderId="241" xfId="0" applyNumberFormat="1" applyFont="1" applyBorder="1" applyAlignment="1">
      <alignment horizontal="left" vertical="center" indent="1"/>
    </xf>
    <xf numFmtId="176" fontId="392" fillId="114" borderId="309" xfId="0" applyNumberFormat="1" applyFont="1" applyFill="1" applyBorder="1" applyAlignment="1">
      <alignment vertical="center"/>
    </xf>
    <xf numFmtId="176" fontId="392" fillId="114" borderId="306" xfId="0" applyNumberFormat="1" applyFont="1" applyFill="1" applyBorder="1" applyAlignment="1">
      <alignment vertical="center"/>
    </xf>
    <xf numFmtId="176" fontId="392" fillId="114" borderId="0" xfId="0" applyNumberFormat="1" applyFont="1" applyFill="1" applyAlignment="1">
      <alignment vertical="center"/>
    </xf>
    <xf numFmtId="176" fontId="392" fillId="114" borderId="295" xfId="0" applyNumberFormat="1" applyFont="1" applyFill="1" applyBorder="1" applyAlignment="1">
      <alignment vertical="center"/>
    </xf>
    <xf numFmtId="176" fontId="392" fillId="114" borderId="0" xfId="0" applyNumberFormat="1" applyFont="1" applyFill="1" applyAlignment="1">
      <alignment horizontal="left" vertical="center" indent="1"/>
    </xf>
    <xf numFmtId="176" fontId="392" fillId="0" borderId="356" xfId="0" applyNumberFormat="1" applyFont="1" applyBorder="1" applyAlignment="1">
      <alignment vertical="center"/>
    </xf>
    <xf numFmtId="176" fontId="392" fillId="114" borderId="356" xfId="0" applyNumberFormat="1" applyFont="1" applyFill="1" applyBorder="1" applyAlignment="1">
      <alignment vertical="center"/>
    </xf>
    <xf numFmtId="0" fontId="392" fillId="0" borderId="241" xfId="0" applyFont="1" applyBorder="1" applyAlignment="1">
      <alignment horizontal="left" vertical="center" indent="1"/>
    </xf>
    <xf numFmtId="41" fontId="392" fillId="114" borderId="356" xfId="0" applyNumberFormat="1" applyFont="1" applyFill="1" applyBorder="1" applyAlignment="1">
      <alignment vertical="center"/>
    </xf>
    <xf numFmtId="176" fontId="392" fillId="0" borderId="306" xfId="0" applyNumberFormat="1" applyFont="1" applyBorder="1" applyAlignment="1">
      <alignment vertical="center"/>
    </xf>
    <xf numFmtId="176" fontId="392" fillId="0" borderId="295" xfId="0" applyNumberFormat="1" applyFont="1" applyBorder="1" applyAlignment="1">
      <alignment vertical="center"/>
    </xf>
    <xf numFmtId="0" fontId="392" fillId="0" borderId="308" xfId="0" applyNumberFormat="1" applyFont="1" applyBorder="1" applyAlignment="1">
      <alignment horizontal="center" vertical="center"/>
    </xf>
    <xf numFmtId="176" fontId="392" fillId="0" borderId="309" xfId="0" applyNumberFormat="1" applyFont="1" applyBorder="1" applyAlignment="1">
      <alignment horizontal="left" vertical="center" indent="1"/>
    </xf>
    <xf numFmtId="176" fontId="392" fillId="0" borderId="331" xfId="0" applyNumberFormat="1" applyFont="1" applyBorder="1" applyAlignment="1">
      <alignment vertical="center"/>
    </xf>
    <xf numFmtId="176" fontId="392" fillId="0" borderId="310" xfId="0" applyNumberFormat="1" applyFont="1" applyBorder="1" applyAlignment="1">
      <alignment vertical="center"/>
    </xf>
    <xf numFmtId="176" fontId="392" fillId="0" borderId="315" xfId="0" applyNumberFormat="1" applyFont="1" applyBorder="1" applyAlignment="1">
      <alignment vertical="center"/>
    </xf>
    <xf numFmtId="176" fontId="390" fillId="0" borderId="311" xfId="0" applyNumberFormat="1" applyFont="1" applyBorder="1" applyAlignment="1">
      <alignment horizontal="center" vertical="center"/>
    </xf>
    <xf numFmtId="176" fontId="390" fillId="0" borderId="312" xfId="0" applyNumberFormat="1" applyFont="1" applyBorder="1" applyAlignment="1">
      <alignment vertical="center"/>
    </xf>
    <xf numFmtId="176" fontId="390" fillId="0" borderId="313" xfId="0" applyNumberFormat="1" applyFont="1" applyBorder="1" applyAlignment="1">
      <alignment vertical="center"/>
    </xf>
    <xf numFmtId="176" fontId="390" fillId="0" borderId="307" xfId="0" applyNumberFormat="1" applyFont="1" applyBorder="1" applyAlignment="1">
      <alignment vertical="center"/>
    </xf>
    <xf numFmtId="176" fontId="390" fillId="0" borderId="49" xfId="0" applyNumberFormat="1" applyFont="1" applyBorder="1" applyAlignment="1">
      <alignment horizontal="left" vertical="center" indent="1"/>
    </xf>
    <xf numFmtId="176" fontId="390" fillId="0" borderId="49" xfId="0" applyNumberFormat="1" applyFont="1" applyBorder="1" applyAlignment="1">
      <alignment vertical="center"/>
    </xf>
    <xf numFmtId="176" fontId="389" fillId="5" borderId="13" xfId="0" applyNumberFormat="1" applyFont="1" applyFill="1" applyBorder="1" applyAlignment="1">
      <alignment horizontal="center" vertical="center" wrapText="1"/>
    </xf>
    <xf numFmtId="176" fontId="389" fillId="5" borderId="14" xfId="0" applyNumberFormat="1" applyFont="1" applyFill="1" applyBorder="1" applyAlignment="1">
      <alignment horizontal="center" vertical="center" wrapText="1"/>
    </xf>
    <xf numFmtId="176" fontId="389" fillId="5" borderId="296" xfId="0" applyNumberFormat="1" applyFont="1" applyFill="1" applyBorder="1" applyAlignment="1">
      <alignment horizontal="center" vertical="center" wrapText="1"/>
    </xf>
    <xf numFmtId="176" fontId="389" fillId="5" borderId="299" xfId="0" applyNumberFormat="1" applyFont="1" applyFill="1" applyBorder="1" applyAlignment="1">
      <alignment horizontal="center" vertical="center" wrapText="1"/>
    </xf>
    <xf numFmtId="176" fontId="389" fillId="5" borderId="357" xfId="0" applyNumberFormat="1" applyFont="1" applyFill="1" applyBorder="1" applyAlignment="1">
      <alignment horizontal="center" vertical="center" wrapText="1"/>
    </xf>
    <xf numFmtId="176" fontId="389" fillId="5" borderId="358" xfId="0" applyNumberFormat="1" applyFont="1" applyFill="1" applyBorder="1" applyAlignment="1">
      <alignment horizontal="center" vertical="center" wrapText="1"/>
    </xf>
    <xf numFmtId="176" fontId="389" fillId="5" borderId="383" xfId="0" applyNumberFormat="1" applyFont="1" applyFill="1" applyBorder="1" applyAlignment="1">
      <alignment horizontal="center" vertical="center" wrapText="1"/>
    </xf>
    <xf numFmtId="176" fontId="389" fillId="5" borderId="386" xfId="0" applyNumberFormat="1" applyFont="1" applyFill="1" applyBorder="1" applyAlignment="1">
      <alignment horizontal="center" vertical="center" wrapText="1"/>
    </xf>
    <xf numFmtId="176" fontId="389" fillId="5" borderId="363" xfId="0" applyNumberFormat="1" applyFont="1" applyFill="1" applyBorder="1" applyAlignment="1">
      <alignment horizontal="center" vertical="center" wrapText="1"/>
    </xf>
    <xf numFmtId="176" fontId="389" fillId="5" borderId="228" xfId="0" applyNumberFormat="1" applyFont="1" applyFill="1" applyBorder="1" applyAlignment="1">
      <alignment horizontal="center" vertical="center" wrapText="1"/>
    </xf>
    <xf numFmtId="176" fontId="389" fillId="5" borderId="236" xfId="0" applyNumberFormat="1" applyFont="1" applyFill="1" applyBorder="1" applyAlignment="1">
      <alignment horizontal="center" vertical="center" wrapText="1"/>
    </xf>
    <xf numFmtId="176" fontId="389" fillId="29" borderId="73" xfId="0" applyNumberFormat="1" applyFont="1" applyFill="1" applyBorder="1" applyAlignment="1">
      <alignment horizontal="center" vertical="center" wrapText="1"/>
    </xf>
    <xf numFmtId="176" fontId="392" fillId="0" borderId="16" xfId="0" applyNumberFormat="1" applyFont="1" applyBorder="1" applyAlignment="1">
      <alignment horizontal="center" vertical="center"/>
    </xf>
    <xf numFmtId="176" fontId="392" fillId="0" borderId="1" xfId="0" applyNumberFormat="1" applyFont="1" applyBorder="1" applyAlignment="1">
      <alignment horizontal="left" vertical="center"/>
    </xf>
    <xf numFmtId="176" fontId="392" fillId="0" borderId="1" xfId="0" applyNumberFormat="1" applyFont="1" applyBorder="1" applyAlignment="1">
      <alignment vertical="center"/>
    </xf>
    <xf numFmtId="176" fontId="392" fillId="0" borderId="297" xfId="0" applyNumberFormat="1" applyFont="1" applyBorder="1" applyAlignment="1">
      <alignment vertical="center"/>
    </xf>
    <xf numFmtId="176" fontId="392" fillId="0" borderId="300" xfId="0" applyNumberFormat="1" applyFont="1" applyBorder="1" applyAlignment="1">
      <alignment vertical="center"/>
    </xf>
    <xf numFmtId="176" fontId="392" fillId="0" borderId="359" xfId="0" applyNumberFormat="1" applyFont="1" applyBorder="1" applyAlignment="1">
      <alignment vertical="center"/>
    </xf>
    <xf numFmtId="176" fontId="392" fillId="0" borderId="360" xfId="0" applyNumberFormat="1" applyFont="1" applyBorder="1" applyAlignment="1">
      <alignment vertical="center"/>
    </xf>
    <xf numFmtId="176" fontId="392" fillId="0" borderId="384" xfId="0" applyNumberFormat="1" applyFont="1" applyBorder="1" applyAlignment="1">
      <alignment vertical="center"/>
    </xf>
    <xf numFmtId="176" fontId="392" fillId="0" borderId="387" xfId="0" applyNumberFormat="1" applyFont="1" applyBorder="1" applyAlignment="1">
      <alignment vertical="center"/>
    </xf>
    <xf numFmtId="176" fontId="392" fillId="0" borderId="364" xfId="0" applyNumberFormat="1" applyFont="1" applyBorder="1" applyAlignment="1">
      <alignment vertical="center"/>
    </xf>
    <xf numFmtId="176" fontId="392" fillId="0" borderId="121" xfId="0" applyNumberFormat="1" applyFont="1" applyBorder="1" applyAlignment="1">
      <alignment vertical="center"/>
    </xf>
    <xf numFmtId="176" fontId="392" fillId="0" borderId="232" xfId="0" applyNumberFormat="1" applyFont="1" applyBorder="1" applyAlignment="1">
      <alignment vertical="center"/>
    </xf>
    <xf numFmtId="176" fontId="392" fillId="0" borderId="230" xfId="0" applyNumberFormat="1" applyFont="1" applyBorder="1" applyAlignment="1">
      <alignment vertical="center"/>
    </xf>
    <xf numFmtId="176" fontId="392" fillId="0" borderId="18" xfId="0" applyNumberFormat="1" applyFont="1" applyBorder="1" applyAlignment="1">
      <alignment horizontal="center" vertical="center"/>
    </xf>
    <xf numFmtId="176" fontId="392" fillId="0" borderId="19" xfId="0" applyNumberFormat="1" applyFont="1" applyBorder="1" applyAlignment="1">
      <alignment vertical="center"/>
    </xf>
    <xf numFmtId="176" fontId="392" fillId="0" borderId="298" xfId="0" applyNumberFormat="1" applyFont="1" applyBorder="1" applyAlignment="1">
      <alignment vertical="center"/>
    </xf>
    <xf numFmtId="176" fontId="392" fillId="0" borderId="301" xfId="0" applyNumberFormat="1" applyFont="1" applyBorder="1" applyAlignment="1">
      <alignment vertical="center"/>
    </xf>
    <xf numFmtId="176" fontId="392" fillId="0" borderId="361" xfId="0" applyNumberFormat="1" applyFont="1" applyBorder="1" applyAlignment="1">
      <alignment vertical="center"/>
    </xf>
    <xf numFmtId="176" fontId="392" fillId="0" borderId="362" xfId="0" applyNumberFormat="1" applyFont="1" applyBorder="1" applyAlignment="1">
      <alignment vertical="center"/>
    </xf>
    <xf numFmtId="176" fontId="392" fillId="0" borderId="385" xfId="0" applyNumberFormat="1" applyFont="1" applyBorder="1" applyAlignment="1">
      <alignment vertical="center"/>
    </xf>
    <xf numFmtId="176" fontId="392" fillId="0" borderId="388" xfId="0" applyNumberFormat="1" applyFont="1" applyBorder="1" applyAlignment="1">
      <alignment vertical="center"/>
    </xf>
    <xf numFmtId="176" fontId="392" fillId="0" borderId="365" xfId="0" applyNumberFormat="1" applyFont="1" applyBorder="1" applyAlignment="1">
      <alignment vertical="center"/>
    </xf>
    <xf numFmtId="176" fontId="392" fillId="0" borderId="120" xfId="0" applyNumberFormat="1" applyFont="1" applyBorder="1" applyAlignment="1">
      <alignment vertical="center"/>
    </xf>
    <xf numFmtId="176" fontId="392" fillId="0" borderId="229" xfId="0" applyNumberFormat="1" applyFont="1" applyBorder="1" applyAlignment="1">
      <alignment vertical="center"/>
    </xf>
    <xf numFmtId="176" fontId="392" fillId="0" borderId="231" xfId="0" applyNumberFormat="1" applyFont="1" applyBorder="1" applyAlignment="1">
      <alignment vertical="center"/>
    </xf>
    <xf numFmtId="176" fontId="391" fillId="0" borderId="0" xfId="0" applyNumberFormat="1" applyFont="1" applyAlignment="1">
      <alignment horizontal="left" vertical="center" indent="1"/>
    </xf>
    <xf numFmtId="176" fontId="389" fillId="5" borderId="15" xfId="0" applyNumberFormat="1" applyFont="1" applyFill="1" applyBorder="1" applyAlignment="1">
      <alignment horizontal="center" vertical="center" wrapText="1"/>
    </xf>
    <xf numFmtId="176" fontId="390" fillId="2" borderId="245" xfId="0" applyNumberFormat="1" applyFont="1" applyFill="1" applyBorder="1" applyAlignment="1">
      <alignment vertical="center"/>
    </xf>
    <xf numFmtId="176" fontId="392" fillId="2" borderId="241" xfId="0" applyNumberFormat="1" applyFont="1" applyFill="1" applyBorder="1" applyAlignment="1">
      <alignment vertical="center"/>
    </xf>
    <xf numFmtId="176" fontId="392" fillId="2" borderId="246" xfId="0" applyNumberFormat="1" applyFont="1" applyFill="1" applyBorder="1" applyAlignment="1">
      <alignment vertical="center"/>
    </xf>
    <xf numFmtId="176" fontId="392" fillId="2" borderId="245" xfId="0" applyNumberFormat="1" applyFont="1" applyFill="1" applyBorder="1" applyAlignment="1">
      <alignment vertical="center"/>
    </xf>
    <xf numFmtId="176" fontId="392" fillId="2" borderId="247" xfId="0" applyNumberFormat="1" applyFont="1" applyFill="1" applyBorder="1" applyAlignment="1">
      <alignment vertical="center"/>
    </xf>
    <xf numFmtId="176" fontId="392" fillId="2" borderId="318" xfId="0" applyNumberFormat="1" applyFont="1" applyFill="1" applyBorder="1" applyAlignment="1">
      <alignment vertical="center"/>
    </xf>
    <xf numFmtId="176" fontId="392" fillId="0" borderId="0" xfId="0" applyNumberFormat="1" applyFont="1" applyFill="1" applyAlignment="1">
      <alignment horizontal="left" vertical="center" indent="1"/>
    </xf>
    <xf numFmtId="176" fontId="392" fillId="2" borderId="16" xfId="0" applyNumberFormat="1" applyFont="1" applyFill="1" applyBorder="1" applyAlignment="1">
      <alignment vertical="center"/>
    </xf>
    <xf numFmtId="176" fontId="392" fillId="2" borderId="1" xfId="0" applyNumberFormat="1" applyFont="1" applyFill="1" applyBorder="1" applyAlignment="1">
      <alignment vertical="center"/>
    </xf>
    <xf numFmtId="176" fontId="392" fillId="2" borderId="17" xfId="0" applyNumberFormat="1" applyFont="1" applyFill="1" applyBorder="1" applyAlignment="1">
      <alignment vertical="center"/>
    </xf>
    <xf numFmtId="176" fontId="392" fillId="0" borderId="245" xfId="0" applyNumberFormat="1" applyFont="1" applyFill="1" applyBorder="1" applyAlignment="1">
      <alignment horizontal="center" vertical="center"/>
    </xf>
    <xf numFmtId="176" fontId="392" fillId="0" borderId="241" xfId="0" applyNumberFormat="1" applyFont="1" applyFill="1" applyBorder="1" applyAlignment="1">
      <alignment horizontal="left" vertical="center" indent="1"/>
    </xf>
    <xf numFmtId="176" fontId="392" fillId="0" borderId="241" xfId="0" applyNumberFormat="1" applyFont="1" applyFill="1" applyBorder="1" applyAlignment="1">
      <alignment vertical="center"/>
    </xf>
    <xf numFmtId="176" fontId="392" fillId="0" borderId="246" xfId="0" applyNumberFormat="1" applyFont="1" applyFill="1" applyBorder="1" applyAlignment="1">
      <alignment vertical="center"/>
    </xf>
    <xf numFmtId="176" fontId="392" fillId="0" borderId="245" xfId="0" applyNumberFormat="1" applyFont="1" applyFill="1" applyBorder="1" applyAlignment="1">
      <alignment vertical="center"/>
    </xf>
    <xf numFmtId="176" fontId="392" fillId="0" borderId="247" xfId="0" applyNumberFormat="1" applyFont="1" applyFill="1" applyBorder="1" applyAlignment="1">
      <alignment vertical="center"/>
    </xf>
    <xf numFmtId="176" fontId="392" fillId="0" borderId="318" xfId="0" applyNumberFormat="1" applyFont="1" applyFill="1" applyBorder="1" applyAlignment="1">
      <alignment vertical="center"/>
    </xf>
    <xf numFmtId="176" fontId="392" fillId="0" borderId="16" xfId="0" applyNumberFormat="1" applyFont="1" applyFill="1" applyBorder="1" applyAlignment="1">
      <alignment horizontal="center" vertical="center"/>
    </xf>
    <xf numFmtId="176" fontId="392" fillId="0" borderId="1" xfId="0" applyNumberFormat="1" applyFont="1" applyFill="1" applyBorder="1" applyAlignment="1">
      <alignment horizontal="left" vertical="center" indent="1"/>
    </xf>
    <xf numFmtId="176" fontId="392" fillId="0" borderId="1" xfId="0" applyNumberFormat="1" applyFont="1" applyFill="1" applyBorder="1" applyAlignment="1">
      <alignment vertical="center"/>
    </xf>
    <xf numFmtId="176" fontId="392" fillId="0" borderId="17" xfId="0" applyNumberFormat="1" applyFont="1" applyFill="1" applyBorder="1" applyAlignment="1">
      <alignment vertical="center"/>
    </xf>
    <xf numFmtId="176" fontId="392" fillId="0" borderId="245" xfId="0" applyNumberFormat="1" applyFont="1" applyBorder="1" applyAlignment="1">
      <alignment horizontal="center" vertical="center"/>
    </xf>
    <xf numFmtId="176" fontId="392" fillId="0" borderId="245" xfId="0" quotePrefix="1" applyNumberFormat="1" applyFont="1" applyBorder="1" applyAlignment="1">
      <alignment horizontal="center" vertical="center"/>
    </xf>
    <xf numFmtId="176" fontId="392" fillId="2" borderId="241" xfId="0" applyNumberFormat="1" applyFont="1" applyFill="1" applyBorder="1" applyAlignment="1">
      <alignment horizontal="left" vertical="center" indent="1"/>
    </xf>
    <xf numFmtId="176" fontId="392" fillId="2" borderId="16" xfId="0" applyNumberFormat="1" applyFont="1" applyFill="1" applyBorder="1" applyAlignment="1">
      <alignment horizontal="center" vertical="center"/>
    </xf>
    <xf numFmtId="176" fontId="392" fillId="2" borderId="1" xfId="0" applyNumberFormat="1" applyFont="1" applyFill="1" applyBorder="1" applyAlignment="1">
      <alignment horizontal="left" vertical="center" indent="1"/>
    </xf>
    <xf numFmtId="176" fontId="392" fillId="0" borderId="245" xfId="0" quotePrefix="1" applyNumberFormat="1" applyFont="1" applyFill="1" applyBorder="1" applyAlignment="1">
      <alignment horizontal="center" vertical="center"/>
    </xf>
    <xf numFmtId="176" fontId="392" fillId="0" borderId="26" xfId="0" applyNumberFormat="1" applyFont="1" applyFill="1" applyBorder="1" applyAlignment="1">
      <alignment horizontal="center" vertical="center"/>
    </xf>
    <xf numFmtId="176" fontId="392" fillId="0" borderId="27" xfId="0" applyNumberFormat="1" applyFont="1" applyFill="1" applyBorder="1" applyAlignment="1">
      <alignment horizontal="left" vertical="center" indent="1"/>
    </xf>
    <xf numFmtId="176" fontId="392" fillId="0" borderId="27" xfId="0" applyNumberFormat="1" applyFont="1" applyFill="1" applyBorder="1" applyAlignment="1">
      <alignment vertical="center"/>
    </xf>
    <xf numFmtId="176" fontId="392" fillId="0" borderId="28" xfId="0" applyNumberFormat="1" applyFont="1" applyFill="1" applyBorder="1" applyAlignment="1">
      <alignment vertical="center"/>
    </xf>
    <xf numFmtId="176" fontId="392" fillId="28" borderId="0" xfId="0" applyNumberFormat="1" applyFont="1" applyFill="1" applyAlignment="1">
      <alignment vertical="center"/>
    </xf>
    <xf numFmtId="176" fontId="392" fillId="0" borderId="247" xfId="0" applyNumberFormat="1" applyFont="1" applyBorder="1" applyAlignment="1">
      <alignment vertical="center"/>
    </xf>
    <xf numFmtId="176" fontId="392" fillId="0" borderId="318" xfId="0" applyNumberFormat="1" applyFont="1" applyBorder="1" applyAlignment="1">
      <alignment vertical="center"/>
    </xf>
    <xf numFmtId="176" fontId="392" fillId="114" borderId="241" xfId="0" applyNumberFormat="1" applyFont="1" applyFill="1" applyBorder="1" applyAlignment="1">
      <alignment vertical="center"/>
    </xf>
    <xf numFmtId="176" fontId="392" fillId="114" borderId="245" xfId="0" applyNumberFormat="1" applyFont="1" applyFill="1" applyBorder="1" applyAlignment="1">
      <alignment horizontal="center" vertical="center"/>
    </xf>
    <xf numFmtId="176" fontId="392" fillId="114" borderId="241" xfId="0" applyNumberFormat="1" applyFont="1" applyFill="1" applyBorder="1" applyAlignment="1">
      <alignment horizontal="left" vertical="center" indent="1"/>
    </xf>
    <xf numFmtId="176" fontId="392" fillId="114" borderId="246" xfId="0" applyNumberFormat="1" applyFont="1" applyFill="1" applyBorder="1" applyAlignment="1">
      <alignment vertical="center"/>
    </xf>
    <xf numFmtId="176" fontId="392" fillId="114" borderId="245" xfId="0" applyNumberFormat="1" applyFont="1" applyFill="1" applyBorder="1" applyAlignment="1">
      <alignment vertical="center"/>
    </xf>
    <xf numFmtId="176" fontId="392" fillId="114" borderId="247" xfId="0" applyNumberFormat="1" applyFont="1" applyFill="1" applyBorder="1" applyAlignment="1">
      <alignment vertical="center"/>
    </xf>
    <xf numFmtId="176" fontId="392" fillId="114" borderId="318" xfId="0" applyNumberFormat="1" applyFont="1" applyFill="1" applyBorder="1" applyAlignment="1">
      <alignment vertical="center"/>
    </xf>
    <xf numFmtId="184" fontId="392" fillId="114" borderId="241" xfId="0" applyNumberFormat="1" applyFont="1" applyFill="1" applyBorder="1" applyAlignment="1">
      <alignment vertical="center"/>
    </xf>
    <xf numFmtId="0" fontId="392" fillId="0" borderId="245" xfId="0" applyFont="1" applyBorder="1" applyAlignment="1">
      <alignment horizontal="center" vertical="center"/>
    </xf>
    <xf numFmtId="0" fontId="392" fillId="114" borderId="245" xfId="0" applyFont="1" applyFill="1" applyBorder="1" applyAlignment="1">
      <alignment horizontal="center" vertical="center"/>
    </xf>
    <xf numFmtId="0" fontId="392" fillId="114" borderId="241" xfId="0" applyFont="1" applyFill="1" applyBorder="1" applyAlignment="1">
      <alignment horizontal="left" vertical="center" indent="1"/>
    </xf>
    <xf numFmtId="176" fontId="392" fillId="114" borderId="16" xfId="0" applyNumberFormat="1" applyFont="1" applyFill="1" applyBorder="1" applyAlignment="1">
      <alignment horizontal="center" vertical="center"/>
    </xf>
    <xf numFmtId="176" fontId="392" fillId="114" borderId="1" xfId="0" applyNumberFormat="1" applyFont="1" applyFill="1" applyBorder="1" applyAlignment="1">
      <alignment horizontal="left" vertical="center" indent="1"/>
    </xf>
    <xf numFmtId="176" fontId="392" fillId="114" borderId="1" xfId="0" applyNumberFormat="1" applyFont="1" applyFill="1" applyBorder="1" applyAlignment="1">
      <alignment vertical="center"/>
    </xf>
    <xf numFmtId="176" fontId="392" fillId="114" borderId="17" xfId="0" applyNumberFormat="1" applyFont="1" applyFill="1" applyBorder="1" applyAlignment="1">
      <alignment vertical="center"/>
    </xf>
    <xf numFmtId="176" fontId="392" fillId="0" borderId="1" xfId="0" applyNumberFormat="1" applyFont="1" applyBorder="1" applyAlignment="1">
      <alignment horizontal="left" vertical="center" indent="1"/>
    </xf>
    <xf numFmtId="176" fontId="392" fillId="0" borderId="17" xfId="0" applyNumberFormat="1" applyFont="1" applyBorder="1" applyAlignment="1">
      <alignment vertical="center"/>
    </xf>
    <xf numFmtId="176" fontId="392" fillId="0" borderId="248" xfId="0" applyNumberFormat="1" applyFont="1" applyBorder="1" applyAlignment="1">
      <alignment horizontal="center" vertical="center"/>
    </xf>
    <xf numFmtId="176" fontId="392" fillId="0" borderId="242" xfId="0" applyNumberFormat="1" applyFont="1" applyBorder="1" applyAlignment="1">
      <alignment horizontal="left" vertical="center" indent="1"/>
    </xf>
    <xf numFmtId="176" fontId="392" fillId="0" borderId="242" xfId="0" applyNumberFormat="1" applyFont="1" applyBorder="1" applyAlignment="1">
      <alignment vertical="center"/>
    </xf>
    <xf numFmtId="176" fontId="392" fillId="0" borderId="249" xfId="0" applyNumberFormat="1" applyFont="1" applyBorder="1" applyAlignment="1">
      <alignment vertical="center"/>
    </xf>
    <xf numFmtId="176" fontId="392" fillId="0" borderId="248" xfId="0" applyNumberFormat="1" applyFont="1" applyBorder="1" applyAlignment="1">
      <alignment vertical="center"/>
    </xf>
    <xf numFmtId="176" fontId="392" fillId="0" borderId="294" xfId="0" applyNumberFormat="1" applyFont="1" applyBorder="1" applyAlignment="1">
      <alignment vertical="center"/>
    </xf>
    <xf numFmtId="176" fontId="392" fillId="0" borderId="322" xfId="0" applyNumberFormat="1" applyFont="1" applyBorder="1" applyAlignment="1">
      <alignment vertical="center"/>
    </xf>
    <xf numFmtId="176" fontId="392" fillId="0" borderId="19" xfId="0" applyNumberFormat="1" applyFont="1" applyBorder="1" applyAlignment="1">
      <alignment horizontal="left" vertical="center" indent="1"/>
    </xf>
    <xf numFmtId="176" fontId="392" fillId="0" borderId="20" xfId="0" applyNumberFormat="1" applyFont="1" applyBorder="1" applyAlignment="1">
      <alignment vertical="center"/>
    </xf>
    <xf numFmtId="176" fontId="396" fillId="0" borderId="0" xfId="0" applyNumberFormat="1" applyFont="1" applyAlignment="1">
      <alignment vertical="center"/>
    </xf>
    <xf numFmtId="176" fontId="389" fillId="0" borderId="0" xfId="0" applyNumberFormat="1" applyFont="1" applyFill="1" applyBorder="1" applyAlignment="1">
      <alignment horizontal="center" vertical="center"/>
    </xf>
    <xf numFmtId="176" fontId="397" fillId="5" borderId="290" xfId="0" applyNumberFormat="1" applyFont="1" applyFill="1" applyBorder="1" applyAlignment="1">
      <alignment horizontal="center" vertical="center"/>
    </xf>
    <xf numFmtId="176" fontId="397" fillId="5" borderId="291" xfId="0" applyNumberFormat="1" applyFont="1" applyFill="1" applyBorder="1" applyAlignment="1">
      <alignment horizontal="center" vertical="center"/>
    </xf>
    <xf numFmtId="176" fontId="397" fillId="5" borderId="240" xfId="0" applyNumberFormat="1" applyFont="1" applyFill="1" applyBorder="1" applyAlignment="1">
      <alignment horizontal="center" vertical="center"/>
    </xf>
    <xf numFmtId="176" fontId="397" fillId="5" borderId="244" xfId="0" applyNumberFormat="1" applyFont="1" applyFill="1" applyBorder="1" applyAlignment="1">
      <alignment horizontal="center" vertical="center"/>
    </xf>
    <xf numFmtId="176" fontId="397" fillId="0" borderId="0" xfId="0" applyNumberFormat="1" applyFont="1" applyAlignment="1">
      <alignment horizontal="center" vertical="center"/>
    </xf>
    <xf numFmtId="176" fontId="397" fillId="5" borderId="0" xfId="0" applyNumberFormat="1" applyFont="1" applyFill="1" applyAlignment="1">
      <alignment horizontal="center" vertical="center"/>
    </xf>
    <xf numFmtId="176" fontId="397" fillId="5" borderId="245" xfId="0" applyNumberFormat="1" applyFont="1" applyFill="1" applyBorder="1" applyAlignment="1">
      <alignment horizontal="center" vertical="center"/>
    </xf>
    <xf numFmtId="176" fontId="397" fillId="5" borderId="241" xfId="0" applyNumberFormat="1" applyFont="1" applyFill="1" applyBorder="1" applyAlignment="1">
      <alignment horizontal="center" vertical="center"/>
    </xf>
    <xf numFmtId="176" fontId="397" fillId="5" borderId="246" xfId="0" applyNumberFormat="1" applyFont="1" applyFill="1" applyBorder="1" applyAlignment="1">
      <alignment horizontal="center" vertical="center"/>
    </xf>
    <xf numFmtId="176" fontId="397" fillId="0" borderId="0" xfId="0" applyNumberFormat="1" applyFont="1" applyFill="1" applyBorder="1" applyAlignment="1">
      <alignment horizontal="center" vertical="center"/>
    </xf>
    <xf numFmtId="176" fontId="397" fillId="29" borderId="245" xfId="0" applyNumberFormat="1" applyFont="1" applyFill="1" applyBorder="1" applyAlignment="1">
      <alignment horizontal="center" vertical="center"/>
    </xf>
    <xf numFmtId="176" fontId="397" fillId="29" borderId="241" xfId="0" applyNumberFormat="1" applyFont="1" applyFill="1" applyBorder="1" applyAlignment="1">
      <alignment horizontal="center" vertical="center"/>
    </xf>
    <xf numFmtId="176" fontId="397" fillId="29" borderId="246" xfId="0" applyNumberFormat="1" applyFont="1" applyFill="1" applyBorder="1" applyAlignment="1">
      <alignment horizontal="center" vertical="center"/>
    </xf>
    <xf numFmtId="176" fontId="392" fillId="0" borderId="241" xfId="0" applyNumberFormat="1" applyFont="1" applyBorder="1" applyAlignment="1">
      <alignment horizontal="center" vertical="center"/>
    </xf>
    <xf numFmtId="176" fontId="392" fillId="0" borderId="0" xfId="0" applyNumberFormat="1" applyFont="1" applyFill="1" applyBorder="1" applyAlignment="1">
      <alignment vertical="center"/>
    </xf>
    <xf numFmtId="176" fontId="392" fillId="0" borderId="246" xfId="0" applyNumberFormat="1" applyFont="1" applyBorder="1" applyAlignment="1">
      <alignment horizontal="center" vertical="center"/>
    </xf>
    <xf numFmtId="176" fontId="392" fillId="0" borderId="0" xfId="0" applyNumberFormat="1" applyFont="1" applyFill="1" applyBorder="1" applyAlignment="1">
      <alignment horizontal="center" vertical="center"/>
    </xf>
    <xf numFmtId="176" fontId="392" fillId="3" borderId="248" xfId="0" applyNumberFormat="1" applyFont="1" applyFill="1" applyBorder="1" applyAlignment="1">
      <alignment horizontal="center" vertical="center"/>
    </xf>
    <xf numFmtId="176" fontId="392" fillId="3" borderId="242" xfId="0" applyNumberFormat="1" applyFont="1" applyFill="1" applyBorder="1" applyAlignment="1">
      <alignment horizontal="left" vertical="center" indent="1"/>
    </xf>
    <xf numFmtId="176" fontId="392" fillId="3" borderId="242" xfId="0" applyNumberFormat="1" applyFont="1" applyFill="1" applyBorder="1" applyAlignment="1">
      <alignment vertical="center"/>
    </xf>
    <xf numFmtId="176" fontId="390" fillId="3" borderId="242" xfId="0" applyNumberFormat="1" applyFont="1" applyFill="1" applyBorder="1" applyAlignment="1">
      <alignment vertical="center"/>
    </xf>
    <xf numFmtId="176" fontId="390" fillId="3" borderId="249" xfId="0" applyNumberFormat="1" applyFont="1" applyFill="1" applyBorder="1" applyAlignment="1">
      <alignment vertical="center"/>
    </xf>
    <xf numFmtId="176" fontId="392" fillId="3" borderId="0" xfId="0" applyNumberFormat="1" applyFont="1" applyFill="1" applyAlignment="1">
      <alignment vertical="center"/>
    </xf>
    <xf numFmtId="176" fontId="390" fillId="3" borderId="248" xfId="0" applyNumberFormat="1" applyFont="1" applyFill="1" applyBorder="1" applyAlignment="1">
      <alignment vertical="center"/>
    </xf>
    <xf numFmtId="176" fontId="390" fillId="0" borderId="0" xfId="0" applyNumberFormat="1" applyFont="1" applyFill="1" applyBorder="1" applyAlignment="1">
      <alignment vertical="center"/>
    </xf>
    <xf numFmtId="41" fontId="397" fillId="0" borderId="0" xfId="1" applyFont="1" applyFill="1" applyBorder="1" applyAlignment="1">
      <alignment horizontal="center" vertical="center"/>
    </xf>
    <xf numFmtId="178" fontId="397" fillId="5" borderId="241" xfId="0" applyNumberFormat="1" applyFont="1" applyFill="1" applyBorder="1" applyAlignment="1">
      <alignment horizontal="center" vertical="center"/>
    </xf>
    <xf numFmtId="178" fontId="397" fillId="5" borderId="0" xfId="0" applyNumberFormat="1" applyFont="1" applyFill="1" applyAlignment="1">
      <alignment horizontal="center" vertical="center"/>
    </xf>
    <xf numFmtId="178" fontId="397" fillId="29" borderId="241" xfId="0" applyNumberFormat="1" applyFont="1" applyFill="1" applyBorder="1" applyAlignment="1">
      <alignment horizontal="center" vertical="center"/>
    </xf>
    <xf numFmtId="41" fontId="392" fillId="0" borderId="0" xfId="1" applyFont="1" applyFill="1" applyBorder="1" applyAlignment="1">
      <alignment horizontal="center" vertical="center"/>
    </xf>
    <xf numFmtId="176" fontId="390" fillId="3" borderId="248" xfId="0" applyNumberFormat="1" applyFont="1" applyFill="1" applyBorder="1" applyAlignment="1">
      <alignment horizontal="center" vertical="center"/>
    </xf>
    <xf numFmtId="176" fontId="390" fillId="3" borderId="242" xfId="0" applyNumberFormat="1" applyFont="1" applyFill="1" applyBorder="1" applyAlignment="1">
      <alignment horizontal="left" vertical="center" indent="1"/>
    </xf>
    <xf numFmtId="176" fontId="390" fillId="3" borderId="242" xfId="0" applyNumberFormat="1" applyFont="1" applyFill="1" applyBorder="1" applyAlignment="1">
      <alignment horizontal="center" vertical="center"/>
    </xf>
    <xf numFmtId="178" fontId="390" fillId="0" borderId="0" xfId="0" applyNumberFormat="1" applyFont="1" applyAlignment="1">
      <alignment vertical="center"/>
    </xf>
    <xf numFmtId="178" fontId="391" fillId="114" borderId="0" xfId="0" applyNumberFormat="1" applyFont="1" applyFill="1" applyAlignment="1">
      <alignment vertical="center"/>
    </xf>
    <xf numFmtId="178" fontId="391" fillId="0" borderId="0" xfId="0" applyNumberFormat="1" applyFont="1" applyAlignment="1">
      <alignment vertical="center"/>
    </xf>
    <xf numFmtId="176" fontId="391" fillId="0" borderId="0" xfId="0" applyNumberFormat="1" applyFont="1" applyFill="1" applyAlignment="1">
      <alignment vertical="center"/>
    </xf>
    <xf numFmtId="178" fontId="390" fillId="114" borderId="0" xfId="0" applyNumberFormat="1" applyFont="1" applyFill="1" applyAlignment="1">
      <alignment vertical="center"/>
    </xf>
    <xf numFmtId="176" fontId="392" fillId="3" borderId="0" xfId="0" applyNumberFormat="1" applyFont="1" applyFill="1" applyAlignment="1">
      <alignment horizontal="left" vertical="center"/>
    </xf>
    <xf numFmtId="176" fontId="392" fillId="3" borderId="0" xfId="0" applyNumberFormat="1" applyFont="1" applyFill="1" applyAlignment="1">
      <alignment horizontal="right" vertical="center"/>
    </xf>
    <xf numFmtId="177" fontId="392" fillId="0" borderId="0" xfId="1" applyNumberFormat="1" applyFont="1" applyBorder="1" applyAlignment="1">
      <alignment vertical="center"/>
    </xf>
    <xf numFmtId="177" fontId="392" fillId="28" borderId="0" xfId="1" applyNumberFormat="1" applyFont="1" applyFill="1" applyBorder="1" applyAlignment="1">
      <alignment vertical="center"/>
    </xf>
    <xf numFmtId="176" fontId="392" fillId="27" borderId="0" xfId="0" applyNumberFormat="1" applyFont="1" applyFill="1" applyAlignment="1">
      <alignment horizontal="left" vertical="center"/>
    </xf>
    <xf numFmtId="176" fontId="392" fillId="27" borderId="0" xfId="0" applyNumberFormat="1" applyFont="1" applyFill="1" applyAlignment="1">
      <alignment horizontal="right" vertical="center"/>
    </xf>
    <xf numFmtId="176" fontId="392" fillId="114" borderId="0" xfId="0" applyNumberFormat="1" applyFont="1" applyFill="1" applyAlignment="1">
      <alignment horizontal="center" vertical="center"/>
    </xf>
    <xf numFmtId="177" fontId="392" fillId="114" borderId="0" xfId="1" applyNumberFormat="1" applyFont="1" applyFill="1" applyBorder="1" applyAlignment="1">
      <alignment vertical="center"/>
    </xf>
    <xf numFmtId="176" fontId="392" fillId="27" borderId="0" xfId="0" applyNumberFormat="1" applyFont="1" applyFill="1" applyAlignment="1">
      <alignment horizontal="left" vertical="center" indent="1"/>
    </xf>
    <xf numFmtId="176" fontId="392" fillId="114" borderId="0" xfId="0" applyNumberFormat="1" applyFont="1" applyFill="1" applyAlignment="1">
      <alignment horizontal="right" vertical="center"/>
    </xf>
    <xf numFmtId="176" fontId="392" fillId="9" borderId="0" xfId="0" applyNumberFormat="1" applyFont="1" applyFill="1" applyAlignment="1">
      <alignment horizontal="center" vertical="center"/>
    </xf>
    <xf numFmtId="177" fontId="392" fillId="9" borderId="0" xfId="1" applyNumberFormat="1" applyFont="1" applyFill="1" applyBorder="1" applyAlignment="1">
      <alignment vertical="center"/>
    </xf>
    <xf numFmtId="177" fontId="392" fillId="0" borderId="0" xfId="1" applyNumberFormat="1" applyFont="1" applyAlignment="1">
      <alignment vertical="center"/>
    </xf>
    <xf numFmtId="177" fontId="392" fillId="28" borderId="0" xfId="1" applyNumberFormat="1" applyFont="1" applyFill="1" applyAlignment="1">
      <alignment vertical="center"/>
    </xf>
    <xf numFmtId="177" fontId="392" fillId="114" borderId="0" xfId="1" applyNumberFormat="1" applyFont="1" applyFill="1" applyAlignment="1">
      <alignment vertical="center"/>
    </xf>
    <xf numFmtId="177" fontId="392" fillId="9" borderId="0" xfId="1" applyNumberFormat="1" applyFont="1" applyFill="1" applyAlignment="1">
      <alignment vertical="center"/>
    </xf>
    <xf numFmtId="176" fontId="392" fillId="27" borderId="0" xfId="0" applyNumberFormat="1" applyFont="1" applyFill="1" applyAlignment="1">
      <alignment vertical="center"/>
    </xf>
    <xf numFmtId="176" fontId="392" fillId="3" borderId="78" xfId="0" applyNumberFormat="1" applyFont="1" applyFill="1" applyBorder="1" applyAlignment="1">
      <alignment horizontal="left" vertical="center"/>
    </xf>
    <xf numFmtId="176" fontId="391" fillId="3" borderId="78" xfId="0" applyNumberFormat="1" applyFont="1" applyFill="1" applyBorder="1" applyAlignment="1">
      <alignment horizontal="center" vertical="center"/>
    </xf>
    <xf numFmtId="176" fontId="391" fillId="3" borderId="0" xfId="0" applyNumberFormat="1" applyFont="1" applyFill="1" applyAlignment="1">
      <alignment horizontal="center" vertical="center"/>
    </xf>
    <xf numFmtId="176" fontId="392" fillId="3" borderId="0" xfId="0" applyNumberFormat="1" applyFont="1" applyFill="1" applyAlignment="1">
      <alignment horizontal="left" vertical="center" indent="1"/>
    </xf>
    <xf numFmtId="176" fontId="391" fillId="114" borderId="0" xfId="0" applyNumberFormat="1" applyFont="1" applyFill="1" applyAlignment="1">
      <alignment horizontal="center" vertical="center"/>
    </xf>
    <xf numFmtId="176" fontId="392" fillId="3" borderId="78" xfId="0" applyNumberFormat="1" applyFont="1" applyFill="1" applyBorder="1" applyAlignment="1">
      <alignment horizontal="left" vertical="center" indent="1"/>
    </xf>
    <xf numFmtId="0" fontId="398" fillId="25" borderId="113" xfId="0" applyFont="1" applyFill="1" applyBorder="1" applyAlignment="1">
      <alignment horizontal="center" vertical="top" wrapText="1"/>
    </xf>
    <xf numFmtId="0" fontId="398" fillId="25" borderId="114" xfId="0" applyFont="1" applyFill="1" applyBorder="1" applyAlignment="1">
      <alignment horizontal="center" vertical="top" wrapText="1"/>
    </xf>
    <xf numFmtId="0" fontId="399" fillId="25" borderId="107" xfId="0" applyFont="1" applyFill="1" applyBorder="1" applyAlignment="1">
      <alignment vertical="top" wrapText="1"/>
    </xf>
    <xf numFmtId="3" fontId="399" fillId="25" borderId="114" xfId="0" applyNumberFormat="1" applyFont="1" applyFill="1" applyBorder="1" applyAlignment="1">
      <alignment horizontal="right" vertical="top" wrapText="1"/>
    </xf>
    <xf numFmtId="3" fontId="399" fillId="25" borderId="113" xfId="0" applyNumberFormat="1" applyFont="1" applyFill="1" applyBorder="1" applyAlignment="1">
      <alignment horizontal="right" vertical="top" wrapText="1"/>
    </xf>
    <xf numFmtId="0" fontId="399" fillId="25" borderId="114" xfId="0" applyFont="1" applyFill="1" applyBorder="1" applyAlignment="1">
      <alignment horizontal="right" vertical="top" wrapText="1"/>
    </xf>
    <xf numFmtId="0" fontId="399" fillId="25" borderId="113" xfId="0" applyFont="1" applyFill="1" applyBorder="1" applyAlignment="1">
      <alignment horizontal="right" vertical="top" wrapText="1"/>
    </xf>
    <xf numFmtId="0" fontId="399" fillId="25" borderId="107" xfId="0" applyFont="1" applyFill="1" applyBorder="1" applyAlignment="1">
      <alignment vertical="center" wrapText="1"/>
    </xf>
    <xf numFmtId="3" fontId="399" fillId="26" borderId="114" xfId="0" applyNumberFormat="1" applyFont="1" applyFill="1" applyBorder="1" applyAlignment="1">
      <alignment horizontal="right" vertical="top" wrapText="1"/>
    </xf>
    <xf numFmtId="0" fontId="399" fillId="26" borderId="114" xfId="0" applyFont="1" applyFill="1" applyBorder="1" applyAlignment="1">
      <alignment horizontal="right" vertical="top" wrapText="1"/>
    </xf>
    <xf numFmtId="0" fontId="399" fillId="25" borderId="115" xfId="0" applyFont="1" applyFill="1" applyBorder="1" applyAlignment="1">
      <alignment horizontal="center" vertical="center" wrapText="1"/>
    </xf>
    <xf numFmtId="3" fontId="399" fillId="25" borderId="116" xfId="0" applyNumberFormat="1" applyFont="1" applyFill="1" applyBorder="1" applyAlignment="1">
      <alignment horizontal="right" vertical="top" wrapText="1"/>
    </xf>
    <xf numFmtId="3" fontId="399" fillId="25" borderId="117" xfId="0" applyNumberFormat="1" applyFont="1" applyFill="1" applyBorder="1" applyAlignment="1">
      <alignment horizontal="right" vertical="top" wrapText="1"/>
    </xf>
    <xf numFmtId="0" fontId="392" fillId="0" borderId="0" xfId="0" applyFont="1" applyAlignment="1">
      <alignment vertical="center"/>
    </xf>
    <xf numFmtId="0" fontId="400" fillId="0" borderId="0" xfId="0" applyFont="1" applyAlignment="1">
      <alignment vertical="center"/>
    </xf>
    <xf numFmtId="0" fontId="390" fillId="0" borderId="0" xfId="0" applyFont="1" applyAlignment="1">
      <alignment vertical="center"/>
    </xf>
    <xf numFmtId="14" fontId="389" fillId="5" borderId="281" xfId="0" applyNumberFormat="1" applyFont="1" applyFill="1" applyBorder="1" applyAlignment="1">
      <alignment horizontal="center" vertical="center"/>
    </xf>
    <xf numFmtId="14" fontId="389" fillId="5" borderId="285" xfId="0" applyNumberFormat="1" applyFont="1" applyFill="1" applyBorder="1" applyAlignment="1">
      <alignment horizontal="center" vertical="center"/>
    </xf>
    <xf numFmtId="14" fontId="389" fillId="5" borderId="6" xfId="0" applyNumberFormat="1" applyFont="1" applyFill="1" applyBorder="1" applyAlignment="1">
      <alignment horizontal="center" vertical="center"/>
    </xf>
    <xf numFmtId="14" fontId="389" fillId="5" borderId="420" xfId="0" applyNumberFormat="1" applyFont="1" applyFill="1" applyBorder="1" applyAlignment="1">
      <alignment horizontal="center" vertical="center"/>
    </xf>
    <xf numFmtId="14" fontId="389" fillId="29" borderId="7" xfId="0" applyNumberFormat="1" applyFont="1" applyFill="1" applyBorder="1" applyAlignment="1">
      <alignment horizontal="center" vertical="center"/>
    </xf>
    <xf numFmtId="0" fontId="390" fillId="0" borderId="0" xfId="0" applyFont="1" applyAlignment="1">
      <alignment horizontal="center" vertical="center"/>
    </xf>
    <xf numFmtId="14" fontId="389" fillId="5" borderId="282" xfId="0" applyNumberFormat="1" applyFont="1" applyFill="1" applyBorder="1" applyAlignment="1">
      <alignment horizontal="center" vertical="center"/>
    </xf>
    <xf numFmtId="0" fontId="389" fillId="5" borderId="286" xfId="0" applyFont="1" applyFill="1" applyBorder="1" applyAlignment="1">
      <alignment vertical="center"/>
    </xf>
    <xf numFmtId="14" fontId="389" fillId="5" borderId="123" xfId="0" applyNumberFormat="1" applyFont="1" applyFill="1" applyBorder="1" applyAlignment="1">
      <alignment horizontal="center" vertical="center"/>
    </xf>
    <xf numFmtId="41" fontId="389" fillId="5" borderId="123" xfId="1" applyFont="1" applyFill="1" applyBorder="1" applyAlignment="1">
      <alignment vertical="center"/>
    </xf>
    <xf numFmtId="41" fontId="389" fillId="5" borderId="123" xfId="0" applyNumberFormat="1" applyFont="1" applyFill="1" applyBorder="1" applyAlignment="1">
      <alignment vertical="center"/>
    </xf>
    <xf numFmtId="41" fontId="389" fillId="5" borderId="368" xfId="1" applyFont="1" applyFill="1" applyBorder="1" applyAlignment="1">
      <alignment vertical="center"/>
    </xf>
    <xf numFmtId="184" fontId="389" fillId="29" borderId="124" xfId="0" applyNumberFormat="1" applyFont="1" applyFill="1" applyBorder="1" applyAlignment="1">
      <alignment vertical="center"/>
    </xf>
    <xf numFmtId="184" fontId="389" fillId="5" borderId="123" xfId="1" applyNumberFormat="1" applyFont="1" applyFill="1" applyBorder="1" applyAlignment="1">
      <alignment vertical="center"/>
    </xf>
    <xf numFmtId="184" fontId="389" fillId="5" borderId="123" xfId="0" applyNumberFormat="1" applyFont="1" applyFill="1" applyBorder="1" applyAlignment="1">
      <alignment vertical="center"/>
    </xf>
    <xf numFmtId="184" fontId="389" fillId="5" borderId="368" xfId="1" applyNumberFormat="1" applyFont="1" applyFill="1" applyBorder="1" applyAlignment="1">
      <alignment vertical="center"/>
    </xf>
    <xf numFmtId="0" fontId="389" fillId="5" borderId="287" xfId="0" applyFont="1" applyFill="1" applyBorder="1" applyAlignment="1">
      <alignment vertical="center"/>
    </xf>
    <xf numFmtId="14" fontId="389" fillId="5" borderId="123" xfId="0" applyNumberFormat="1" applyFont="1" applyFill="1" applyBorder="1" applyAlignment="1">
      <alignment vertical="center"/>
    </xf>
    <xf numFmtId="14" fontId="389" fillId="5" borderId="368" xfId="0" applyNumberFormat="1" applyFont="1" applyFill="1" applyBorder="1" applyAlignment="1">
      <alignment vertical="center"/>
    </xf>
    <xf numFmtId="0" fontId="392" fillId="8" borderId="283" xfId="0" applyFont="1" applyFill="1" applyBorder="1" applyAlignment="1">
      <alignment horizontal="center" vertical="center"/>
    </xf>
    <xf numFmtId="0" fontId="392" fillId="0" borderId="288" xfId="0" applyFont="1" applyBorder="1" applyAlignment="1">
      <alignment vertical="center"/>
    </xf>
    <xf numFmtId="176" fontId="392" fillId="0" borderId="4" xfId="0" applyNumberFormat="1" applyFont="1" applyBorder="1" applyAlignment="1">
      <alignment vertical="center"/>
    </xf>
    <xf numFmtId="0" fontId="392" fillId="0" borderId="4" xfId="0" applyFont="1" applyBorder="1" applyAlignment="1">
      <alignment vertical="center"/>
    </xf>
    <xf numFmtId="0" fontId="392" fillId="0" borderId="369" xfId="0" applyFont="1" applyBorder="1" applyAlignment="1">
      <alignment vertical="center"/>
    </xf>
    <xf numFmtId="184" fontId="392" fillId="0" borderId="9" xfId="0" applyNumberFormat="1" applyFont="1" applyBorder="1" applyAlignment="1">
      <alignment vertical="center"/>
    </xf>
    <xf numFmtId="10" fontId="392" fillId="0" borderId="4" xfId="2" applyNumberFormat="1" applyFont="1" applyBorder="1" applyAlignment="1">
      <alignment vertical="center"/>
    </xf>
    <xf numFmtId="176" fontId="392" fillId="0" borderId="369" xfId="0" applyNumberFormat="1" applyFont="1" applyBorder="1" applyAlignment="1">
      <alignment vertical="center"/>
    </xf>
    <xf numFmtId="0" fontId="392" fillId="8" borderId="284" xfId="0" applyFont="1" applyFill="1" applyBorder="1" applyAlignment="1">
      <alignment horizontal="center" vertical="center"/>
    </xf>
    <xf numFmtId="0" fontId="392" fillId="0" borderId="289" xfId="0" applyFont="1" applyBorder="1" applyAlignment="1">
      <alignment vertical="center"/>
    </xf>
    <xf numFmtId="176" fontId="392" fillId="0" borderId="11" xfId="0" applyNumberFormat="1" applyFont="1" applyBorder="1" applyAlignment="1">
      <alignment vertical="center"/>
    </xf>
    <xf numFmtId="176" fontId="392" fillId="0" borderId="370" xfId="0" applyNumberFormat="1" applyFont="1" applyBorder="1" applyAlignment="1">
      <alignment vertical="center"/>
    </xf>
    <xf numFmtId="184" fontId="392" fillId="0" borderId="12" xfId="0" applyNumberFormat="1" applyFont="1" applyBorder="1" applyAlignment="1">
      <alignment vertical="center"/>
    </xf>
    <xf numFmtId="14" fontId="389" fillId="5" borderId="13" xfId="0" applyNumberFormat="1" applyFont="1" applyFill="1" applyBorder="1" applyAlignment="1">
      <alignment horizontal="center" vertical="center"/>
    </xf>
    <xf numFmtId="14" fontId="389" fillId="5" borderId="14" xfId="0" applyNumberFormat="1" applyFont="1" applyFill="1" applyBorder="1" applyAlignment="1">
      <alignment horizontal="center" vertical="center"/>
    </xf>
    <xf numFmtId="14" fontId="389" fillId="5" borderId="71" xfId="0" applyNumberFormat="1" applyFont="1" applyFill="1" applyBorder="1" applyAlignment="1">
      <alignment horizontal="center" vertical="center"/>
    </xf>
    <xf numFmtId="14" fontId="389" fillId="29" borderId="15" xfId="0" applyNumberFormat="1" applyFont="1" applyFill="1" applyBorder="1" applyAlignment="1">
      <alignment horizontal="center" vertical="center"/>
    </xf>
    <xf numFmtId="14" fontId="389" fillId="5" borderId="16" xfId="0" applyNumberFormat="1" applyFont="1" applyFill="1" applyBorder="1" applyAlignment="1">
      <alignment horizontal="center" vertical="center"/>
    </xf>
    <xf numFmtId="177" fontId="389" fillId="5" borderId="1" xfId="1" applyNumberFormat="1" applyFont="1" applyFill="1" applyBorder="1" applyAlignment="1">
      <alignment horizontal="center" vertical="center"/>
    </xf>
    <xf numFmtId="0" fontId="389" fillId="5" borderId="1" xfId="0" applyNumberFormat="1" applyFont="1" applyFill="1" applyBorder="1" applyAlignment="1">
      <alignment horizontal="center" vertical="center"/>
    </xf>
    <xf numFmtId="177" fontId="389" fillId="5" borderId="84" xfId="1" applyNumberFormat="1" applyFont="1" applyFill="1" applyBorder="1" applyAlignment="1">
      <alignment horizontal="center" vertical="center"/>
    </xf>
    <xf numFmtId="347" fontId="389" fillId="29" borderId="17" xfId="0" applyNumberFormat="1" applyFont="1" applyFill="1" applyBorder="1" applyAlignment="1">
      <alignment vertical="center"/>
    </xf>
    <xf numFmtId="0" fontId="392" fillId="0" borderId="16" xfId="0" applyFont="1" applyBorder="1" applyAlignment="1">
      <alignment horizontal="center" vertical="center"/>
    </xf>
    <xf numFmtId="0" fontId="392" fillId="0" borderId="1" xfId="0" applyFont="1" applyBorder="1" applyAlignment="1">
      <alignment vertical="center"/>
    </xf>
    <xf numFmtId="41" fontId="392" fillId="0" borderId="1" xfId="1" applyFont="1" applyBorder="1" applyAlignment="1">
      <alignment vertical="center"/>
    </xf>
    <xf numFmtId="41" fontId="392" fillId="0" borderId="1" xfId="1" applyNumberFormat="1" applyFont="1" applyBorder="1" applyAlignment="1">
      <alignment vertical="center"/>
    </xf>
    <xf numFmtId="41" fontId="392" fillId="0" borderId="84" xfId="1" applyNumberFormat="1" applyFont="1" applyBorder="1" applyAlignment="1">
      <alignment vertical="center"/>
    </xf>
    <xf numFmtId="41" fontId="392" fillId="0" borderId="17" xfId="1" applyNumberFormat="1" applyFont="1" applyBorder="1" applyAlignment="1">
      <alignment vertical="center"/>
    </xf>
    <xf numFmtId="41" fontId="392" fillId="0" borderId="0" xfId="1" applyFont="1" applyAlignment="1">
      <alignment vertical="center"/>
    </xf>
    <xf numFmtId="184" fontId="392" fillId="0" borderId="1" xfId="1" applyNumberFormat="1" applyFont="1" applyBorder="1" applyAlignment="1">
      <alignment vertical="center"/>
    </xf>
    <xf numFmtId="184" fontId="392" fillId="0" borderId="84" xfId="1" applyNumberFormat="1" applyFont="1" applyBorder="1" applyAlignment="1">
      <alignment vertical="center"/>
    </xf>
    <xf numFmtId="184" fontId="392" fillId="0" borderId="17" xfId="1" applyNumberFormat="1" applyFont="1" applyBorder="1" applyAlignment="1">
      <alignment vertical="center"/>
    </xf>
    <xf numFmtId="0" fontId="392" fillId="0" borderId="84" xfId="0" applyFont="1" applyBorder="1" applyAlignment="1">
      <alignment vertical="center"/>
    </xf>
    <xf numFmtId="0" fontId="392" fillId="0" borderId="17" xfId="0" applyFont="1" applyBorder="1" applyAlignment="1">
      <alignment vertical="center"/>
    </xf>
    <xf numFmtId="0" fontId="392" fillId="0" borderId="18" xfId="0" applyFont="1" applyBorder="1" applyAlignment="1">
      <alignment horizontal="center" vertical="center"/>
    </xf>
    <xf numFmtId="0" fontId="392" fillId="0" borderId="19" xfId="0" applyFont="1" applyBorder="1" applyAlignment="1">
      <alignment vertical="center"/>
    </xf>
    <xf numFmtId="41" fontId="392" fillId="0" borderId="19" xfId="1" applyFont="1" applyBorder="1" applyAlignment="1">
      <alignment vertical="center"/>
    </xf>
    <xf numFmtId="0" fontId="392" fillId="0" borderId="85" xfId="0" applyFont="1" applyBorder="1" applyAlignment="1">
      <alignment vertical="center"/>
    </xf>
    <xf numFmtId="0" fontId="392" fillId="0" borderId="20" xfId="0" applyFont="1" applyBorder="1" applyAlignment="1">
      <alignment vertical="center"/>
    </xf>
    <xf numFmtId="14" fontId="389" fillId="7" borderId="24" xfId="0" applyNumberFormat="1" applyFont="1" applyFill="1" applyBorder="1" applyAlignment="1">
      <alignment horizontal="center" vertical="center"/>
    </xf>
    <xf numFmtId="177" fontId="389" fillId="7" borderId="23" xfId="1" applyNumberFormat="1" applyFont="1" applyFill="1" applyBorder="1" applyAlignment="1">
      <alignment horizontal="center" vertical="center"/>
    </xf>
    <xf numFmtId="14" fontId="389" fillId="7" borderId="23" xfId="0" applyNumberFormat="1" applyFont="1" applyFill="1" applyBorder="1" applyAlignment="1">
      <alignment horizontal="center" vertical="center"/>
    </xf>
    <xf numFmtId="14" fontId="389" fillId="7" borderId="371" xfId="0" applyNumberFormat="1" applyFont="1" applyFill="1" applyBorder="1" applyAlignment="1">
      <alignment horizontal="center" vertical="center"/>
    </xf>
    <xf numFmtId="14" fontId="389" fillId="7" borderId="25" xfId="0" applyNumberFormat="1" applyFont="1" applyFill="1" applyBorder="1" applyAlignment="1">
      <alignment horizontal="center" vertical="center"/>
    </xf>
    <xf numFmtId="0" fontId="392" fillId="0" borderId="0" xfId="0" applyFont="1" applyAlignment="1">
      <alignment horizontal="center" vertical="center"/>
    </xf>
    <xf numFmtId="41" fontId="392" fillId="0" borderId="0" xfId="0" applyNumberFormat="1" applyFont="1" applyAlignment="1">
      <alignment vertical="center"/>
    </xf>
    <xf numFmtId="176" fontId="400" fillId="0" borderId="0" xfId="0" applyNumberFormat="1" applyFont="1" applyBorder="1" applyAlignment="1">
      <alignment vertical="center"/>
    </xf>
    <xf numFmtId="176" fontId="391" fillId="0" borderId="0" xfId="0" applyNumberFormat="1" applyFont="1" applyBorder="1" applyAlignment="1">
      <alignment horizontal="center" vertical="center"/>
    </xf>
    <xf numFmtId="176" fontId="391" fillId="0" borderId="0" xfId="0" applyNumberFormat="1" applyFont="1" applyBorder="1" applyAlignment="1">
      <alignment vertical="center"/>
    </xf>
    <xf numFmtId="176" fontId="389" fillId="5" borderId="71" xfId="0" applyNumberFormat="1" applyFont="1" applyFill="1" applyBorder="1" applyAlignment="1">
      <alignment horizontal="center" vertical="center" wrapText="1"/>
    </xf>
    <xf numFmtId="176" fontId="389" fillId="5" borderId="258" xfId="0" applyNumberFormat="1" applyFont="1" applyFill="1" applyBorder="1" applyAlignment="1">
      <alignment horizontal="center" vertical="center" wrapText="1"/>
    </xf>
    <xf numFmtId="176" fontId="389" fillId="5" borderId="237" xfId="0" applyNumberFormat="1" applyFont="1" applyFill="1" applyBorder="1" applyAlignment="1">
      <alignment horizontal="center" vertical="center" wrapText="1"/>
    </xf>
    <xf numFmtId="176" fontId="389" fillId="5" borderId="238" xfId="0" applyNumberFormat="1" applyFont="1" applyFill="1" applyBorder="1" applyAlignment="1">
      <alignment horizontal="center" vertical="center" wrapText="1"/>
    </xf>
    <xf numFmtId="176" fontId="389" fillId="29" borderId="414" xfId="0" applyNumberFormat="1" applyFont="1" applyFill="1" applyBorder="1" applyAlignment="1">
      <alignment horizontal="center" vertical="center" wrapText="1"/>
    </xf>
    <xf numFmtId="176" fontId="390" fillId="2" borderId="16" xfId="0" applyNumberFormat="1" applyFont="1" applyFill="1" applyBorder="1" applyAlignment="1">
      <alignment vertical="center"/>
    </xf>
    <xf numFmtId="176" fontId="392" fillId="2" borderId="84" xfId="0" applyNumberFormat="1" applyFont="1" applyFill="1" applyBorder="1" applyAlignment="1">
      <alignment vertical="center"/>
    </xf>
    <xf numFmtId="176" fontId="392" fillId="2" borderId="233" xfId="0" applyNumberFormat="1" applyFont="1" applyFill="1" applyBorder="1" applyAlignment="1">
      <alignment vertical="center"/>
    </xf>
    <xf numFmtId="176" fontId="392" fillId="2" borderId="121" xfId="0" applyNumberFormat="1" applyFont="1" applyFill="1" applyBorder="1" applyAlignment="1">
      <alignment vertical="center"/>
    </xf>
    <xf numFmtId="176" fontId="392" fillId="2" borderId="232" xfId="0" applyNumberFormat="1" applyFont="1" applyFill="1" applyBorder="1" applyAlignment="1">
      <alignment vertical="center"/>
    </xf>
    <xf numFmtId="176" fontId="392" fillId="2" borderId="415" xfId="0" applyNumberFormat="1" applyFont="1" applyFill="1" applyBorder="1" applyAlignment="1">
      <alignment vertical="center"/>
    </xf>
    <xf numFmtId="176" fontId="392" fillId="0" borderId="47" xfId="0" applyNumberFormat="1" applyFont="1" applyFill="1" applyBorder="1" applyAlignment="1">
      <alignment vertical="center"/>
    </xf>
    <xf numFmtId="176" fontId="392" fillId="16" borderId="1" xfId="0" applyNumberFormat="1" applyFont="1" applyFill="1" applyBorder="1" applyAlignment="1">
      <alignment vertical="center"/>
    </xf>
    <xf numFmtId="176" fontId="392" fillId="0" borderId="84" xfId="0" applyNumberFormat="1" applyFont="1" applyFill="1" applyBorder="1" applyAlignment="1">
      <alignment vertical="center"/>
    </xf>
    <xf numFmtId="176" fontId="392" fillId="0" borderId="16" xfId="0" applyNumberFormat="1" applyFont="1" applyFill="1" applyBorder="1" applyAlignment="1">
      <alignment vertical="center"/>
    </xf>
    <xf numFmtId="176" fontId="392" fillId="114" borderId="233" xfId="0" applyNumberFormat="1" applyFont="1" applyFill="1" applyBorder="1" applyAlignment="1">
      <alignment vertical="center"/>
    </xf>
    <xf numFmtId="176" fontId="392" fillId="114" borderId="121" xfId="0" applyNumberFormat="1" applyFont="1" applyFill="1" applyBorder="1" applyAlignment="1">
      <alignment vertical="center"/>
    </xf>
    <xf numFmtId="176" fontId="392" fillId="114" borderId="232" xfId="0" applyNumberFormat="1" applyFont="1" applyFill="1" applyBorder="1" applyAlignment="1">
      <alignment vertical="center"/>
    </xf>
    <xf numFmtId="176" fontId="392" fillId="114" borderId="415" xfId="0" applyNumberFormat="1" applyFont="1" applyFill="1" applyBorder="1" applyAlignment="1">
      <alignment vertical="center"/>
    </xf>
    <xf numFmtId="176" fontId="392" fillId="0" borderId="276" xfId="0" applyNumberFormat="1" applyFont="1" applyFill="1" applyBorder="1" applyAlignment="1">
      <alignment horizontal="center" vertical="center"/>
    </xf>
    <xf numFmtId="176" fontId="392" fillId="0" borderId="278" xfId="0" applyNumberFormat="1" applyFont="1" applyFill="1" applyBorder="1" applyAlignment="1">
      <alignment horizontal="left" vertical="center" indent="1"/>
    </xf>
    <xf numFmtId="176" fontId="392" fillId="16" borderId="260" xfId="0" applyNumberFormat="1" applyFont="1" applyFill="1" applyBorder="1" applyAlignment="1">
      <alignment vertical="center"/>
    </xf>
    <xf numFmtId="176" fontId="392" fillId="0" borderId="260" xfId="0" applyNumberFormat="1" applyFont="1" applyFill="1" applyBorder="1" applyAlignment="1">
      <alignment vertical="center"/>
    </xf>
    <xf numFmtId="176" fontId="392" fillId="0" borderId="261" xfId="0" applyNumberFormat="1" applyFont="1" applyFill="1" applyBorder="1" applyAlignment="1">
      <alignment vertical="center"/>
    </xf>
    <xf numFmtId="176" fontId="392" fillId="0" borderId="259" xfId="0" applyNumberFormat="1" applyFont="1" applyFill="1" applyBorder="1" applyAlignment="1">
      <alignment vertical="center"/>
    </xf>
    <xf numFmtId="176" fontId="392" fillId="114" borderId="264" xfId="0" applyNumberFormat="1" applyFont="1" applyFill="1" applyBorder="1" applyAlignment="1">
      <alignment vertical="center"/>
    </xf>
    <xf numFmtId="176" fontId="392" fillId="114" borderId="262" xfId="0" applyNumberFormat="1" applyFont="1" applyFill="1" applyBorder="1" applyAlignment="1">
      <alignment vertical="center"/>
    </xf>
    <xf numFmtId="176" fontId="392" fillId="114" borderId="263" xfId="0" applyNumberFormat="1" applyFont="1" applyFill="1" applyBorder="1" applyAlignment="1">
      <alignment vertical="center"/>
    </xf>
    <xf numFmtId="176" fontId="392" fillId="114" borderId="416" xfId="0" applyNumberFormat="1" applyFont="1" applyFill="1" applyBorder="1" applyAlignment="1">
      <alignment vertical="center"/>
    </xf>
    <xf numFmtId="176" fontId="392" fillId="0" borderId="269" xfId="0" applyNumberFormat="1" applyFont="1" applyBorder="1" applyAlignment="1">
      <alignment horizontal="center" vertical="center"/>
    </xf>
    <xf numFmtId="176" fontId="392" fillId="0" borderId="279" xfId="0" applyNumberFormat="1" applyFont="1" applyBorder="1" applyAlignment="1">
      <alignment horizontal="left" vertical="center" indent="1"/>
    </xf>
    <xf numFmtId="176" fontId="392" fillId="16" borderId="267" xfId="0" applyNumberFormat="1" applyFont="1" applyFill="1" applyBorder="1" applyAlignment="1">
      <alignment vertical="center"/>
    </xf>
    <xf numFmtId="176" fontId="392" fillId="0" borderId="267" xfId="0" applyNumberFormat="1" applyFont="1" applyFill="1" applyBorder="1" applyAlignment="1">
      <alignment vertical="center"/>
    </xf>
    <xf numFmtId="176" fontId="392" fillId="0" borderId="268" xfId="0" applyNumberFormat="1" applyFont="1" applyFill="1" applyBorder="1" applyAlignment="1">
      <alignment vertical="center"/>
    </xf>
    <xf numFmtId="176" fontId="392" fillId="0" borderId="265" xfId="0" applyNumberFormat="1" applyFont="1" applyFill="1" applyBorder="1" applyAlignment="1">
      <alignment vertical="center"/>
    </xf>
    <xf numFmtId="176" fontId="392" fillId="114" borderId="266" xfId="0" applyNumberFormat="1" applyFont="1" applyFill="1" applyBorder="1" applyAlignment="1">
      <alignment vertical="center"/>
    </xf>
    <xf numFmtId="176" fontId="392" fillId="114" borderId="417" xfId="0" applyNumberFormat="1" applyFont="1" applyFill="1" applyBorder="1" applyAlignment="1">
      <alignment vertical="center"/>
    </xf>
    <xf numFmtId="0" fontId="392" fillId="0" borderId="269" xfId="0" applyFont="1" applyBorder="1" applyAlignment="1">
      <alignment horizontal="center" vertical="center"/>
    </xf>
    <xf numFmtId="0" fontId="392" fillId="0" borderId="279" xfId="0" applyFont="1" applyBorder="1" applyAlignment="1">
      <alignment horizontal="left" vertical="center" indent="1"/>
    </xf>
    <xf numFmtId="176" fontId="390" fillId="0" borderId="277" xfId="0" applyNumberFormat="1" applyFont="1" applyFill="1" applyBorder="1" applyAlignment="1">
      <alignment horizontal="left" vertical="center"/>
    </xf>
    <xf numFmtId="176" fontId="392" fillId="0" borderId="280" xfId="0" applyNumberFormat="1" applyFont="1" applyFill="1" applyBorder="1" applyAlignment="1">
      <alignment horizontal="left" vertical="center" indent="1"/>
    </xf>
    <xf numFmtId="176" fontId="392" fillId="16" borderId="271" xfId="0" applyNumberFormat="1" applyFont="1" applyFill="1" applyBorder="1" applyAlignment="1">
      <alignment vertical="center"/>
    </xf>
    <xf numFmtId="176" fontId="392" fillId="0" borderId="271" xfId="0" applyNumberFormat="1" applyFont="1" applyFill="1" applyBorder="1" applyAlignment="1">
      <alignment vertical="center"/>
    </xf>
    <xf numFmtId="176" fontId="392" fillId="0" borderId="272" xfId="0" applyNumberFormat="1" applyFont="1" applyFill="1" applyBorder="1" applyAlignment="1">
      <alignment vertical="center"/>
    </xf>
    <xf numFmtId="176" fontId="392" fillId="0" borderId="270" xfId="0" applyNumberFormat="1" applyFont="1" applyFill="1" applyBorder="1" applyAlignment="1">
      <alignment vertical="center"/>
    </xf>
    <xf numFmtId="176" fontId="392" fillId="114" borderId="275" xfId="0" applyNumberFormat="1" applyFont="1" applyFill="1" applyBorder="1" applyAlignment="1">
      <alignment vertical="center"/>
    </xf>
    <xf numFmtId="176" fontId="392" fillId="114" borderId="273" xfId="0" applyNumberFormat="1" applyFont="1" applyFill="1" applyBorder="1" applyAlignment="1">
      <alignment vertical="center"/>
    </xf>
    <xf numFmtId="176" fontId="392" fillId="114" borderId="274" xfId="0" applyNumberFormat="1" applyFont="1" applyFill="1" applyBorder="1" applyAlignment="1">
      <alignment vertical="center"/>
    </xf>
    <xf numFmtId="176" fontId="392" fillId="114" borderId="418" xfId="0" applyNumberFormat="1" applyFont="1" applyFill="1" applyBorder="1" applyAlignment="1">
      <alignment vertical="center"/>
    </xf>
    <xf numFmtId="41" fontId="392" fillId="0" borderId="0" xfId="1" applyFont="1" applyFill="1" applyBorder="1" applyAlignment="1">
      <alignment vertical="center"/>
    </xf>
    <xf numFmtId="176" fontId="390" fillId="2" borderId="16" xfId="0" applyNumberFormat="1" applyFont="1" applyFill="1" applyBorder="1" applyAlignment="1">
      <alignment horizontal="left" vertical="center"/>
    </xf>
    <xf numFmtId="176" fontId="390" fillId="2" borderId="1" xfId="0" applyNumberFormat="1" applyFont="1" applyFill="1" applyBorder="1" applyAlignment="1">
      <alignment horizontal="left" vertical="center" indent="1"/>
    </xf>
    <xf numFmtId="176" fontId="390" fillId="2" borderId="1" xfId="0" applyNumberFormat="1" applyFont="1" applyFill="1" applyBorder="1" applyAlignment="1">
      <alignment vertical="center"/>
    </xf>
    <xf numFmtId="176" fontId="390" fillId="2" borderId="84" xfId="0" applyNumberFormat="1" applyFont="1" applyFill="1" applyBorder="1" applyAlignment="1">
      <alignment vertical="center"/>
    </xf>
    <xf numFmtId="176" fontId="390" fillId="2" borderId="233" xfId="0" applyNumberFormat="1" applyFont="1" applyFill="1" applyBorder="1" applyAlignment="1">
      <alignment vertical="center"/>
    </xf>
    <xf numFmtId="176" fontId="390" fillId="2" borderId="121" xfId="0" applyNumberFormat="1" applyFont="1" applyFill="1" applyBorder="1" applyAlignment="1">
      <alignment vertical="center"/>
    </xf>
    <xf numFmtId="176" fontId="390" fillId="2" borderId="232" xfId="0" applyNumberFormat="1" applyFont="1" applyFill="1" applyBorder="1" applyAlignment="1">
      <alignment vertical="center"/>
    </xf>
    <xf numFmtId="176" fontId="390" fillId="2" borderId="415" xfId="0" applyNumberFormat="1" applyFont="1" applyFill="1" applyBorder="1" applyAlignment="1">
      <alignment vertical="center"/>
    </xf>
    <xf numFmtId="176" fontId="390" fillId="0" borderId="47" xfId="0" applyNumberFormat="1" applyFont="1" applyFill="1" applyBorder="1" applyAlignment="1">
      <alignment vertical="center"/>
    </xf>
    <xf numFmtId="41" fontId="390" fillId="0" borderId="0" xfId="1" applyFont="1" applyFill="1" applyBorder="1" applyAlignment="1">
      <alignment vertical="center"/>
    </xf>
    <xf numFmtId="176" fontId="392" fillId="0" borderId="233" xfId="0" applyNumberFormat="1" applyFont="1" applyFill="1" applyBorder="1" applyAlignment="1">
      <alignment vertical="center"/>
    </xf>
    <xf numFmtId="176" fontId="392" fillId="0" borderId="121" xfId="0" applyNumberFormat="1" applyFont="1" applyFill="1" applyBorder="1" applyAlignment="1">
      <alignment vertical="center"/>
    </xf>
    <xf numFmtId="176" fontId="392" fillId="0" borderId="232" xfId="0" applyNumberFormat="1" applyFont="1" applyFill="1" applyBorder="1" applyAlignment="1">
      <alignment vertical="center"/>
    </xf>
    <xf numFmtId="176" fontId="392" fillId="0" borderId="415" xfId="0" applyNumberFormat="1" applyFont="1" applyFill="1" applyBorder="1" applyAlignment="1">
      <alignment vertical="center"/>
    </xf>
    <xf numFmtId="176" fontId="392" fillId="0" borderId="84" xfId="0" applyNumberFormat="1" applyFont="1" applyBorder="1" applyAlignment="1">
      <alignment vertical="center"/>
    </xf>
    <xf numFmtId="176" fontId="392" fillId="0" borderId="16" xfId="0" applyNumberFormat="1" applyFont="1" applyBorder="1" applyAlignment="1">
      <alignment vertical="center"/>
    </xf>
    <xf numFmtId="176" fontId="392" fillId="0" borderId="233" xfId="0" applyNumberFormat="1" applyFont="1" applyBorder="1" applyAlignment="1">
      <alignment vertical="center"/>
    </xf>
    <xf numFmtId="176" fontId="392" fillId="0" borderId="415" xfId="0" applyNumberFormat="1" applyFont="1" applyBorder="1" applyAlignment="1">
      <alignment vertical="center"/>
    </xf>
    <xf numFmtId="176" fontId="392" fillId="114" borderId="84" xfId="0" applyNumberFormat="1" applyFont="1" applyFill="1" applyBorder="1" applyAlignment="1">
      <alignment vertical="center"/>
    </xf>
    <xf numFmtId="176" fontId="392" fillId="0" borderId="18" xfId="0" applyNumberFormat="1" applyFont="1" applyFill="1" applyBorder="1" applyAlignment="1">
      <alignment horizontal="center" vertical="center"/>
    </xf>
    <xf numFmtId="176" fontId="392" fillId="0" borderId="19" xfId="0" applyNumberFormat="1" applyFont="1" applyFill="1" applyBorder="1" applyAlignment="1">
      <alignment horizontal="left" vertical="center" indent="1"/>
    </xf>
    <xf numFmtId="176" fontId="392" fillId="16" borderId="19" xfId="0" applyNumberFormat="1" applyFont="1" applyFill="1" applyBorder="1" applyAlignment="1">
      <alignment vertical="center"/>
    </xf>
    <xf numFmtId="176" fontId="392" fillId="0" borderId="19" xfId="0" applyNumberFormat="1" applyFont="1" applyFill="1" applyBorder="1" applyAlignment="1">
      <alignment vertical="center"/>
    </xf>
    <xf numFmtId="176" fontId="392" fillId="0" borderId="85" xfId="0" applyNumberFormat="1" applyFont="1" applyFill="1" applyBorder="1" applyAlignment="1">
      <alignment vertical="center"/>
    </xf>
    <xf numFmtId="176" fontId="392" fillId="0" borderId="18" xfId="0" applyNumberFormat="1" applyFont="1" applyFill="1" applyBorder="1" applyAlignment="1">
      <alignment vertical="center"/>
    </xf>
    <xf numFmtId="176" fontId="392" fillId="114" borderId="85" xfId="0" applyNumberFormat="1" applyFont="1" applyFill="1" applyBorder="1" applyAlignment="1">
      <alignment vertical="center"/>
    </xf>
    <xf numFmtId="176" fontId="392" fillId="114" borderId="234" xfId="0" applyNumberFormat="1" applyFont="1" applyFill="1" applyBorder="1" applyAlignment="1">
      <alignment vertical="center"/>
    </xf>
    <xf numFmtId="176" fontId="392" fillId="114" borderId="120" xfId="0" applyNumberFormat="1" applyFont="1" applyFill="1" applyBorder="1" applyAlignment="1">
      <alignment vertical="center"/>
    </xf>
    <xf numFmtId="176" fontId="392" fillId="114" borderId="229" xfId="0" applyNumberFormat="1" applyFont="1" applyFill="1" applyBorder="1" applyAlignment="1">
      <alignment vertical="center"/>
    </xf>
    <xf numFmtId="176" fontId="392" fillId="114" borderId="419" xfId="0" applyNumberFormat="1" applyFont="1" applyFill="1" applyBorder="1" applyAlignment="1">
      <alignment vertical="center"/>
    </xf>
    <xf numFmtId="176" fontId="392" fillId="0" borderId="48" xfId="0" applyNumberFormat="1" applyFont="1" applyFill="1" applyBorder="1" applyAlignment="1">
      <alignment vertical="center"/>
    </xf>
    <xf numFmtId="176" fontId="389" fillId="29" borderId="413" xfId="0" applyNumberFormat="1" applyFont="1" applyFill="1" applyBorder="1" applyAlignment="1">
      <alignment horizontal="center" vertical="center" wrapText="1"/>
    </xf>
    <xf numFmtId="176" fontId="389" fillId="0" borderId="0" xfId="0" applyNumberFormat="1" applyFont="1" applyFill="1" applyBorder="1" applyAlignment="1">
      <alignment horizontal="center" vertical="center" wrapText="1"/>
    </xf>
    <xf numFmtId="176" fontId="389" fillId="0" borderId="0" xfId="0" applyNumberFormat="1" applyFont="1" applyBorder="1" applyAlignment="1">
      <alignment horizontal="center" vertical="center"/>
    </xf>
    <xf numFmtId="176" fontId="392" fillId="114" borderId="0" xfId="0" applyNumberFormat="1" applyFont="1" applyFill="1" applyBorder="1" applyAlignment="1">
      <alignment vertical="center"/>
    </xf>
    <xf numFmtId="176" fontId="392" fillId="114" borderId="0" xfId="0" applyNumberFormat="1" applyFont="1" applyFill="1" applyBorder="1" applyAlignment="1">
      <alignment horizontal="right" vertical="center"/>
    </xf>
    <xf numFmtId="185" fontId="392" fillId="114" borderId="0" xfId="0" applyNumberFormat="1" applyFont="1" applyFill="1" applyBorder="1" applyAlignment="1">
      <alignment horizontal="left" vertical="center" indent="1"/>
    </xf>
    <xf numFmtId="176" fontId="390" fillId="6" borderId="245" xfId="0" applyNumberFormat="1" applyFont="1" applyFill="1" applyBorder="1" applyAlignment="1">
      <alignment horizontal="left" vertical="center"/>
    </xf>
    <xf numFmtId="176" fontId="390" fillId="6" borderId="241" xfId="0" applyNumberFormat="1" applyFont="1" applyFill="1" applyBorder="1" applyAlignment="1">
      <alignment horizontal="left" vertical="center" indent="1"/>
    </xf>
    <xf numFmtId="176" fontId="390" fillId="6" borderId="241" xfId="0" applyNumberFormat="1" applyFont="1" applyFill="1" applyBorder="1" applyAlignment="1">
      <alignment horizontal="center" vertical="center"/>
    </xf>
    <xf numFmtId="176" fontId="390" fillId="6" borderId="246" xfId="0" applyNumberFormat="1" applyFont="1" applyFill="1" applyBorder="1" applyAlignment="1">
      <alignment horizontal="center" vertical="center"/>
    </xf>
    <xf numFmtId="176" fontId="390" fillId="6" borderId="245" xfId="0" applyNumberFormat="1" applyFont="1" applyFill="1" applyBorder="1" applyAlignment="1">
      <alignment horizontal="center" vertical="center"/>
    </xf>
    <xf numFmtId="176" fontId="390" fillId="6" borderId="318" xfId="0" applyNumberFormat="1" applyFont="1" applyFill="1" applyBorder="1" applyAlignment="1">
      <alignment horizontal="center" vertical="center"/>
    </xf>
    <xf numFmtId="176" fontId="390" fillId="0" borderId="0" xfId="0" applyNumberFormat="1" applyFont="1" applyFill="1" applyBorder="1" applyAlignment="1">
      <alignment horizontal="center" vertical="center"/>
    </xf>
    <xf numFmtId="176" fontId="390" fillId="0" borderId="0" xfId="0" applyNumberFormat="1" applyFont="1" applyBorder="1" applyAlignment="1">
      <alignment horizontal="center" vertical="center"/>
    </xf>
    <xf numFmtId="176" fontId="390" fillId="114" borderId="0" xfId="0" applyNumberFormat="1" applyFont="1" applyFill="1" applyBorder="1" applyAlignment="1">
      <alignment horizontal="center" vertical="center"/>
    </xf>
    <xf numFmtId="10" fontId="392" fillId="0" borderId="241" xfId="2" applyNumberFormat="1" applyFont="1" applyBorder="1" applyAlignment="1">
      <alignment vertical="center"/>
    </xf>
    <xf numFmtId="10" fontId="392" fillId="0" borderId="246" xfId="2" applyNumberFormat="1" applyFont="1" applyBorder="1" applyAlignment="1">
      <alignment vertical="center"/>
    </xf>
    <xf numFmtId="10" fontId="392" fillId="0" borderId="245" xfId="2" applyNumberFormat="1" applyFont="1" applyBorder="1" applyAlignment="1">
      <alignment vertical="center"/>
    </xf>
    <xf numFmtId="10" fontId="392" fillId="0" borderId="318" xfId="2" applyNumberFormat="1" applyFont="1" applyBorder="1" applyAlignment="1">
      <alignment vertical="center"/>
    </xf>
    <xf numFmtId="10" fontId="392" fillId="0" borderId="0" xfId="2" applyNumberFormat="1" applyFont="1" applyFill="1" applyBorder="1" applyAlignment="1">
      <alignment vertical="center"/>
    </xf>
    <xf numFmtId="176" fontId="390" fillId="0" borderId="245" xfId="0" applyNumberFormat="1" applyFont="1" applyBorder="1" applyAlignment="1">
      <alignment vertical="center"/>
    </xf>
    <xf numFmtId="176" fontId="390" fillId="0" borderId="241" xfId="0" applyNumberFormat="1" applyFont="1" applyBorder="1" applyAlignment="1">
      <alignment vertical="center"/>
    </xf>
    <xf numFmtId="176" fontId="390" fillId="0" borderId="246" xfId="0" applyNumberFormat="1" applyFont="1" applyBorder="1" applyAlignment="1">
      <alignment vertical="center"/>
    </xf>
    <xf numFmtId="176" fontId="401" fillId="28" borderId="243" xfId="0" applyNumberFormat="1" applyFont="1" applyFill="1" applyBorder="1" applyAlignment="1">
      <alignment horizontal="center" vertical="center"/>
    </xf>
    <xf numFmtId="176" fontId="401" fillId="28" borderId="240" xfId="0" applyNumberFormat="1" applyFont="1" applyFill="1" applyBorder="1" applyAlignment="1">
      <alignment horizontal="center" vertical="center"/>
    </xf>
    <xf numFmtId="176" fontId="401" fillId="28" borderId="319" xfId="0" applyNumberFormat="1" applyFont="1" applyFill="1" applyBorder="1" applyAlignment="1">
      <alignment horizontal="center" vertical="center"/>
    </xf>
    <xf numFmtId="176" fontId="401" fillId="28" borderId="320" xfId="0" applyNumberFormat="1" applyFont="1" applyFill="1" applyBorder="1" applyAlignment="1">
      <alignment horizontal="center" vertical="center"/>
    </xf>
    <xf numFmtId="176" fontId="401" fillId="28" borderId="321" xfId="0" applyNumberFormat="1" applyFont="1" applyFill="1" applyBorder="1" applyAlignment="1">
      <alignment horizontal="center" vertical="center"/>
    </xf>
    <xf numFmtId="176" fontId="401" fillId="28" borderId="293" xfId="0" applyNumberFormat="1" applyFont="1" applyFill="1" applyBorder="1" applyAlignment="1">
      <alignment horizontal="center" vertical="center"/>
    </xf>
    <xf numFmtId="183" fontId="401" fillId="28" borderId="244" xfId="0" applyNumberFormat="1" applyFont="1" applyFill="1" applyBorder="1" applyAlignment="1">
      <alignment horizontal="center" vertical="center"/>
    </xf>
    <xf numFmtId="176" fontId="390" fillId="0" borderId="0" xfId="0" applyNumberFormat="1" applyFont="1" applyBorder="1" applyAlignment="1">
      <alignment vertical="center"/>
    </xf>
    <xf numFmtId="176" fontId="390" fillId="6" borderId="245" xfId="0" applyNumberFormat="1" applyFont="1" applyFill="1" applyBorder="1" applyAlignment="1">
      <alignment vertical="center"/>
    </xf>
    <xf numFmtId="176" fontId="390" fillId="6" borderId="241" xfId="0" applyNumberFormat="1" applyFont="1" applyFill="1" applyBorder="1" applyAlignment="1">
      <alignment vertical="center"/>
    </xf>
    <xf numFmtId="176" fontId="390" fillId="6" borderId="246" xfId="0" applyNumberFormat="1" applyFont="1" applyFill="1" applyBorder="1" applyAlignment="1">
      <alignment vertical="center"/>
    </xf>
    <xf numFmtId="176" fontId="390" fillId="6" borderId="318" xfId="0" applyNumberFormat="1" applyFont="1" applyFill="1" applyBorder="1" applyAlignment="1">
      <alignment vertical="center"/>
    </xf>
    <xf numFmtId="0" fontId="402" fillId="114" borderId="241" xfId="5" applyFont="1" applyFill="1" applyBorder="1" applyAlignment="1">
      <alignment horizontal="left" indent="1"/>
    </xf>
    <xf numFmtId="184" fontId="402" fillId="114" borderId="241" xfId="0" applyNumberFormat="1" applyFont="1" applyFill="1" applyBorder="1" applyAlignment="1">
      <alignment vertical="center"/>
    </xf>
    <xf numFmtId="9" fontId="402" fillId="114" borderId="318" xfId="2" applyFont="1" applyFill="1" applyBorder="1" applyAlignment="1">
      <alignment vertical="center"/>
    </xf>
    <xf numFmtId="176" fontId="402" fillId="114" borderId="316" xfId="0" applyNumberFormat="1" applyFont="1" applyFill="1" applyBorder="1" applyAlignment="1">
      <alignment vertical="center"/>
    </xf>
    <xf numFmtId="176" fontId="402" fillId="114" borderId="317" xfId="0" applyNumberFormat="1" applyFont="1" applyFill="1" applyBorder="1" applyAlignment="1">
      <alignment vertical="center"/>
    </xf>
    <xf numFmtId="176" fontId="402" fillId="114" borderId="247" xfId="0" applyNumberFormat="1" applyFont="1" applyFill="1" applyBorder="1" applyAlignment="1">
      <alignment vertical="center"/>
    </xf>
    <xf numFmtId="176" fontId="402" fillId="114" borderId="241" xfId="0" applyNumberFormat="1" applyFont="1" applyFill="1" applyBorder="1" applyAlignment="1">
      <alignment vertical="center"/>
    </xf>
    <xf numFmtId="184" fontId="402" fillId="114" borderId="246" xfId="0" applyNumberFormat="1" applyFont="1" applyFill="1" applyBorder="1" applyAlignment="1">
      <alignment vertical="center"/>
    </xf>
    <xf numFmtId="41" fontId="392" fillId="0" borderId="0" xfId="1" applyFont="1" applyBorder="1" applyAlignment="1">
      <alignment vertical="center"/>
    </xf>
    <xf numFmtId="41" fontId="402" fillId="114" borderId="246" xfId="0" applyNumberFormat="1" applyFont="1" applyFill="1" applyBorder="1" applyAlignment="1">
      <alignment vertical="center"/>
    </xf>
    <xf numFmtId="176" fontId="392" fillId="0" borderId="0" xfId="0" applyNumberFormat="1" applyFont="1" applyFill="1" applyBorder="1" applyAlignment="1">
      <alignment horizontal="left" vertical="center" indent="1"/>
    </xf>
    <xf numFmtId="176" fontId="402" fillId="114" borderId="245" xfId="0" applyNumberFormat="1" applyFont="1" applyFill="1" applyBorder="1" applyAlignment="1">
      <alignment horizontal="left" vertical="center" indent="1"/>
    </xf>
    <xf numFmtId="176" fontId="402" fillId="114" borderId="241" xfId="0" applyNumberFormat="1" applyFont="1" applyFill="1" applyBorder="1" applyAlignment="1">
      <alignment horizontal="left" vertical="center" indent="1"/>
    </xf>
    <xf numFmtId="176" fontId="402" fillId="114" borderId="246" xfId="0" applyNumberFormat="1" applyFont="1" applyFill="1" applyBorder="1" applyAlignment="1">
      <alignment vertical="center"/>
    </xf>
    <xf numFmtId="176" fontId="402" fillId="114" borderId="325" xfId="0" applyNumberFormat="1" applyFont="1" applyFill="1" applyBorder="1" applyAlignment="1">
      <alignment horizontal="left" vertical="center" indent="1"/>
    </xf>
    <xf numFmtId="176" fontId="402" fillId="114" borderId="309" xfId="0" applyNumberFormat="1" applyFont="1" applyFill="1" applyBorder="1" applyAlignment="1">
      <alignment vertical="center"/>
    </xf>
    <xf numFmtId="184" fontId="402" fillId="114" borderId="309" xfId="0" applyNumberFormat="1" applyFont="1" applyFill="1" applyBorder="1" applyAlignment="1">
      <alignment vertical="center"/>
    </xf>
    <xf numFmtId="9" fontId="402" fillId="114" borderId="421" xfId="2" applyFont="1" applyFill="1" applyBorder="1" applyAlignment="1">
      <alignment vertical="center"/>
    </xf>
    <xf numFmtId="176" fontId="402" fillId="114" borderId="422" xfId="0" applyNumberFormat="1" applyFont="1" applyFill="1" applyBorder="1" applyAlignment="1">
      <alignment vertical="center"/>
    </xf>
    <xf numFmtId="176" fontId="402" fillId="114" borderId="423" xfId="0" applyNumberFormat="1" applyFont="1" applyFill="1" applyBorder="1" applyAlignment="1">
      <alignment vertical="center"/>
    </xf>
    <xf numFmtId="176" fontId="401" fillId="114" borderId="424" xfId="0" applyNumberFormat="1" applyFont="1" applyFill="1" applyBorder="1" applyAlignment="1">
      <alignment vertical="center"/>
    </xf>
    <xf numFmtId="176" fontId="401" fillId="114" borderId="309" xfId="0" applyNumberFormat="1" applyFont="1" applyFill="1" applyBorder="1" applyAlignment="1">
      <alignment vertical="center"/>
    </xf>
    <xf numFmtId="184" fontId="402" fillId="114" borderId="326" xfId="0" applyNumberFormat="1" applyFont="1" applyFill="1" applyBorder="1" applyAlignment="1">
      <alignment vertical="center"/>
    </xf>
    <xf numFmtId="176" fontId="402" fillId="114" borderId="248" xfId="0" applyNumberFormat="1" applyFont="1" applyFill="1" applyBorder="1" applyAlignment="1">
      <alignment horizontal="left" vertical="center" indent="1"/>
    </xf>
    <xf numFmtId="176" fontId="402" fillId="114" borderId="242" xfId="0" applyNumberFormat="1" applyFont="1" applyFill="1" applyBorder="1" applyAlignment="1">
      <alignment vertical="center"/>
    </xf>
    <xf numFmtId="184" fontId="402" fillId="114" borderId="242" xfId="0" applyNumberFormat="1" applyFont="1" applyFill="1" applyBorder="1" applyAlignment="1">
      <alignment vertical="center"/>
    </xf>
    <xf numFmtId="9" fontId="402" fillId="114" borderId="322" xfId="2" applyFont="1" applyFill="1" applyBorder="1" applyAlignment="1">
      <alignment vertical="center"/>
    </xf>
    <xf numFmtId="176" fontId="402" fillId="114" borderId="323" xfId="0" applyNumberFormat="1" applyFont="1" applyFill="1" applyBorder="1" applyAlignment="1">
      <alignment vertical="center"/>
    </xf>
    <xf numFmtId="176" fontId="402" fillId="114" borderId="324" xfId="0" applyNumberFormat="1" applyFont="1" applyFill="1" applyBorder="1" applyAlignment="1">
      <alignment vertical="center"/>
    </xf>
    <xf numFmtId="176" fontId="401" fillId="114" borderId="294" xfId="0" applyNumberFormat="1" applyFont="1" applyFill="1" applyBorder="1" applyAlignment="1">
      <alignment vertical="center"/>
    </xf>
    <xf numFmtId="176" fontId="401" fillId="114" borderId="242" xfId="0" applyNumberFormat="1" applyFont="1" applyFill="1" applyBorder="1" applyAlignment="1">
      <alignment vertical="center"/>
    </xf>
    <xf numFmtId="184" fontId="402" fillId="114" borderId="249" xfId="0" applyNumberFormat="1" applyFont="1" applyFill="1" applyBorder="1" applyAlignment="1">
      <alignment vertical="center"/>
    </xf>
    <xf numFmtId="184" fontId="403" fillId="0" borderId="0" xfId="0" applyNumberFormat="1" applyFont="1" applyBorder="1" applyAlignment="1">
      <alignment vertical="center"/>
    </xf>
    <xf numFmtId="184" fontId="404" fillId="0" borderId="0" xfId="0" applyNumberFormat="1" applyFont="1" applyBorder="1" applyAlignment="1">
      <alignment vertical="center"/>
    </xf>
    <xf numFmtId="176" fontId="390" fillId="2" borderId="241" xfId="0" applyNumberFormat="1" applyFont="1" applyFill="1" applyBorder="1" applyAlignment="1">
      <alignment horizontal="left" vertical="center" indent="1"/>
    </xf>
    <xf numFmtId="176" fontId="390" fillId="2" borderId="241" xfId="0" applyNumberFormat="1" applyFont="1" applyFill="1" applyBorder="1" applyAlignment="1">
      <alignment vertical="center"/>
    </xf>
    <xf numFmtId="176" fontId="390" fillId="2" borderId="246" xfId="0" applyNumberFormat="1" applyFont="1" applyFill="1" applyBorder="1" applyAlignment="1">
      <alignment vertical="center"/>
    </xf>
    <xf numFmtId="176" fontId="390" fillId="2" borderId="318" xfId="0" applyNumberFormat="1" applyFont="1" applyFill="1" applyBorder="1" applyAlignment="1">
      <alignment vertical="center"/>
    </xf>
    <xf numFmtId="184" fontId="392" fillId="0" borderId="302" xfId="0" applyNumberFormat="1" applyFont="1" applyBorder="1" applyAlignment="1">
      <alignment horizontal="center" vertical="center"/>
    </xf>
    <xf numFmtId="184" fontId="392" fillId="0" borderId="303" xfId="0" applyNumberFormat="1" applyFont="1" applyBorder="1" applyAlignment="1">
      <alignment horizontal="center" vertical="center"/>
    </xf>
    <xf numFmtId="184" fontId="392" fillId="116" borderId="303" xfId="0" applyNumberFormat="1" applyFont="1" applyFill="1" applyBorder="1" applyAlignment="1">
      <alignment horizontal="center" vertical="center"/>
    </xf>
    <xf numFmtId="184" fontId="392" fillId="114" borderId="303" xfId="0" applyNumberFormat="1" applyFont="1" applyFill="1" applyBorder="1" applyAlignment="1">
      <alignment horizontal="center" vertical="center"/>
    </xf>
    <xf numFmtId="176" fontId="392" fillId="114" borderId="303" xfId="0" applyNumberFormat="1" applyFont="1" applyFill="1" applyBorder="1" applyAlignment="1">
      <alignment horizontal="center" vertical="center"/>
    </xf>
    <xf numFmtId="176" fontId="392" fillId="114" borderId="304" xfId="0" applyNumberFormat="1" applyFont="1" applyFill="1" applyBorder="1" applyAlignment="1">
      <alignment horizontal="center" vertical="center"/>
    </xf>
    <xf numFmtId="184" fontId="392" fillId="0" borderId="305" xfId="0" applyNumberFormat="1" applyFont="1" applyBorder="1" applyAlignment="1">
      <alignment horizontal="left" vertical="center" indent="1"/>
    </xf>
    <xf numFmtId="184" fontId="392" fillId="0" borderId="241" xfId="0" applyNumberFormat="1" applyFont="1" applyBorder="1" applyAlignment="1">
      <alignment vertical="center"/>
    </xf>
    <xf numFmtId="184" fontId="392" fillId="116" borderId="241" xfId="0" applyNumberFormat="1" applyFont="1" applyFill="1" applyBorder="1" applyAlignment="1">
      <alignment vertical="center"/>
    </xf>
    <xf numFmtId="176" fontId="393" fillId="2" borderId="241" xfId="0" applyNumberFormat="1" applyFont="1" applyFill="1" applyBorder="1" applyAlignment="1">
      <alignment horizontal="center" vertical="center" wrapText="1"/>
    </xf>
    <xf numFmtId="176" fontId="393" fillId="2" borderId="246" xfId="0" applyNumberFormat="1" applyFont="1" applyFill="1" applyBorder="1" applyAlignment="1">
      <alignment horizontal="center" vertical="center" wrapText="1"/>
    </xf>
    <xf numFmtId="176" fontId="393" fillId="2" borderId="245" xfId="0" applyNumberFormat="1" applyFont="1" applyFill="1" applyBorder="1" applyAlignment="1">
      <alignment horizontal="center" vertical="center" wrapText="1"/>
    </xf>
    <xf numFmtId="176" fontId="393" fillId="2" borderId="318" xfId="0" applyNumberFormat="1" applyFont="1" applyFill="1" applyBorder="1" applyAlignment="1">
      <alignment horizontal="center" vertical="center" wrapText="1"/>
    </xf>
    <xf numFmtId="9" fontId="393" fillId="0" borderId="0" xfId="2" applyFont="1" applyFill="1" applyBorder="1" applyAlignment="1">
      <alignment horizontal="center" vertical="center" wrapText="1"/>
    </xf>
    <xf numFmtId="176" fontId="393" fillId="0" borderId="0" xfId="0" applyNumberFormat="1" applyFont="1" applyFill="1" applyBorder="1" applyAlignment="1">
      <alignment horizontal="center" vertical="center"/>
    </xf>
    <xf numFmtId="184" fontId="392" fillId="0" borderId="366" xfId="0" applyNumberFormat="1" applyFont="1" applyBorder="1" applyAlignment="1">
      <alignment horizontal="left" vertical="center" indent="1"/>
    </xf>
    <xf numFmtId="184" fontId="392" fillId="0" borderId="367" xfId="0" applyNumberFormat="1" applyFont="1" applyBorder="1" applyAlignment="1">
      <alignment vertical="center"/>
    </xf>
    <xf numFmtId="184" fontId="392" fillId="116" borderId="367" xfId="0" applyNumberFormat="1" applyFont="1" applyFill="1" applyBorder="1" applyAlignment="1">
      <alignment vertical="center"/>
    </xf>
    <xf numFmtId="184" fontId="392" fillId="114" borderId="367" xfId="0" applyNumberFormat="1" applyFont="1" applyFill="1" applyBorder="1" applyAlignment="1">
      <alignment vertical="center"/>
    </xf>
    <xf numFmtId="176" fontId="392" fillId="114" borderId="367" xfId="0" applyNumberFormat="1" applyFont="1" applyFill="1" applyBorder="1" applyAlignment="1">
      <alignment vertical="center"/>
    </xf>
    <xf numFmtId="176" fontId="392" fillId="114" borderId="389" xfId="0" applyNumberFormat="1" applyFont="1" applyFill="1" applyBorder="1" applyAlignment="1">
      <alignment vertical="center"/>
    </xf>
    <xf numFmtId="176" fontId="393" fillId="0" borderId="0" xfId="0" applyNumberFormat="1" applyFont="1" applyFill="1" applyBorder="1" applyAlignment="1">
      <alignment horizontal="center" vertical="center" wrapText="1"/>
    </xf>
    <xf numFmtId="176" fontId="390" fillId="0" borderId="245" xfId="0" applyNumberFormat="1" applyFont="1" applyBorder="1" applyAlignment="1">
      <alignment horizontal="center" vertical="center"/>
    </xf>
    <xf numFmtId="176" fontId="390" fillId="0" borderId="241" xfId="0" applyNumberFormat="1" applyFont="1" applyBorder="1" applyAlignment="1">
      <alignment horizontal="left" vertical="center" indent="1"/>
    </xf>
    <xf numFmtId="176" fontId="390" fillId="0" borderId="318" xfId="0" applyNumberFormat="1" applyFont="1" applyBorder="1" applyAlignment="1">
      <alignment vertical="center"/>
    </xf>
    <xf numFmtId="178" fontId="392" fillId="0" borderId="0" xfId="0" applyNumberFormat="1" applyFont="1" applyAlignment="1">
      <alignment vertical="center"/>
    </xf>
    <xf numFmtId="183" fontId="392" fillId="0" borderId="0" xfId="0" applyNumberFormat="1" applyFont="1" applyAlignment="1">
      <alignment horizontal="center" vertical="center"/>
    </xf>
    <xf numFmtId="184" fontId="392" fillId="0" borderId="0" xfId="0" applyNumberFormat="1" applyFont="1" applyAlignment="1">
      <alignment vertical="center"/>
    </xf>
    <xf numFmtId="176" fontId="393" fillId="0" borderId="0" xfId="0" applyNumberFormat="1" applyFont="1" applyAlignment="1">
      <alignment horizontal="left" vertical="center"/>
    </xf>
    <xf numFmtId="176" fontId="389" fillId="5" borderId="250" xfId="0" applyNumberFormat="1" applyFont="1" applyFill="1" applyBorder="1" applyAlignment="1">
      <alignment horizontal="center" vertical="center" wrapText="1"/>
    </xf>
    <xf numFmtId="176" fontId="389" fillId="5" borderId="251" xfId="0" applyNumberFormat="1" applyFont="1" applyFill="1" applyBorder="1" applyAlignment="1">
      <alignment horizontal="center" vertical="center" wrapText="1"/>
    </xf>
    <xf numFmtId="176" fontId="389" fillId="5" borderId="252" xfId="0" applyNumberFormat="1" applyFont="1" applyFill="1" applyBorder="1" applyAlignment="1">
      <alignment horizontal="center" vertical="center" wrapText="1"/>
    </xf>
    <xf numFmtId="183" fontId="389" fillId="5" borderId="2" xfId="0" applyNumberFormat="1" applyFont="1" applyFill="1" applyBorder="1" applyAlignment="1">
      <alignment horizontal="center" vertical="center" wrapText="1"/>
    </xf>
    <xf numFmtId="176" fontId="389" fillId="5" borderId="3" xfId="0" applyNumberFormat="1" applyFont="1" applyFill="1" applyBorder="1" applyAlignment="1">
      <alignment horizontal="center" vertical="center" wrapText="1"/>
    </xf>
    <xf numFmtId="176" fontId="389" fillId="5" borderId="334" xfId="0" applyNumberFormat="1" applyFont="1" applyFill="1" applyBorder="1" applyAlignment="1">
      <alignment horizontal="center" vertical="center" wrapText="1"/>
    </xf>
    <xf numFmtId="0" fontId="405" fillId="5" borderId="32" xfId="0" applyFont="1" applyFill="1" applyBorder="1" applyAlignment="1" applyProtection="1">
      <alignment horizontal="center" vertical="center" wrapText="1"/>
    </xf>
    <xf numFmtId="0" fontId="405" fillId="5" borderId="33" xfId="0" applyFont="1" applyFill="1" applyBorder="1" applyAlignment="1" applyProtection="1">
      <alignment horizontal="center" vertical="center" wrapText="1"/>
    </xf>
    <xf numFmtId="0" fontId="405" fillId="5" borderId="34" xfId="0" applyFont="1" applyFill="1" applyBorder="1" applyAlignment="1" applyProtection="1">
      <alignment horizontal="center" vertical="center" wrapText="1"/>
    </xf>
    <xf numFmtId="0" fontId="405" fillId="5" borderId="350" xfId="0" applyFont="1" applyFill="1" applyBorder="1" applyAlignment="1">
      <alignment horizontal="center" vertical="center" wrapText="1"/>
    </xf>
    <xf numFmtId="0" fontId="405" fillId="5" borderId="351" xfId="0" applyFont="1" applyFill="1" applyBorder="1" applyAlignment="1">
      <alignment horizontal="center" vertical="center" wrapText="1"/>
    </xf>
    <xf numFmtId="184" fontId="405" fillId="5" borderId="352" xfId="0" applyNumberFormat="1" applyFont="1" applyFill="1" applyBorder="1" applyAlignment="1">
      <alignment horizontal="center" vertical="center" wrapText="1"/>
    </xf>
    <xf numFmtId="0" fontId="390" fillId="4" borderId="253" xfId="0" applyNumberFormat="1" applyFont="1" applyFill="1" applyBorder="1" applyAlignment="1">
      <alignment horizontal="center" vertical="center"/>
    </xf>
    <xf numFmtId="176" fontId="390" fillId="4" borderId="241" xfId="0" applyNumberFormat="1" applyFont="1" applyFill="1" applyBorder="1" applyAlignment="1">
      <alignment vertical="center"/>
    </xf>
    <xf numFmtId="176" fontId="390" fillId="4" borderId="254" xfId="0" applyNumberFormat="1" applyFont="1" applyFill="1" applyBorder="1" applyAlignment="1">
      <alignment vertical="center"/>
    </xf>
    <xf numFmtId="183" fontId="392" fillId="114" borderId="335" xfId="0" applyNumberFormat="1" applyFont="1" applyFill="1" applyBorder="1" applyAlignment="1">
      <alignment horizontal="center" vertical="center"/>
    </xf>
    <xf numFmtId="41" fontId="406" fillId="114" borderId="0" xfId="0" applyNumberFormat="1" applyFont="1" applyFill="1" applyBorder="1" applyAlignment="1">
      <alignment vertical="center"/>
    </xf>
    <xf numFmtId="41" fontId="407" fillId="114" borderId="0" xfId="0" applyNumberFormat="1" applyFont="1" applyFill="1" applyBorder="1" applyAlignment="1">
      <alignment vertical="center"/>
    </xf>
    <xf numFmtId="176" fontId="392" fillId="114" borderId="336" xfId="0" applyNumberFormat="1" applyFont="1" applyFill="1" applyBorder="1" applyAlignment="1">
      <alignment horizontal="left" vertical="center" indent="1"/>
    </xf>
    <xf numFmtId="0" fontId="408" fillId="114" borderId="35" xfId="5" applyFont="1" applyFill="1" applyBorder="1" applyAlignment="1" applyProtection="1">
      <alignment horizontal="left" vertical="center" indent="1"/>
    </xf>
    <xf numFmtId="0" fontId="408" fillId="114" borderId="0" xfId="5" applyFont="1" applyFill="1" applyBorder="1" applyAlignment="1" applyProtection="1">
      <alignment horizontal="left" vertical="center" indent="1"/>
    </xf>
    <xf numFmtId="41" fontId="408" fillId="114" borderId="36" xfId="5" applyNumberFormat="1" applyFont="1" applyFill="1" applyBorder="1" applyAlignment="1" applyProtection="1">
      <alignment vertical="center"/>
    </xf>
    <xf numFmtId="0" fontId="408" fillId="114" borderId="406" xfId="0" applyFont="1" applyFill="1" applyBorder="1" applyAlignment="1">
      <alignment horizontal="center" vertical="center"/>
    </xf>
    <xf numFmtId="0" fontId="408" fillId="114" borderId="407" xfId="0" applyFont="1" applyFill="1" applyBorder="1" applyAlignment="1">
      <alignment horizontal="left" vertical="center" indent="1"/>
    </xf>
    <xf numFmtId="184" fontId="408" fillId="114" borderId="408" xfId="0" applyNumberFormat="1" applyFont="1" applyFill="1" applyBorder="1" applyAlignment="1">
      <alignment vertical="center"/>
    </xf>
    <xf numFmtId="0" fontId="390" fillId="2" borderId="253" xfId="0" applyNumberFormat="1" applyFont="1" applyFill="1" applyBorder="1" applyAlignment="1">
      <alignment horizontal="center" vertical="center"/>
    </xf>
    <xf numFmtId="176" fontId="390" fillId="2" borderId="254" xfId="0" applyNumberFormat="1" applyFont="1" applyFill="1" applyBorder="1" applyAlignment="1">
      <alignment vertical="center"/>
    </xf>
    <xf numFmtId="183" fontId="392" fillId="114" borderId="337" xfId="0" applyNumberFormat="1" applyFont="1" applyFill="1" applyBorder="1" applyAlignment="1">
      <alignment horizontal="center" vertical="center"/>
    </xf>
    <xf numFmtId="176" fontId="392" fillId="114" borderId="86" xfId="0" applyNumberFormat="1" applyFont="1" applyFill="1" applyBorder="1" applyAlignment="1">
      <alignment vertical="center"/>
    </xf>
    <xf numFmtId="41" fontId="406" fillId="114" borderId="86" xfId="0" applyNumberFormat="1" applyFont="1" applyFill="1" applyBorder="1" applyAlignment="1">
      <alignment vertical="center"/>
    </xf>
    <xf numFmtId="176" fontId="392" fillId="114" borderId="338" xfId="0" applyNumberFormat="1" applyFont="1" applyFill="1" applyBorder="1" applyAlignment="1">
      <alignment horizontal="left" vertical="center" indent="1"/>
    </xf>
    <xf numFmtId="0" fontId="408" fillId="114" borderId="348" xfId="5" applyFont="1" applyFill="1" applyBorder="1" applyAlignment="1" applyProtection="1">
      <alignment horizontal="left" vertical="center" indent="1"/>
    </xf>
    <xf numFmtId="0" fontId="408" fillId="114" borderId="87" xfId="0" applyFont="1" applyFill="1" applyBorder="1" applyAlignment="1">
      <alignment horizontal="left" vertical="center" indent="1"/>
    </xf>
    <xf numFmtId="41" fontId="408" fillId="114" borderId="349" xfId="5" applyNumberFormat="1" applyFont="1" applyFill="1" applyBorder="1" applyAlignment="1" applyProtection="1">
      <alignment vertical="center"/>
    </xf>
    <xf numFmtId="0" fontId="408" fillId="114" borderId="409" xfId="0" applyFont="1" applyFill="1" applyBorder="1" applyAlignment="1">
      <alignment horizontal="center" vertical="center"/>
    </xf>
    <xf numFmtId="0" fontId="408" fillId="114" borderId="410" xfId="0" applyFont="1" applyFill="1" applyBorder="1" applyAlignment="1">
      <alignment horizontal="left" vertical="center" indent="1"/>
    </xf>
    <xf numFmtId="184" fontId="408" fillId="114" borderId="411" xfId="0" applyNumberFormat="1" applyFont="1" applyFill="1" applyBorder="1" applyAlignment="1">
      <alignment vertical="center"/>
    </xf>
    <xf numFmtId="0" fontId="390" fillId="3" borderId="253" xfId="0" applyNumberFormat="1" applyFont="1" applyFill="1" applyBorder="1" applyAlignment="1">
      <alignment horizontal="center" vertical="center"/>
    </xf>
    <xf numFmtId="176" fontId="390" fillId="3" borderId="241" xfId="0" applyNumberFormat="1" applyFont="1" applyFill="1" applyBorder="1" applyAlignment="1">
      <alignment vertical="center"/>
    </xf>
    <xf numFmtId="176" fontId="390" fillId="3" borderId="254" xfId="0" applyNumberFormat="1" applyFont="1" applyFill="1" applyBorder="1" applyAlignment="1">
      <alignment vertical="center"/>
    </xf>
    <xf numFmtId="183" fontId="392" fillId="114" borderId="339" xfId="0" applyNumberFormat="1" applyFont="1" applyFill="1" applyBorder="1" applyAlignment="1">
      <alignment horizontal="center" vertical="center"/>
    </xf>
    <xf numFmtId="176" fontId="392" fillId="114" borderId="87" xfId="0" applyNumberFormat="1" applyFont="1" applyFill="1" applyBorder="1" applyAlignment="1">
      <alignment vertical="center"/>
    </xf>
    <xf numFmtId="0" fontId="408" fillId="114" borderId="0" xfId="0" applyFont="1" applyFill="1" applyBorder="1" applyAlignment="1">
      <alignment horizontal="left" vertical="center" indent="1"/>
    </xf>
    <xf numFmtId="0" fontId="392" fillId="0" borderId="253" xfId="0" applyNumberFormat="1" applyFont="1" applyBorder="1" applyAlignment="1">
      <alignment horizontal="center" vertical="center"/>
    </xf>
    <xf numFmtId="176" fontId="392" fillId="0" borderId="254" xfId="0" applyNumberFormat="1" applyFont="1" applyBorder="1" applyAlignment="1">
      <alignment vertical="center"/>
    </xf>
    <xf numFmtId="0" fontId="408" fillId="114" borderId="372" xfId="0" applyFont="1" applyFill="1" applyBorder="1" applyAlignment="1">
      <alignment horizontal="center" vertical="center"/>
    </xf>
    <xf numFmtId="0" fontId="408" fillId="114" borderId="373" xfId="0" applyFont="1" applyFill="1" applyBorder="1" applyAlignment="1">
      <alignment horizontal="left" vertical="center" indent="1"/>
    </xf>
    <xf numFmtId="184" fontId="408" fillId="114" borderId="374" xfId="0" applyNumberFormat="1" applyFont="1" applyFill="1" applyBorder="1" applyAlignment="1">
      <alignment vertical="center"/>
    </xf>
    <xf numFmtId="41" fontId="407" fillId="114" borderId="87" xfId="0" applyNumberFormat="1" applyFont="1" applyFill="1" applyBorder="1" applyAlignment="1">
      <alignment vertical="center"/>
    </xf>
    <xf numFmtId="0" fontId="408" fillId="114" borderId="353" xfId="0" applyFont="1" applyFill="1" applyBorder="1" applyAlignment="1">
      <alignment horizontal="center" vertical="center"/>
    </xf>
    <xf numFmtId="0" fontId="408" fillId="114" borderId="354" xfId="0" applyFont="1" applyFill="1" applyBorder="1" applyAlignment="1">
      <alignment horizontal="left" vertical="center" indent="1"/>
    </xf>
    <xf numFmtId="184" fontId="408" fillId="114" borderId="355" xfId="0" applyNumberFormat="1" applyFont="1" applyFill="1" applyBorder="1" applyAlignment="1">
      <alignment vertical="center"/>
    </xf>
    <xf numFmtId="41" fontId="392" fillId="114" borderId="0" xfId="0" applyNumberFormat="1" applyFont="1" applyFill="1" applyBorder="1" applyAlignment="1">
      <alignment vertical="center"/>
    </xf>
    <xf numFmtId="0" fontId="392" fillId="114" borderId="253" xfId="0" applyNumberFormat="1" applyFont="1" applyFill="1" applyBorder="1" applyAlignment="1">
      <alignment horizontal="center" vertical="center"/>
    </xf>
    <xf numFmtId="176" fontId="392" fillId="114" borderId="254" xfId="0" applyNumberFormat="1" applyFont="1" applyFill="1" applyBorder="1" applyAlignment="1">
      <alignment vertical="center"/>
    </xf>
    <xf numFmtId="0" fontId="392" fillId="114" borderId="339" xfId="0" applyFont="1" applyFill="1" applyBorder="1" applyAlignment="1">
      <alignment horizontal="center" vertical="center"/>
    </xf>
    <xf numFmtId="0" fontId="408" fillId="114" borderId="87" xfId="0" applyFont="1" applyFill="1" applyBorder="1" applyAlignment="1">
      <alignment vertical="center"/>
    </xf>
    <xf numFmtId="41" fontId="392" fillId="114" borderId="87" xfId="0" applyNumberFormat="1" applyFont="1" applyFill="1" applyBorder="1" applyAlignment="1">
      <alignment vertical="center"/>
    </xf>
    <xf numFmtId="176" fontId="392" fillId="114" borderId="340" xfId="0" applyNumberFormat="1" applyFont="1" applyFill="1" applyBorder="1" applyAlignment="1">
      <alignment horizontal="left" vertical="center" indent="1"/>
    </xf>
    <xf numFmtId="0" fontId="392" fillId="114" borderId="335" xfId="0" applyFont="1" applyFill="1" applyBorder="1" applyAlignment="1">
      <alignment horizontal="center" vertical="center"/>
    </xf>
    <xf numFmtId="0" fontId="408" fillId="114" borderId="0" xfId="0" applyFont="1" applyFill="1" applyBorder="1" applyAlignment="1">
      <alignment vertical="center"/>
    </xf>
    <xf numFmtId="41" fontId="408" fillId="114" borderId="36" xfId="5" applyNumberFormat="1" applyFont="1" applyFill="1" applyBorder="1" applyAlignment="1">
      <alignment vertical="center"/>
    </xf>
    <xf numFmtId="0" fontId="392" fillId="114" borderId="0" xfId="0" applyFont="1" applyFill="1" applyBorder="1" applyAlignment="1">
      <alignment vertical="center"/>
    </xf>
    <xf numFmtId="0" fontId="392" fillId="114" borderId="86" xfId="0" applyFont="1" applyFill="1" applyBorder="1" applyAlignment="1">
      <alignment vertical="center"/>
    </xf>
    <xf numFmtId="41" fontId="392" fillId="114" borderId="86" xfId="0" applyNumberFormat="1" applyFont="1" applyFill="1" applyBorder="1" applyAlignment="1">
      <alignment vertical="center"/>
    </xf>
    <xf numFmtId="0" fontId="406" fillId="114" borderId="0" xfId="5" applyFont="1" applyFill="1" applyBorder="1" applyAlignment="1" applyProtection="1">
      <alignment vertical="center"/>
    </xf>
    <xf numFmtId="0" fontId="408" fillId="114" borderId="380" xfId="5" applyFont="1" applyFill="1" applyBorder="1" applyAlignment="1" applyProtection="1">
      <alignment horizontal="left" vertical="center" indent="1"/>
    </xf>
    <xf numFmtId="0" fontId="408" fillId="114" borderId="381" xfId="0" applyFont="1" applyFill="1" applyBorder="1" applyAlignment="1">
      <alignment horizontal="left" vertical="center" indent="1"/>
    </xf>
    <xf numFmtId="41" fontId="408" fillId="114" borderId="382" xfId="5" applyNumberFormat="1" applyFont="1" applyFill="1" applyBorder="1" applyAlignment="1" applyProtection="1">
      <alignment vertical="center"/>
    </xf>
    <xf numFmtId="0" fontId="392" fillId="114" borderId="337" xfId="0" applyFont="1" applyFill="1" applyBorder="1" applyAlignment="1">
      <alignment horizontal="center" vertical="center"/>
    </xf>
    <xf numFmtId="0" fontId="408" fillId="114" borderId="378" xfId="0" applyFont="1" applyFill="1" applyBorder="1" applyAlignment="1">
      <alignment horizontal="center" vertical="center"/>
    </xf>
    <xf numFmtId="0" fontId="408" fillId="114" borderId="412" xfId="0" applyFont="1" applyFill="1" applyBorder="1" applyAlignment="1">
      <alignment horizontal="left" vertical="center" indent="1"/>
    </xf>
    <xf numFmtId="184" fontId="408" fillId="114" borderId="379" xfId="0" applyNumberFormat="1" applyFont="1" applyFill="1" applyBorder="1" applyAlignment="1">
      <alignment vertical="center"/>
    </xf>
    <xf numFmtId="179" fontId="408" fillId="114" borderId="355" xfId="0" applyNumberFormat="1" applyFont="1" applyFill="1" applyBorder="1" applyAlignment="1">
      <alignment vertical="center"/>
    </xf>
    <xf numFmtId="0" fontId="390" fillId="3" borderId="253" xfId="0" applyNumberFormat="1" applyFont="1" applyFill="1" applyBorder="1" applyAlignment="1">
      <alignment vertical="center"/>
    </xf>
    <xf numFmtId="176" fontId="390" fillId="3" borderId="241" xfId="0" applyNumberFormat="1" applyFont="1" applyFill="1" applyBorder="1" applyAlignment="1">
      <alignment horizontal="left" vertical="center"/>
    </xf>
    <xf numFmtId="0" fontId="408" fillId="114" borderId="0" xfId="5" applyFont="1" applyFill="1" applyBorder="1" applyAlignment="1" applyProtection="1">
      <alignment vertical="center"/>
    </xf>
    <xf numFmtId="179" fontId="408" fillId="114" borderId="0" xfId="5" applyNumberFormat="1" applyFont="1" applyFill="1" applyBorder="1" applyAlignment="1" applyProtection="1">
      <alignment vertical="center"/>
    </xf>
    <xf numFmtId="0" fontId="408" fillId="114" borderId="375" xfId="0" applyFont="1" applyFill="1" applyBorder="1" applyAlignment="1">
      <alignment horizontal="center" vertical="center"/>
    </xf>
    <xf numFmtId="0" fontId="408" fillId="114" borderId="376" xfId="0" applyFont="1" applyFill="1" applyBorder="1" applyAlignment="1">
      <alignment horizontal="left" vertical="center" indent="1"/>
    </xf>
    <xf numFmtId="184" fontId="408" fillId="114" borderId="377" xfId="0" applyNumberFormat="1" applyFont="1" applyFill="1" applyBorder="1" applyAlignment="1">
      <alignment vertical="center"/>
    </xf>
    <xf numFmtId="176" fontId="390" fillId="114" borderId="0" xfId="0" applyNumberFormat="1" applyFont="1" applyFill="1" applyAlignment="1">
      <alignment vertical="center"/>
    </xf>
    <xf numFmtId="176" fontId="392" fillId="114" borderId="0" xfId="0" applyNumberFormat="1" applyFont="1" applyFill="1" applyBorder="1" applyAlignment="1">
      <alignment horizontal="center" vertical="center"/>
    </xf>
    <xf numFmtId="179" fontId="408" fillId="114" borderId="411" xfId="0" applyNumberFormat="1" applyFont="1" applyFill="1" applyBorder="1" applyAlignment="1">
      <alignment vertical="center"/>
    </xf>
    <xf numFmtId="0" fontId="391" fillId="0" borderId="253" xfId="0" applyNumberFormat="1" applyFont="1" applyBorder="1" applyAlignment="1">
      <alignment horizontal="center" vertical="center"/>
    </xf>
    <xf numFmtId="176" fontId="392" fillId="114" borderId="0" xfId="0" applyNumberFormat="1" applyFont="1" applyFill="1" applyBorder="1" applyAlignment="1">
      <alignment horizontal="left" vertical="center" indent="1"/>
    </xf>
    <xf numFmtId="176" fontId="392" fillId="114" borderId="224" xfId="0" applyNumberFormat="1" applyFont="1" applyFill="1" applyBorder="1" applyAlignment="1">
      <alignment vertical="center"/>
    </xf>
    <xf numFmtId="176" fontId="392" fillId="114" borderId="342" xfId="0" applyNumberFormat="1" applyFont="1" applyFill="1" applyBorder="1" applyAlignment="1">
      <alignment horizontal="left" vertical="center" indent="1"/>
    </xf>
    <xf numFmtId="0" fontId="392" fillId="114" borderId="341" xfId="0" applyNumberFormat="1" applyFont="1" applyFill="1" applyBorder="1" applyAlignment="1">
      <alignment horizontal="center" vertical="center"/>
    </xf>
    <xf numFmtId="41" fontId="407" fillId="114" borderId="224" xfId="0" applyNumberFormat="1" applyFont="1" applyFill="1" applyBorder="1" applyAlignment="1">
      <alignment vertical="center"/>
    </xf>
    <xf numFmtId="41" fontId="392" fillId="114" borderId="224" xfId="0" applyNumberFormat="1" applyFont="1" applyFill="1" applyBorder="1" applyAlignment="1">
      <alignment vertical="center"/>
    </xf>
    <xf numFmtId="176" fontId="390" fillId="114" borderId="0" xfId="0" applyNumberFormat="1" applyFont="1" applyFill="1" applyBorder="1" applyAlignment="1">
      <alignment vertical="center"/>
    </xf>
    <xf numFmtId="0" fontId="408" fillId="114" borderId="426" xfId="0" applyFont="1" applyFill="1" applyBorder="1" applyAlignment="1">
      <alignment horizontal="center" vertical="center"/>
    </xf>
    <xf numFmtId="0" fontId="408" fillId="114" borderId="427" xfId="0" applyFont="1" applyFill="1" applyBorder="1" applyAlignment="1">
      <alignment horizontal="left" vertical="center" indent="1"/>
    </xf>
    <xf numFmtId="179" fontId="408" fillId="114" borderId="428" xfId="0" applyNumberFormat="1" applyFont="1" applyFill="1" applyBorder="1" applyAlignment="1">
      <alignment vertical="center"/>
    </xf>
    <xf numFmtId="0" fontId="392" fillId="114" borderId="337" xfId="0" applyNumberFormat="1" applyFont="1" applyFill="1" applyBorder="1" applyAlignment="1">
      <alignment horizontal="center" vertical="center"/>
    </xf>
    <xf numFmtId="41" fontId="406" fillId="114" borderId="87" xfId="1" applyNumberFormat="1" applyFont="1" applyFill="1" applyBorder="1" applyAlignment="1">
      <alignment vertical="center"/>
    </xf>
    <xf numFmtId="0" fontId="408" fillId="114" borderId="394" xfId="0" applyFont="1" applyFill="1" applyBorder="1" applyAlignment="1">
      <alignment horizontal="center" vertical="center"/>
    </xf>
    <xf numFmtId="0" fontId="408" fillId="114" borderId="395" xfId="0" applyFont="1" applyFill="1" applyBorder="1" applyAlignment="1">
      <alignment horizontal="left" vertical="center" indent="1"/>
    </xf>
    <xf numFmtId="179" fontId="408" fillId="114" borderId="396" xfId="0" applyNumberFormat="1" applyFont="1" applyFill="1" applyBorder="1" applyAlignment="1">
      <alignment vertical="center"/>
    </xf>
    <xf numFmtId="41" fontId="406" fillId="114" borderId="0" xfId="1" applyNumberFormat="1" applyFont="1" applyFill="1" applyBorder="1" applyAlignment="1">
      <alignment vertical="center"/>
    </xf>
    <xf numFmtId="41" fontId="407" fillId="114" borderId="0" xfId="1" applyNumberFormat="1" applyFont="1" applyFill="1" applyBorder="1" applyAlignment="1">
      <alignment vertical="center"/>
    </xf>
    <xf numFmtId="184" fontId="392" fillId="114" borderId="0" xfId="0" applyNumberFormat="1" applyFont="1" applyFill="1" applyAlignment="1">
      <alignment vertical="center"/>
    </xf>
    <xf numFmtId="183" fontId="392" fillId="114" borderId="341" xfId="0" applyNumberFormat="1" applyFont="1" applyFill="1" applyBorder="1" applyAlignment="1">
      <alignment horizontal="center" vertical="center"/>
    </xf>
    <xf numFmtId="41" fontId="406" fillId="114" borderId="224" xfId="1" applyNumberFormat="1" applyFont="1" applyFill="1" applyBorder="1" applyAlignment="1">
      <alignment vertical="center"/>
    </xf>
    <xf numFmtId="41" fontId="407" fillId="114" borderId="224" xfId="1" applyNumberFormat="1" applyFont="1" applyFill="1" applyBorder="1" applyAlignment="1">
      <alignment vertical="center"/>
    </xf>
    <xf numFmtId="183" fontId="392" fillId="114" borderId="343" xfId="0" applyNumberFormat="1" applyFont="1" applyFill="1" applyBorder="1" applyAlignment="1">
      <alignment horizontal="center" vertical="center"/>
    </xf>
    <xf numFmtId="176" fontId="392" fillId="114" borderId="225" xfId="0" applyNumberFormat="1" applyFont="1" applyFill="1" applyBorder="1" applyAlignment="1">
      <alignment vertical="center"/>
    </xf>
    <xf numFmtId="41" fontId="406" fillId="114" borderId="225" xfId="1" applyNumberFormat="1" applyFont="1" applyFill="1" applyBorder="1" applyAlignment="1">
      <alignment vertical="center"/>
    </xf>
    <xf numFmtId="176" fontId="392" fillId="114" borderId="344" xfId="0" applyNumberFormat="1" applyFont="1" applyFill="1" applyBorder="1" applyAlignment="1">
      <alignment horizontal="left" vertical="center" indent="1"/>
    </xf>
    <xf numFmtId="0" fontId="392" fillId="114" borderId="224" xfId="0" applyFont="1" applyFill="1" applyBorder="1" applyAlignment="1">
      <alignment vertical="center"/>
    </xf>
    <xf numFmtId="41" fontId="406" fillId="114" borderId="86" xfId="1" applyNumberFormat="1" applyFont="1" applyFill="1" applyBorder="1" applyAlignment="1">
      <alignment vertical="center"/>
    </xf>
    <xf numFmtId="183" fontId="392" fillId="15" borderId="341" xfId="0" applyNumberFormat="1" applyFont="1" applyFill="1" applyBorder="1" applyAlignment="1">
      <alignment horizontal="center" vertical="center"/>
    </xf>
    <xf numFmtId="0" fontId="392" fillId="15" borderId="224" xfId="0" applyFont="1" applyFill="1" applyBorder="1" applyAlignment="1">
      <alignment vertical="center"/>
    </xf>
    <xf numFmtId="41" fontId="407" fillId="15" borderId="224" xfId="1" applyNumberFormat="1" applyFont="1" applyFill="1" applyBorder="1" applyAlignment="1">
      <alignment vertical="center"/>
    </xf>
    <xf numFmtId="41" fontId="406" fillId="15" borderId="224" xfId="1" applyNumberFormat="1" applyFont="1" applyFill="1" applyBorder="1" applyAlignment="1">
      <alignment vertical="center"/>
    </xf>
    <xf numFmtId="176" fontId="392" fillId="15" borderId="342" xfId="0" applyNumberFormat="1" applyFont="1" applyFill="1" applyBorder="1" applyAlignment="1">
      <alignment horizontal="left" vertical="center" indent="1"/>
    </xf>
    <xf numFmtId="183" fontId="392" fillId="15" borderId="335" xfId="0" applyNumberFormat="1" applyFont="1" applyFill="1" applyBorder="1" applyAlignment="1">
      <alignment horizontal="center" vertical="center"/>
    </xf>
    <xf numFmtId="0" fontId="392" fillId="15" borderId="0" xfId="0" applyFont="1" applyFill="1" applyBorder="1" applyAlignment="1">
      <alignment vertical="center"/>
    </xf>
    <xf numFmtId="41" fontId="406" fillId="15" borderId="0" xfId="1" applyNumberFormat="1" applyFont="1" applyFill="1" applyBorder="1" applyAlignment="1">
      <alignment vertical="center"/>
    </xf>
    <xf numFmtId="41" fontId="407" fillId="15" borderId="0" xfId="1" applyNumberFormat="1" applyFont="1" applyFill="1" applyBorder="1" applyAlignment="1">
      <alignment vertical="center"/>
    </xf>
    <xf numFmtId="176" fontId="392" fillId="15" borderId="336" xfId="0" applyNumberFormat="1" applyFont="1" applyFill="1" applyBorder="1" applyAlignment="1">
      <alignment horizontal="left" vertical="center" indent="1"/>
    </xf>
    <xf numFmtId="183" fontId="392" fillId="15" borderId="337" xfId="0" applyNumberFormat="1" applyFont="1" applyFill="1" applyBorder="1" applyAlignment="1">
      <alignment horizontal="center" vertical="center"/>
    </xf>
    <xf numFmtId="0" fontId="392" fillId="15" borderId="86" xfId="0" applyFont="1" applyFill="1" applyBorder="1" applyAlignment="1">
      <alignment vertical="center"/>
    </xf>
    <xf numFmtId="41" fontId="406" fillId="15" borderId="86" xfId="1" applyNumberFormat="1" applyFont="1" applyFill="1" applyBorder="1" applyAlignment="1">
      <alignment vertical="center"/>
    </xf>
    <xf numFmtId="41" fontId="407" fillId="15" borderId="86" xfId="1" applyNumberFormat="1" applyFont="1" applyFill="1" applyBorder="1" applyAlignment="1">
      <alignment vertical="center"/>
    </xf>
    <xf numFmtId="176" fontId="392" fillId="15" borderId="338" xfId="0" applyNumberFormat="1" applyFont="1" applyFill="1" applyBorder="1" applyAlignment="1">
      <alignment horizontal="left" vertical="center" indent="1"/>
    </xf>
    <xf numFmtId="183" fontId="392" fillId="15" borderId="339" xfId="0" applyNumberFormat="1" applyFont="1" applyFill="1" applyBorder="1" applyAlignment="1">
      <alignment horizontal="center" vertical="center"/>
    </xf>
    <xf numFmtId="176" fontId="392" fillId="15" borderId="87" xfId="0" applyNumberFormat="1" applyFont="1" applyFill="1" applyBorder="1" applyAlignment="1">
      <alignment vertical="center"/>
    </xf>
    <xf numFmtId="176" fontId="392" fillId="15" borderId="340" xfId="0" applyNumberFormat="1" applyFont="1" applyFill="1" applyBorder="1" applyAlignment="1">
      <alignment horizontal="left" vertical="center" indent="1"/>
    </xf>
    <xf numFmtId="176" fontId="392" fillId="15" borderId="0" xfId="0" applyNumberFormat="1" applyFont="1" applyFill="1" applyBorder="1" applyAlignment="1">
      <alignment vertical="center"/>
    </xf>
    <xf numFmtId="176" fontId="392" fillId="15" borderId="224" xfId="0" applyNumberFormat="1" applyFont="1" applyFill="1" applyBorder="1" applyAlignment="1">
      <alignment vertical="center"/>
    </xf>
    <xf numFmtId="183" fontId="392" fillId="15" borderId="345" xfId="0" applyNumberFormat="1" applyFont="1" applyFill="1" applyBorder="1" applyAlignment="1">
      <alignment horizontal="center" vertical="center"/>
    </xf>
    <xf numFmtId="176" fontId="392" fillId="15" borderId="346" xfId="0" applyNumberFormat="1" applyFont="1" applyFill="1" applyBorder="1" applyAlignment="1">
      <alignment vertical="center"/>
    </xf>
    <xf numFmtId="176" fontId="392" fillId="15" borderId="347" xfId="0" applyNumberFormat="1" applyFont="1" applyFill="1" applyBorder="1" applyAlignment="1">
      <alignment horizontal="left" vertical="center" indent="1"/>
    </xf>
    <xf numFmtId="0" fontId="392" fillId="0" borderId="241" xfId="0" applyFont="1" applyFill="1" applyBorder="1" applyAlignment="1">
      <alignment vertical="center"/>
    </xf>
    <xf numFmtId="0" fontId="392" fillId="0" borderId="241" xfId="0" applyFont="1" applyBorder="1" applyAlignment="1">
      <alignment vertical="center"/>
    </xf>
    <xf numFmtId="0" fontId="390" fillId="4" borderId="255" xfId="0" applyNumberFormat="1" applyFont="1" applyFill="1" applyBorder="1" applyAlignment="1">
      <alignment horizontal="center" vertical="center"/>
    </xf>
    <xf numFmtId="176" fontId="390" fillId="4" borderId="256" xfId="0" applyNumberFormat="1" applyFont="1" applyFill="1" applyBorder="1" applyAlignment="1">
      <alignment vertical="center"/>
    </xf>
    <xf numFmtId="176" fontId="390" fillId="4" borderId="257" xfId="0" applyNumberFormat="1" applyFont="1" applyFill="1" applyBorder="1" applyAlignment="1">
      <alignment vertical="center"/>
    </xf>
    <xf numFmtId="0" fontId="390" fillId="0" borderId="0" xfId="0" applyNumberFormat="1" applyFont="1" applyAlignment="1">
      <alignment vertical="center"/>
    </xf>
    <xf numFmtId="0" fontId="392" fillId="0" borderId="0" xfId="0" applyNumberFormat="1" applyFont="1" applyAlignment="1">
      <alignment vertical="center"/>
    </xf>
    <xf numFmtId="0" fontId="391" fillId="0" borderId="0" xfId="0" applyNumberFormat="1" applyFont="1" applyAlignment="1">
      <alignment vertical="center"/>
    </xf>
    <xf numFmtId="0" fontId="389" fillId="5" borderId="250" xfId="0" applyNumberFormat="1" applyFont="1" applyFill="1" applyBorder="1" applyAlignment="1">
      <alignment horizontal="center" vertical="center" wrapText="1"/>
    </xf>
    <xf numFmtId="176" fontId="390" fillId="2" borderId="241" xfId="0" applyNumberFormat="1" applyFont="1" applyFill="1" applyBorder="1" applyAlignment="1">
      <alignment horizontal="left" vertical="center"/>
    </xf>
    <xf numFmtId="176" fontId="390" fillId="2" borderId="241" xfId="0" applyNumberFormat="1" applyFont="1" applyFill="1" applyBorder="1" applyAlignment="1">
      <alignment horizontal="right" vertical="center"/>
    </xf>
    <xf numFmtId="176" fontId="390" fillId="2" borderId="254" xfId="0" applyNumberFormat="1" applyFont="1" applyFill="1" applyBorder="1" applyAlignment="1">
      <alignment horizontal="right" vertical="center"/>
    </xf>
    <xf numFmtId="176" fontId="392" fillId="0" borderId="254" xfId="0" applyNumberFormat="1" applyFont="1" applyFill="1" applyBorder="1" applyAlignment="1">
      <alignment vertical="center"/>
    </xf>
    <xf numFmtId="0" fontId="392" fillId="0" borderId="255" xfId="0" applyNumberFormat="1" applyFont="1" applyBorder="1" applyAlignment="1">
      <alignment horizontal="center" vertical="center"/>
    </xf>
    <xf numFmtId="176" fontId="392" fillId="0" borderId="256" xfId="0" applyNumberFormat="1" applyFont="1" applyBorder="1" applyAlignment="1">
      <alignment vertical="center"/>
    </xf>
    <xf numFmtId="176" fontId="392" fillId="0" borderId="257" xfId="0" applyNumberFormat="1" applyFont="1" applyBorder="1" applyAlignment="1">
      <alignment vertical="center"/>
    </xf>
    <xf numFmtId="176" fontId="393" fillId="6" borderId="16" xfId="0" applyNumberFormat="1" applyFont="1" applyFill="1" applyBorder="1" applyAlignment="1">
      <alignment horizontal="left" vertical="center"/>
    </xf>
    <xf numFmtId="176" fontId="393" fillId="6" borderId="84" xfId="0" applyNumberFormat="1" applyFont="1" applyFill="1" applyBorder="1" applyAlignment="1">
      <alignment horizontal="left" vertical="center" wrapText="1"/>
    </xf>
    <xf numFmtId="176" fontId="393" fillId="6" borderId="1" xfId="0" applyNumberFormat="1" applyFont="1" applyFill="1" applyBorder="1" applyAlignment="1">
      <alignment horizontal="center" vertical="center" wrapText="1"/>
    </xf>
    <xf numFmtId="176" fontId="393" fillId="6" borderId="17" xfId="0" applyNumberFormat="1" applyFont="1" applyFill="1" applyBorder="1" applyAlignment="1">
      <alignment horizontal="center" vertical="center" wrapText="1"/>
    </xf>
    <xf numFmtId="176" fontId="393" fillId="6" borderId="121" xfId="0" applyNumberFormat="1" applyFont="1" applyFill="1" applyBorder="1" applyAlignment="1">
      <alignment horizontal="center" vertical="center" wrapText="1"/>
    </xf>
    <xf numFmtId="176" fontId="393" fillId="6" borderId="84" xfId="0" applyNumberFormat="1" applyFont="1" applyFill="1" applyBorder="1" applyAlignment="1">
      <alignment horizontal="center" vertical="center" wrapText="1"/>
    </xf>
    <xf numFmtId="176" fontId="393" fillId="6" borderId="232" xfId="0" applyNumberFormat="1" applyFont="1" applyFill="1" applyBorder="1" applyAlignment="1">
      <alignment horizontal="center" vertical="center" wrapText="1"/>
    </xf>
    <xf numFmtId="176" fontId="393" fillId="6" borderId="233" xfId="0" applyNumberFormat="1" applyFont="1" applyFill="1" applyBorder="1" applyAlignment="1">
      <alignment horizontal="center" vertical="center" wrapText="1"/>
    </xf>
    <xf numFmtId="176" fontId="393" fillId="6" borderId="235" xfId="0" applyNumberFormat="1" applyFont="1" applyFill="1" applyBorder="1" applyAlignment="1">
      <alignment horizontal="center" vertical="center" wrapText="1"/>
    </xf>
    <xf numFmtId="176" fontId="393" fillId="6" borderId="230" xfId="0" applyNumberFormat="1" applyFont="1" applyFill="1" applyBorder="1" applyAlignment="1">
      <alignment horizontal="center" vertical="center" wrapText="1"/>
    </xf>
    <xf numFmtId="176" fontId="406" fillId="0" borderId="0" xfId="0" applyNumberFormat="1" applyFont="1" applyFill="1" applyAlignment="1">
      <alignment vertical="center"/>
    </xf>
    <xf numFmtId="176" fontId="392" fillId="0" borderId="84" xfId="0" applyNumberFormat="1" applyFont="1" applyBorder="1" applyAlignment="1">
      <alignment horizontal="left" vertical="center" indent="1"/>
    </xf>
    <xf numFmtId="176" fontId="392" fillId="0" borderId="235" xfId="0" applyNumberFormat="1" applyFont="1" applyBorder="1" applyAlignment="1">
      <alignment vertical="center"/>
    </xf>
    <xf numFmtId="176" fontId="393" fillId="6" borderId="84" xfId="0" applyNumberFormat="1" applyFont="1" applyFill="1" applyBorder="1" applyAlignment="1">
      <alignment horizontal="left" vertical="center" wrapText="1" indent="1"/>
    </xf>
    <xf numFmtId="176" fontId="392" fillId="0" borderId="84" xfId="0" applyNumberFormat="1" applyFont="1" applyFill="1" applyBorder="1" applyAlignment="1">
      <alignment horizontal="left" vertical="center" indent="1"/>
    </xf>
    <xf numFmtId="176" fontId="392" fillId="0" borderId="84" xfId="0" applyNumberFormat="1" applyFont="1" applyBorder="1" applyAlignment="1">
      <alignment horizontal="left" vertical="center"/>
    </xf>
    <xf numFmtId="176" fontId="392" fillId="0" borderId="18" xfId="0" applyNumberFormat="1" applyFont="1" applyBorder="1" applyAlignment="1">
      <alignment vertical="center"/>
    </xf>
    <xf numFmtId="176" fontId="392" fillId="0" borderId="85" xfId="0" applyNumberFormat="1" applyFont="1" applyBorder="1" applyAlignment="1">
      <alignment horizontal="left" vertical="center"/>
    </xf>
    <xf numFmtId="176" fontId="392" fillId="0" borderId="85" xfId="0" applyNumberFormat="1" applyFont="1" applyBorder="1" applyAlignment="1">
      <alignment vertical="center"/>
    </xf>
    <xf numFmtId="176" fontId="392" fillId="0" borderId="234" xfId="0" applyNumberFormat="1" applyFont="1" applyBorder="1" applyAlignment="1">
      <alignment vertical="center"/>
    </xf>
    <xf numFmtId="176" fontId="392" fillId="0" borderId="239" xfId="0" applyNumberFormat="1" applyFont="1" applyBorder="1" applyAlignment="1">
      <alignment vertical="center"/>
    </xf>
    <xf numFmtId="176" fontId="392" fillId="0" borderId="0" xfId="0" applyNumberFormat="1" applyFont="1" applyAlignment="1">
      <alignment horizontal="left" vertical="center"/>
    </xf>
    <xf numFmtId="176" fontId="390" fillId="6" borderId="16" xfId="0" applyNumberFormat="1" applyFont="1" applyFill="1" applyBorder="1" applyAlignment="1">
      <alignment vertical="center"/>
    </xf>
    <xf numFmtId="176" fontId="392" fillId="6" borderId="1" xfId="0" applyNumberFormat="1" applyFont="1" applyFill="1" applyBorder="1" applyAlignment="1">
      <alignment vertical="center"/>
    </xf>
    <xf numFmtId="176" fontId="392" fillId="6" borderId="84" xfId="0" applyNumberFormat="1" applyFont="1" applyFill="1" applyBorder="1" applyAlignment="1">
      <alignment vertical="center"/>
    </xf>
    <xf numFmtId="176" fontId="392" fillId="6" borderId="118" xfId="0" applyNumberFormat="1" applyFont="1" applyFill="1" applyBorder="1" applyAlignment="1">
      <alignment vertical="center"/>
    </xf>
    <xf numFmtId="176" fontId="392" fillId="6" borderId="17" xfId="0" applyNumberFormat="1" applyFont="1" applyFill="1" applyBorder="1" applyAlignment="1">
      <alignment vertical="center"/>
    </xf>
    <xf numFmtId="176" fontId="392" fillId="6" borderId="232" xfId="0" applyNumberFormat="1" applyFont="1" applyFill="1" applyBorder="1" applyAlignment="1">
      <alignment vertical="center"/>
    </xf>
    <xf numFmtId="176" fontId="392" fillId="6" borderId="233" xfId="0" applyNumberFormat="1" applyFont="1" applyFill="1" applyBorder="1" applyAlignment="1">
      <alignment vertical="center"/>
    </xf>
    <xf numFmtId="176" fontId="392" fillId="6" borderId="230" xfId="0" applyNumberFormat="1" applyFont="1" applyFill="1" applyBorder="1" applyAlignment="1">
      <alignment vertical="center"/>
    </xf>
    <xf numFmtId="176" fontId="392" fillId="0" borderId="118" xfId="0" applyNumberFormat="1" applyFont="1" applyBorder="1" applyAlignment="1">
      <alignment vertical="center"/>
    </xf>
    <xf numFmtId="176" fontId="392" fillId="0" borderId="16" xfId="0" quotePrefix="1" applyNumberFormat="1" applyFont="1" applyBorder="1" applyAlignment="1">
      <alignment horizontal="center" vertical="center"/>
    </xf>
    <xf numFmtId="176" fontId="392" fillId="6" borderId="1" xfId="0" applyNumberFormat="1" applyFont="1" applyFill="1" applyBorder="1" applyAlignment="1">
      <alignment horizontal="left" vertical="center" indent="1"/>
    </xf>
    <xf numFmtId="176" fontId="390" fillId="6" borderId="233" xfId="0" applyNumberFormat="1" applyFont="1" applyFill="1" applyBorder="1" applyAlignment="1">
      <alignment vertical="center"/>
    </xf>
    <xf numFmtId="176" fontId="390" fillId="6" borderId="230" xfId="0" applyNumberFormat="1" applyFont="1" applyFill="1" applyBorder="1" applyAlignment="1">
      <alignment vertical="center"/>
    </xf>
    <xf numFmtId="176" fontId="390" fillId="6" borderId="232" xfId="0" applyNumberFormat="1" applyFont="1" applyFill="1" applyBorder="1" applyAlignment="1">
      <alignment vertical="center"/>
    </xf>
    <xf numFmtId="176" fontId="390" fillId="6" borderId="16" xfId="0" applyNumberFormat="1" applyFont="1" applyFill="1" applyBorder="1" applyAlignment="1">
      <alignment horizontal="left" vertical="center"/>
    </xf>
    <xf numFmtId="176" fontId="390" fillId="6" borderId="1" xfId="0" applyNumberFormat="1" applyFont="1" applyFill="1" applyBorder="1" applyAlignment="1">
      <alignment horizontal="left" vertical="center" indent="1"/>
    </xf>
    <xf numFmtId="176" fontId="392" fillId="0" borderId="119" xfId="0" applyNumberFormat="1" applyFont="1" applyBorder="1" applyAlignment="1">
      <alignment vertical="center"/>
    </xf>
    <xf numFmtId="176" fontId="408" fillId="0" borderId="0" xfId="0" applyNumberFormat="1" applyFont="1" applyBorder="1" applyAlignment="1">
      <alignment horizontal="center" vertical="center"/>
    </xf>
    <xf numFmtId="0" fontId="408" fillId="0" borderId="0" xfId="0" applyNumberFormat="1" applyFont="1" applyBorder="1" applyAlignment="1">
      <alignment horizontal="center" vertical="center"/>
    </xf>
    <xf numFmtId="176" fontId="408" fillId="0" borderId="0" xfId="0" applyNumberFormat="1" applyFont="1" applyBorder="1" applyAlignment="1">
      <alignment horizontal="left" vertical="center"/>
    </xf>
    <xf numFmtId="176" fontId="409" fillId="0" borderId="0" xfId="0" applyNumberFormat="1" applyFont="1" applyBorder="1" applyAlignment="1">
      <alignment horizontal="center" vertical="center"/>
    </xf>
    <xf numFmtId="0" fontId="409" fillId="0" borderId="0" xfId="0" applyNumberFormat="1" applyFont="1" applyBorder="1" applyAlignment="1">
      <alignment horizontal="center" vertical="center"/>
    </xf>
    <xf numFmtId="176" fontId="409" fillId="0" borderId="0" xfId="0" applyNumberFormat="1" applyFont="1" applyBorder="1" applyAlignment="1">
      <alignment horizontal="left" vertical="center"/>
    </xf>
    <xf numFmtId="0" fontId="389" fillId="5" borderId="303" xfId="0" applyNumberFormat="1" applyFont="1" applyFill="1" applyBorder="1" applyAlignment="1">
      <alignment horizontal="center" vertical="center"/>
    </xf>
    <xf numFmtId="176" fontId="389" fillId="29" borderId="304" xfId="0" applyNumberFormat="1" applyFont="1" applyFill="1" applyBorder="1" applyAlignment="1">
      <alignment horizontal="center" vertical="center"/>
    </xf>
    <xf numFmtId="176" fontId="408" fillId="114" borderId="305" xfId="0" applyNumberFormat="1" applyFont="1" applyFill="1" applyBorder="1" applyAlignment="1">
      <alignment horizontal="center" vertical="center"/>
    </xf>
    <xf numFmtId="0" fontId="410" fillId="114" borderId="241" xfId="4" applyNumberFormat="1" applyFont="1" applyFill="1" applyBorder="1" applyAlignment="1">
      <alignment horizontal="center" vertical="center"/>
    </xf>
    <xf numFmtId="176" fontId="392" fillId="114" borderId="241" xfId="0" applyNumberFormat="1" applyFont="1" applyFill="1" applyBorder="1" applyAlignment="1">
      <alignment horizontal="center" vertical="center"/>
    </xf>
    <xf numFmtId="176" fontId="392" fillId="114" borderId="306" xfId="0" applyNumberFormat="1" applyFont="1" applyFill="1" applyBorder="1" applyAlignment="1">
      <alignment horizontal="right" vertical="center"/>
    </xf>
    <xf numFmtId="176" fontId="410" fillId="114" borderId="241" xfId="4" applyNumberFormat="1" applyFont="1" applyFill="1" applyBorder="1" applyAlignment="1">
      <alignment horizontal="left" vertical="center" indent="1"/>
    </xf>
    <xf numFmtId="0" fontId="392" fillId="114" borderId="241" xfId="0" applyFont="1" applyFill="1" applyBorder="1" applyAlignment="1">
      <alignment horizontal="center" vertical="center"/>
    </xf>
    <xf numFmtId="181" fontId="392" fillId="114" borderId="241" xfId="0" applyNumberFormat="1" applyFont="1" applyFill="1" applyBorder="1" applyAlignment="1">
      <alignment horizontal="left" vertical="center" indent="1"/>
    </xf>
    <xf numFmtId="181" fontId="392" fillId="114" borderId="241" xfId="0" applyNumberFormat="1" applyFont="1" applyFill="1" applyBorder="1" applyAlignment="1">
      <alignment horizontal="center" vertical="center"/>
    </xf>
    <xf numFmtId="176" fontId="391" fillId="114" borderId="305" xfId="0" applyNumberFormat="1" applyFont="1" applyFill="1" applyBorder="1" applyAlignment="1">
      <alignment horizontal="center" vertical="center"/>
    </xf>
    <xf numFmtId="0" fontId="391" fillId="114" borderId="241" xfId="4" applyNumberFormat="1" applyFont="1" applyFill="1" applyBorder="1" applyAlignment="1">
      <alignment horizontal="center" vertical="center"/>
    </xf>
    <xf numFmtId="0" fontId="408" fillId="114" borderId="241" xfId="0" applyNumberFormat="1" applyFont="1" applyFill="1" applyBorder="1" applyAlignment="1">
      <alignment horizontal="center" vertical="center"/>
    </xf>
    <xf numFmtId="176" fontId="408" fillId="114" borderId="241" xfId="0" applyNumberFormat="1" applyFont="1" applyFill="1" applyBorder="1" applyAlignment="1">
      <alignment horizontal="left" vertical="center" indent="1"/>
    </xf>
    <xf numFmtId="176" fontId="408" fillId="114" borderId="366" xfId="0" applyNumberFormat="1" applyFont="1" applyFill="1" applyBorder="1" applyAlignment="1">
      <alignment horizontal="center" vertical="center"/>
    </xf>
    <xf numFmtId="176" fontId="408" fillId="114" borderId="367" xfId="0" applyNumberFormat="1" applyFont="1" applyFill="1" applyBorder="1" applyAlignment="1">
      <alignment horizontal="left" vertical="center" indent="1"/>
    </xf>
    <xf numFmtId="176" fontId="392" fillId="114" borderId="367" xfId="0" applyNumberFormat="1" applyFont="1" applyFill="1" applyBorder="1" applyAlignment="1">
      <alignment horizontal="center" vertical="center"/>
    </xf>
    <xf numFmtId="176" fontId="392" fillId="114" borderId="389" xfId="0" applyNumberFormat="1" applyFont="1" applyFill="1" applyBorder="1" applyAlignment="1">
      <alignment horizontal="right" vertical="center"/>
    </xf>
    <xf numFmtId="176" fontId="408" fillId="0" borderId="0" xfId="0" applyNumberFormat="1" applyFont="1" applyBorder="1" applyAlignment="1">
      <alignment vertical="center"/>
    </xf>
    <xf numFmtId="176" fontId="408" fillId="0" borderId="0" xfId="0" applyNumberFormat="1" applyFont="1" applyBorder="1" applyAlignment="1">
      <alignment horizontal="right" vertical="center"/>
    </xf>
    <xf numFmtId="0" fontId="406" fillId="0" borderId="0" xfId="0" applyNumberFormat="1" applyFont="1" applyAlignment="1">
      <alignment horizontal="center" vertical="center"/>
    </xf>
    <xf numFmtId="176" fontId="406" fillId="0" borderId="0" xfId="0" applyNumberFormat="1" applyFont="1" applyAlignment="1">
      <alignment vertical="center"/>
    </xf>
    <xf numFmtId="343" fontId="411" fillId="0" borderId="0" xfId="7981" applyNumberFormat="1" applyFont="1" applyBorder="1" applyAlignment="1" applyProtection="1">
      <alignment vertical="center" wrapText="1"/>
    </xf>
    <xf numFmtId="0" fontId="391" fillId="0" borderId="0" xfId="0" applyNumberFormat="1" applyFont="1" applyAlignment="1">
      <alignment horizontal="center" vertical="center"/>
    </xf>
    <xf numFmtId="0" fontId="389" fillId="5" borderId="50" xfId="0" applyNumberFormat="1" applyFont="1" applyFill="1" applyBorder="1" applyAlignment="1">
      <alignment horizontal="center" vertical="center"/>
    </xf>
    <xf numFmtId="176" fontId="389" fillId="5" borderId="51" xfId="0" applyNumberFormat="1" applyFont="1" applyFill="1" applyBorder="1" applyAlignment="1">
      <alignment horizontal="center" vertical="center"/>
    </xf>
    <xf numFmtId="176" fontId="389" fillId="5" borderId="52" xfId="0" applyNumberFormat="1" applyFont="1" applyFill="1" applyBorder="1" applyAlignment="1">
      <alignment horizontal="center" vertical="center"/>
    </xf>
    <xf numFmtId="176" fontId="393" fillId="0" borderId="61" xfId="0" applyNumberFormat="1" applyFont="1" applyBorder="1" applyAlignment="1">
      <alignment horizontal="center" vertical="center"/>
    </xf>
    <xf numFmtId="176" fontId="393" fillId="0" borderId="77" xfId="0" applyNumberFormat="1" applyFont="1" applyBorder="1" applyAlignment="1">
      <alignment horizontal="center" vertical="center"/>
    </xf>
    <xf numFmtId="176" fontId="390" fillId="0" borderId="62" xfId="0" applyNumberFormat="1" applyFont="1" applyBorder="1" applyAlignment="1">
      <alignment horizontal="center" vertical="center"/>
    </xf>
    <xf numFmtId="0" fontId="393" fillId="2" borderId="53" xfId="0" applyNumberFormat="1" applyFont="1" applyFill="1" applyBorder="1" applyAlignment="1">
      <alignment horizontal="center" vertical="center"/>
    </xf>
    <xf numFmtId="176" fontId="393" fillId="2" borderId="0" xfId="0" applyNumberFormat="1" applyFont="1" applyFill="1" applyBorder="1" applyAlignment="1">
      <alignment vertical="center"/>
    </xf>
    <xf numFmtId="176" fontId="393" fillId="2" borderId="54" xfId="0" applyNumberFormat="1" applyFont="1" applyFill="1" applyBorder="1" applyAlignment="1">
      <alignment vertical="center"/>
    </xf>
    <xf numFmtId="41" fontId="393" fillId="0" borderId="53" xfId="0" applyNumberFormat="1" applyFont="1" applyBorder="1" applyAlignment="1">
      <alignment vertical="center"/>
    </xf>
    <xf numFmtId="176" fontId="406" fillId="0" borderId="0" xfId="0" applyNumberFormat="1" applyFont="1" applyBorder="1" applyAlignment="1">
      <alignment vertical="center"/>
    </xf>
    <xf numFmtId="176" fontId="392" fillId="0" borderId="54" xfId="0" applyNumberFormat="1" applyFont="1" applyBorder="1" applyAlignment="1">
      <alignment horizontal="center" vertical="center"/>
    </xf>
    <xf numFmtId="0" fontId="393" fillId="116" borderId="53" xfId="0" applyNumberFormat="1" applyFont="1" applyFill="1" applyBorder="1" applyAlignment="1">
      <alignment horizontal="center" vertical="center"/>
    </xf>
    <xf numFmtId="176" fontId="393" fillId="116" borderId="0" xfId="0" applyNumberFormat="1" applyFont="1" applyFill="1" applyBorder="1" applyAlignment="1">
      <alignment vertical="center"/>
    </xf>
    <xf numFmtId="176" fontId="393" fillId="116" borderId="54" xfId="0" applyNumberFormat="1" applyFont="1" applyFill="1" applyBorder="1" applyAlignment="1">
      <alignment vertical="center"/>
    </xf>
    <xf numFmtId="0" fontId="406" fillId="0" borderId="53" xfId="0" applyNumberFormat="1" applyFont="1" applyBorder="1" applyAlignment="1">
      <alignment horizontal="center" vertical="center"/>
    </xf>
    <xf numFmtId="176" fontId="406" fillId="0" borderId="54" xfId="0" applyNumberFormat="1" applyFont="1" applyBorder="1" applyAlignment="1">
      <alignment vertical="center"/>
    </xf>
    <xf numFmtId="0" fontId="393" fillId="6" borderId="53" xfId="0" applyNumberFormat="1" applyFont="1" applyFill="1" applyBorder="1" applyAlignment="1">
      <alignment horizontal="center" vertical="center"/>
    </xf>
    <xf numFmtId="176" fontId="393" fillId="6" borderId="0" xfId="0" applyNumberFormat="1" applyFont="1" applyFill="1" applyBorder="1" applyAlignment="1">
      <alignment vertical="center"/>
    </xf>
    <xf numFmtId="176" fontId="393" fillId="6" borderId="54" xfId="0" applyNumberFormat="1" applyFont="1" applyFill="1" applyBorder="1" applyAlignment="1">
      <alignment vertical="center"/>
    </xf>
    <xf numFmtId="0" fontId="406" fillId="114" borderId="53" xfId="0" applyNumberFormat="1" applyFont="1" applyFill="1" applyBorder="1" applyAlignment="1">
      <alignment horizontal="center" vertical="center"/>
    </xf>
    <xf numFmtId="176" fontId="406" fillId="114" borderId="0" xfId="0" applyNumberFormat="1" applyFont="1" applyFill="1" applyBorder="1" applyAlignment="1">
      <alignment vertical="center"/>
    </xf>
    <xf numFmtId="176" fontId="406" fillId="114" borderId="54" xfId="0" applyNumberFormat="1" applyFont="1" applyFill="1" applyBorder="1" applyAlignment="1">
      <alignment vertical="center"/>
    </xf>
    <xf numFmtId="41" fontId="393" fillId="0" borderId="53" xfId="0" applyNumberFormat="1" applyFont="1" applyFill="1" applyBorder="1" applyAlignment="1">
      <alignment vertical="center"/>
    </xf>
    <xf numFmtId="176" fontId="392" fillId="0" borderId="54" xfId="0" applyNumberFormat="1" applyFont="1" applyFill="1" applyBorder="1" applyAlignment="1">
      <alignment horizontal="center" vertical="center"/>
    </xf>
    <xf numFmtId="176" fontId="393" fillId="0" borderId="53" xfId="0" applyNumberFormat="1" applyFont="1" applyFill="1" applyBorder="1" applyAlignment="1">
      <alignment vertical="center"/>
    </xf>
    <xf numFmtId="0" fontId="406" fillId="114" borderId="53" xfId="0" applyFont="1" applyFill="1" applyBorder="1" applyAlignment="1">
      <alignment horizontal="center" vertical="center"/>
    </xf>
    <xf numFmtId="0" fontId="406" fillId="114" borderId="0" xfId="0" applyFont="1" applyFill="1" applyBorder="1" applyAlignment="1">
      <alignment vertical="center"/>
    </xf>
    <xf numFmtId="176" fontId="406" fillId="0" borderId="0" xfId="0" applyNumberFormat="1" applyFont="1" applyFill="1" applyBorder="1" applyAlignment="1">
      <alignment vertical="center"/>
    </xf>
    <xf numFmtId="0" fontId="406" fillId="0" borderId="53" xfId="0" applyNumberFormat="1" applyFont="1" applyFill="1" applyBorder="1" applyAlignment="1">
      <alignment horizontal="center" vertical="center"/>
    </xf>
    <xf numFmtId="176" fontId="406" fillId="0" borderId="54" xfId="0" applyNumberFormat="1" applyFont="1" applyFill="1" applyBorder="1" applyAlignment="1">
      <alignment vertical="center"/>
    </xf>
    <xf numFmtId="41" fontId="393" fillId="114" borderId="53" xfId="0" applyNumberFormat="1" applyFont="1" applyFill="1" applyBorder="1" applyAlignment="1">
      <alignment vertical="center"/>
    </xf>
    <xf numFmtId="176" fontId="392" fillId="114" borderId="54" xfId="0" applyNumberFormat="1" applyFont="1" applyFill="1" applyBorder="1" applyAlignment="1">
      <alignment horizontal="center" vertical="center"/>
    </xf>
    <xf numFmtId="0" fontId="406" fillId="6" borderId="53" xfId="0" applyNumberFormat="1" applyFont="1" applyFill="1" applyBorder="1" applyAlignment="1">
      <alignment horizontal="center" vertical="center"/>
    </xf>
    <xf numFmtId="176" fontId="406" fillId="6" borderId="0" xfId="0" applyNumberFormat="1" applyFont="1" applyFill="1" applyBorder="1" applyAlignment="1">
      <alignment vertical="center"/>
    </xf>
    <xf numFmtId="176" fontId="406" fillId="6" borderId="54" xfId="0" applyNumberFormat="1" applyFont="1" applyFill="1" applyBorder="1" applyAlignment="1">
      <alignment vertical="center"/>
    </xf>
    <xf numFmtId="0" fontId="406" fillId="0" borderId="55" xfId="0" applyNumberFormat="1" applyFont="1" applyBorder="1" applyAlignment="1">
      <alignment horizontal="center" vertical="center"/>
    </xf>
    <xf numFmtId="176" fontId="406" fillId="0" borderId="56" xfId="0" applyNumberFormat="1" applyFont="1" applyBorder="1" applyAlignment="1">
      <alignment vertical="center"/>
    </xf>
    <xf numFmtId="349" fontId="406" fillId="0" borderId="0" xfId="0" applyNumberFormat="1" applyFont="1" applyBorder="1" applyAlignment="1">
      <alignment vertical="center"/>
    </xf>
    <xf numFmtId="176" fontId="406" fillId="0" borderId="57" xfId="0" applyNumberFormat="1" applyFont="1" applyBorder="1" applyAlignment="1">
      <alignment vertical="center"/>
    </xf>
    <xf numFmtId="41" fontId="393" fillId="0" borderId="55" xfId="0" applyNumberFormat="1" applyFont="1" applyBorder="1" applyAlignment="1">
      <alignment vertical="center"/>
    </xf>
    <xf numFmtId="176" fontId="406" fillId="0" borderId="222" xfId="0" applyNumberFormat="1" applyFont="1" applyBorder="1" applyAlignment="1">
      <alignment vertical="center"/>
    </xf>
    <xf numFmtId="176" fontId="392" fillId="0" borderId="57" xfId="0" applyNumberFormat="1" applyFont="1" applyBorder="1" applyAlignment="1">
      <alignment horizontal="center" vertical="center"/>
    </xf>
    <xf numFmtId="0" fontId="406" fillId="0" borderId="61" xfId="0" applyNumberFormat="1" applyFont="1" applyBorder="1" applyAlignment="1">
      <alignment horizontal="center" vertical="center"/>
    </xf>
    <xf numFmtId="176" fontId="406" fillId="0" borderId="77" xfId="0" applyNumberFormat="1" applyFont="1" applyBorder="1" applyAlignment="1">
      <alignment vertical="center"/>
    </xf>
    <xf numFmtId="176" fontId="406" fillId="0" borderId="62" xfId="0" applyNumberFormat="1" applyFont="1" applyBorder="1" applyAlignment="1">
      <alignment vertical="center"/>
    </xf>
    <xf numFmtId="176" fontId="389" fillId="29" borderId="303" xfId="0" applyNumberFormat="1" applyFont="1" applyFill="1" applyBorder="1" applyAlignment="1">
      <alignment horizontal="center" vertical="center" wrapText="1"/>
    </xf>
    <xf numFmtId="176" fontId="398" fillId="2" borderId="305" xfId="0" applyNumberFormat="1" applyFont="1" applyFill="1" applyBorder="1" applyAlignment="1">
      <alignment horizontal="left" vertical="center" wrapText="1" indent="1"/>
    </xf>
    <xf numFmtId="176" fontId="398" fillId="2" borderId="241" xfId="0" applyNumberFormat="1" applyFont="1" applyFill="1" applyBorder="1" applyAlignment="1">
      <alignment horizontal="left" vertical="center" wrapText="1" indent="1"/>
    </xf>
    <xf numFmtId="176" fontId="398" fillId="2" borderId="241" xfId="0" applyNumberFormat="1" applyFont="1" applyFill="1" applyBorder="1" applyAlignment="1">
      <alignment horizontal="right" vertical="center" wrapText="1"/>
    </xf>
    <xf numFmtId="176" fontId="398" fillId="2" borderId="306" xfId="0" applyNumberFormat="1" applyFont="1" applyFill="1" applyBorder="1" applyAlignment="1">
      <alignment horizontal="right" vertical="center" wrapText="1"/>
    </xf>
    <xf numFmtId="176" fontId="398" fillId="6" borderId="305" xfId="0" applyNumberFormat="1" applyFont="1" applyFill="1" applyBorder="1" applyAlignment="1">
      <alignment horizontal="left" vertical="center" wrapText="1" indent="1"/>
    </xf>
    <xf numFmtId="176" fontId="398" fillId="6" borderId="241" xfId="0" applyNumberFormat="1" applyFont="1" applyFill="1" applyBorder="1" applyAlignment="1">
      <alignment horizontal="left" vertical="center" wrapText="1" indent="1"/>
    </xf>
    <xf numFmtId="176" fontId="398" fillId="6" borderId="241" xfId="0" applyNumberFormat="1" applyFont="1" applyFill="1" applyBorder="1" applyAlignment="1">
      <alignment horizontal="right" vertical="center" wrapText="1"/>
    </xf>
    <xf numFmtId="176" fontId="398" fillId="6" borderId="306" xfId="0" applyNumberFormat="1" applyFont="1" applyFill="1" applyBorder="1" applyAlignment="1">
      <alignment horizontal="right" vertical="center" wrapText="1"/>
    </xf>
    <xf numFmtId="176" fontId="398" fillId="3" borderId="305" xfId="0" applyNumberFormat="1" applyFont="1" applyFill="1" applyBorder="1" applyAlignment="1">
      <alignment horizontal="left" vertical="center" wrapText="1" indent="1"/>
    </xf>
    <xf numFmtId="0" fontId="398" fillId="3" borderId="241" xfId="0" applyFont="1" applyFill="1" applyBorder="1" applyAlignment="1">
      <alignment horizontal="left" vertical="center" wrapText="1" indent="1"/>
    </xf>
    <xf numFmtId="176" fontId="398" fillId="3" borderId="241" xfId="0" applyNumberFormat="1" applyFont="1" applyFill="1" applyBorder="1" applyAlignment="1">
      <alignment horizontal="right" vertical="center" wrapText="1"/>
    </xf>
    <xf numFmtId="176" fontId="398" fillId="3" borderId="241" xfId="0" applyNumberFormat="1" applyFont="1" applyFill="1" applyBorder="1" applyAlignment="1">
      <alignment horizontal="left" vertical="center" wrapText="1" indent="1"/>
    </xf>
    <xf numFmtId="176" fontId="399" fillId="0" borderId="305" xfId="0" applyNumberFormat="1" applyFont="1" applyBorder="1" applyAlignment="1">
      <alignment horizontal="left" vertical="center" wrapText="1" indent="1"/>
    </xf>
    <xf numFmtId="176" fontId="399" fillId="0" borderId="241" xfId="0" applyNumberFormat="1" applyFont="1" applyBorder="1" applyAlignment="1">
      <alignment horizontal="left" vertical="center" wrapText="1" indent="1"/>
    </xf>
    <xf numFmtId="176" fontId="399" fillId="0" borderId="241" xfId="0" applyNumberFormat="1" applyFont="1" applyBorder="1" applyAlignment="1">
      <alignment horizontal="right" vertical="center" wrapText="1"/>
    </xf>
    <xf numFmtId="176" fontId="399" fillId="114" borderId="305" xfId="0" applyNumberFormat="1" applyFont="1" applyFill="1" applyBorder="1" applyAlignment="1">
      <alignment horizontal="left" vertical="center" wrapText="1" indent="1"/>
    </xf>
    <xf numFmtId="176" fontId="399" fillId="114" borderId="241" xfId="0" applyNumberFormat="1" applyFont="1" applyFill="1" applyBorder="1" applyAlignment="1">
      <alignment horizontal="left" vertical="center" wrapText="1" indent="1"/>
    </xf>
    <xf numFmtId="176" fontId="399" fillId="114" borderId="241" xfId="0" applyNumberFormat="1" applyFont="1" applyFill="1" applyBorder="1" applyAlignment="1">
      <alignment horizontal="right" vertical="center" wrapText="1"/>
    </xf>
    <xf numFmtId="176" fontId="399" fillId="114" borderId="305" xfId="0" applyNumberFormat="1" applyFont="1" applyFill="1" applyBorder="1" applyAlignment="1">
      <alignment horizontal="left" vertical="center" wrapText="1" indent="2"/>
    </xf>
    <xf numFmtId="181" fontId="406" fillId="0" borderId="241" xfId="0" applyNumberFormat="1" applyFont="1" applyBorder="1" applyAlignment="1">
      <alignment horizontal="left" vertical="center" indent="1"/>
    </xf>
    <xf numFmtId="181" fontId="399" fillId="0" borderId="305" xfId="0" applyNumberFormat="1" applyFont="1" applyBorder="1" applyAlignment="1">
      <alignment horizontal="left" vertical="center" wrapText="1" indent="2"/>
    </xf>
    <xf numFmtId="181" fontId="399" fillId="0" borderId="241" xfId="0" applyNumberFormat="1" applyFont="1" applyBorder="1" applyAlignment="1">
      <alignment horizontal="left" vertical="center" wrapText="1" indent="1"/>
    </xf>
    <xf numFmtId="176" fontId="399" fillId="0" borderId="305" xfId="0" applyNumberFormat="1" applyFont="1" applyBorder="1" applyAlignment="1">
      <alignment horizontal="left" vertical="center" wrapText="1" indent="2"/>
    </xf>
    <xf numFmtId="0" fontId="406" fillId="0" borderId="241" xfId="0" applyFont="1" applyBorder="1" applyAlignment="1">
      <alignment horizontal="left" vertical="center" indent="1"/>
    </xf>
    <xf numFmtId="176" fontId="398" fillId="3" borderId="306" xfId="0" applyNumberFormat="1" applyFont="1" applyFill="1" applyBorder="1" applyAlignment="1">
      <alignment horizontal="right" vertical="center" wrapText="1"/>
    </xf>
    <xf numFmtId="176" fontId="399" fillId="0" borderId="241" xfId="0" applyNumberFormat="1" applyFont="1" applyFill="1" applyBorder="1" applyAlignment="1">
      <alignment horizontal="left" vertical="center" wrapText="1" indent="1"/>
    </xf>
    <xf numFmtId="0" fontId="390" fillId="114" borderId="0" xfId="0" applyFont="1" applyFill="1" applyBorder="1" applyAlignment="1">
      <alignment vertical="center"/>
    </xf>
    <xf numFmtId="176" fontId="398" fillId="2" borderId="241" xfId="0" applyNumberFormat="1" applyFont="1" applyFill="1" applyBorder="1" applyAlignment="1">
      <alignment horizontal="left" vertical="center" indent="1"/>
    </xf>
    <xf numFmtId="176" fontId="398" fillId="2" borderId="366" xfId="0" applyNumberFormat="1" applyFont="1" applyFill="1" applyBorder="1" applyAlignment="1">
      <alignment horizontal="left" vertical="center" wrapText="1" indent="1"/>
    </xf>
    <xf numFmtId="176" fontId="398" fillId="2" borderId="367" xfId="0" applyNumberFormat="1" applyFont="1" applyFill="1" applyBorder="1" applyAlignment="1">
      <alignment horizontal="left" vertical="center" wrapText="1" indent="1"/>
    </xf>
    <xf numFmtId="176" fontId="398" fillId="2" borderId="367" xfId="0" applyNumberFormat="1" applyFont="1" applyFill="1" applyBorder="1" applyAlignment="1">
      <alignment horizontal="right" vertical="center" wrapText="1"/>
    </xf>
    <xf numFmtId="176" fontId="398" fillId="2" borderId="389" xfId="0" applyNumberFormat="1" applyFont="1" applyFill="1" applyBorder="1" applyAlignment="1">
      <alignment horizontal="right" vertical="center" wrapText="1"/>
    </xf>
    <xf numFmtId="176" fontId="389" fillId="5" borderId="43" xfId="0" applyNumberFormat="1" applyFont="1" applyFill="1" applyBorder="1" applyAlignment="1">
      <alignment horizontal="center" vertical="center"/>
    </xf>
    <xf numFmtId="176" fontId="390" fillId="20" borderId="42" xfId="0" applyNumberFormat="1" applyFont="1" applyFill="1" applyBorder="1" applyAlignment="1">
      <alignment vertical="center"/>
    </xf>
    <xf numFmtId="41" fontId="398" fillId="20" borderId="43" xfId="0" applyNumberFormat="1" applyFont="1" applyFill="1" applyBorder="1" applyAlignment="1">
      <alignment horizontal="right" vertical="center"/>
    </xf>
    <xf numFmtId="184" fontId="398" fillId="20" borderId="43" xfId="0" applyNumberFormat="1" applyFont="1" applyFill="1" applyBorder="1" applyAlignment="1">
      <alignment horizontal="right" vertical="center"/>
    </xf>
    <xf numFmtId="41" fontId="390" fillId="20" borderId="43" xfId="0" applyNumberFormat="1" applyFont="1" applyFill="1" applyBorder="1" applyAlignment="1">
      <alignment vertical="center"/>
    </xf>
    <xf numFmtId="41" fontId="390" fillId="20" borderId="79" xfId="0" applyNumberFormat="1" applyFont="1" applyFill="1" applyBorder="1" applyAlignment="1">
      <alignment vertical="center"/>
    </xf>
    <xf numFmtId="176" fontId="399" fillId="3" borderId="42" xfId="0" applyNumberFormat="1" applyFont="1" applyFill="1" applyBorder="1" applyAlignment="1">
      <alignment vertical="center"/>
    </xf>
    <xf numFmtId="41" fontId="399" fillId="3" borderId="43" xfId="0" applyNumberFormat="1" applyFont="1" applyFill="1" applyBorder="1" applyAlignment="1">
      <alignment horizontal="right" vertical="center"/>
    </xf>
    <xf numFmtId="184" fontId="399" fillId="3" borderId="43" xfId="0" applyNumberFormat="1" applyFont="1" applyFill="1" applyBorder="1" applyAlignment="1">
      <alignment horizontal="right" vertical="center"/>
    </xf>
    <xf numFmtId="184" fontId="392" fillId="3" borderId="43" xfId="0" applyNumberFormat="1" applyFont="1" applyFill="1" applyBorder="1" applyAlignment="1">
      <alignment vertical="center"/>
    </xf>
    <xf numFmtId="184" fontId="392" fillId="3" borderId="79" xfId="0" applyNumberFormat="1" applyFont="1" applyFill="1" applyBorder="1" applyAlignment="1">
      <alignment vertical="center"/>
    </xf>
    <xf numFmtId="41" fontId="399" fillId="0" borderId="43" xfId="0" applyNumberFormat="1" applyFont="1" applyBorder="1" applyAlignment="1">
      <alignment horizontal="right" vertical="center"/>
    </xf>
    <xf numFmtId="184" fontId="399" fillId="0" borderId="43" xfId="0" applyNumberFormat="1" applyFont="1" applyBorder="1" applyAlignment="1">
      <alignment horizontal="right" vertical="center"/>
    </xf>
    <xf numFmtId="184" fontId="392" fillId="0" borderId="43" xfId="0" applyNumberFormat="1" applyFont="1" applyBorder="1" applyAlignment="1">
      <alignment vertical="center"/>
    </xf>
    <xf numFmtId="184" fontId="392" fillId="0" borderId="79" xfId="0" applyNumberFormat="1" applyFont="1" applyBorder="1" applyAlignment="1">
      <alignment vertical="center"/>
    </xf>
    <xf numFmtId="41" fontId="392" fillId="0" borderId="43" xfId="0" applyNumberFormat="1" applyFont="1" applyBorder="1" applyAlignment="1">
      <alignment vertical="center"/>
    </xf>
    <xf numFmtId="41" fontId="392" fillId="0" borderId="79" xfId="0" applyNumberFormat="1" applyFont="1" applyBorder="1" applyAlignment="1">
      <alignment vertical="center"/>
    </xf>
    <xf numFmtId="176" fontId="390" fillId="20" borderId="44" xfId="0" applyNumberFormat="1" applyFont="1" applyFill="1" applyBorder="1" applyAlignment="1">
      <alignment vertical="center"/>
    </xf>
    <xf numFmtId="41" fontId="398" fillId="20" borderId="143" xfId="0" applyNumberFormat="1" applyFont="1" applyFill="1" applyBorder="1" applyAlignment="1">
      <alignment horizontal="right" vertical="center"/>
    </xf>
    <xf numFmtId="184" fontId="398" fillId="20" borderId="143" xfId="0" applyNumberFormat="1" applyFont="1" applyFill="1" applyBorder="1" applyAlignment="1">
      <alignment horizontal="right" vertical="center"/>
    </xf>
    <xf numFmtId="41" fontId="390" fillId="20" borderId="143" xfId="0" applyNumberFormat="1" applyFont="1" applyFill="1" applyBorder="1" applyAlignment="1">
      <alignment vertical="center"/>
    </xf>
    <xf numFmtId="41" fontId="390" fillId="20" borderId="144" xfId="0" applyNumberFormat="1" applyFont="1" applyFill="1" applyBorder="1" applyAlignment="1">
      <alignment vertical="center"/>
    </xf>
    <xf numFmtId="41" fontId="390" fillId="20" borderId="145" xfId="0" applyNumberFormat="1" applyFont="1" applyFill="1" applyBorder="1" applyAlignment="1">
      <alignment vertical="center"/>
    </xf>
    <xf numFmtId="184" fontId="390" fillId="20" borderId="145" xfId="0" applyNumberFormat="1" applyFont="1" applyFill="1" applyBorder="1" applyAlignment="1">
      <alignment vertical="center"/>
    </xf>
    <xf numFmtId="41" fontId="390" fillId="20" borderId="227" xfId="0" applyNumberFormat="1" applyFont="1" applyFill="1" applyBorder="1" applyAlignment="1">
      <alignment vertical="center"/>
    </xf>
    <xf numFmtId="41" fontId="399" fillId="3" borderId="79" xfId="0" applyNumberFormat="1" applyFont="1" applyFill="1" applyBorder="1" applyAlignment="1">
      <alignment horizontal="right" vertical="center"/>
    </xf>
    <xf numFmtId="41" fontId="392" fillId="3" borderId="43" xfId="0" applyNumberFormat="1" applyFont="1" applyFill="1" applyBorder="1" applyAlignment="1">
      <alignment vertical="center"/>
    </xf>
    <xf numFmtId="176" fontId="392" fillId="0" borderId="43" xfId="0" applyNumberFormat="1" applyFont="1" applyBorder="1" applyAlignment="1">
      <alignment vertical="center"/>
    </xf>
    <xf numFmtId="41" fontId="392" fillId="0" borderId="143" xfId="0" applyNumberFormat="1" applyFont="1" applyBorder="1" applyAlignment="1">
      <alignment vertical="center"/>
    </xf>
    <xf numFmtId="41" fontId="392" fillId="0" borderId="144" xfId="0" applyNumberFormat="1" applyFont="1" applyBorder="1" applyAlignment="1">
      <alignment vertical="center"/>
    </xf>
    <xf numFmtId="41" fontId="390" fillId="20" borderId="45" xfId="0" applyNumberFormat="1" applyFont="1" applyFill="1" applyBorder="1" applyAlignment="1">
      <alignment vertical="center"/>
    </xf>
    <xf numFmtId="184" fontId="390" fillId="20" borderId="45" xfId="0" applyNumberFormat="1" applyFont="1" applyFill="1" applyBorder="1" applyAlignment="1">
      <alignment vertical="center"/>
    </xf>
    <xf numFmtId="41" fontId="390" fillId="20" borderId="80" xfId="0" applyNumberFormat="1" applyFont="1" applyFill="1" applyBorder="1" applyAlignment="1">
      <alignment vertical="center"/>
    </xf>
    <xf numFmtId="176" fontId="392" fillId="0" borderId="0" xfId="0" applyNumberFormat="1" applyFont="1" applyBorder="1" applyAlignment="1">
      <alignment horizontal="right" vertical="center"/>
    </xf>
    <xf numFmtId="41" fontId="392" fillId="0" borderId="0" xfId="0" applyNumberFormat="1" applyFont="1" applyBorder="1" applyAlignment="1">
      <alignment vertical="center"/>
    </xf>
    <xf numFmtId="184" fontId="392" fillId="0" borderId="0" xfId="0" applyNumberFormat="1" applyFont="1" applyBorder="1" applyAlignment="1">
      <alignment vertical="center"/>
    </xf>
    <xf numFmtId="0" fontId="392" fillId="0" borderId="0" xfId="0" applyFont="1" applyBorder="1" applyAlignment="1">
      <alignment vertical="center"/>
    </xf>
    <xf numFmtId="181" fontId="392" fillId="0" borderId="0" xfId="0" applyNumberFormat="1" applyFont="1" applyBorder="1" applyAlignment="1">
      <alignment vertical="center"/>
    </xf>
    <xf numFmtId="0" fontId="392" fillId="0" borderId="0" xfId="0" applyFont="1" applyBorder="1" applyAlignment="1">
      <alignment horizontal="center" vertical="center"/>
    </xf>
    <xf numFmtId="0" fontId="391" fillId="0" borderId="0" xfId="0" applyFont="1" applyBorder="1" applyAlignment="1">
      <alignment vertical="center"/>
    </xf>
    <xf numFmtId="181" fontId="399" fillId="24" borderId="401" xfId="0" applyNumberFormat="1" applyFont="1" applyFill="1" applyBorder="1" applyAlignment="1">
      <alignment horizontal="center" vertical="center" wrapText="1"/>
    </xf>
    <xf numFmtId="181" fontId="399" fillId="24" borderId="402" xfId="0" applyNumberFormat="1" applyFont="1" applyFill="1" applyBorder="1" applyAlignment="1">
      <alignment horizontal="center" vertical="center" wrapText="1"/>
    </xf>
    <xf numFmtId="0" fontId="399" fillId="0" borderId="241" xfId="0" applyFont="1" applyBorder="1" applyAlignment="1">
      <alignment horizontal="left" vertical="center" wrapText="1"/>
    </xf>
    <xf numFmtId="0" fontId="399" fillId="0" borderId="318" xfId="0" applyFont="1" applyBorder="1" applyAlignment="1">
      <alignment horizontal="center" vertical="center" wrapText="1"/>
    </xf>
    <xf numFmtId="184" fontId="399" fillId="0" borderId="241" xfId="1" applyNumberFormat="1" applyFont="1" applyBorder="1" applyAlignment="1">
      <alignment horizontal="right" vertical="center" wrapText="1"/>
    </xf>
    <xf numFmtId="181" fontId="399" fillId="0" borderId="241" xfId="0" applyNumberFormat="1" applyFont="1" applyBorder="1" applyAlignment="1">
      <alignment vertical="center" wrapText="1"/>
    </xf>
    <xf numFmtId="181" fontId="399" fillId="0" borderId="247" xfId="0" applyNumberFormat="1" applyFont="1" applyBorder="1" applyAlignment="1">
      <alignment vertical="center" wrapText="1"/>
    </xf>
    <xf numFmtId="181" fontId="399" fillId="0" borderId="306" xfId="0" applyNumberFormat="1" applyFont="1" applyBorder="1" applyAlignment="1">
      <alignment horizontal="right" vertical="center" wrapText="1"/>
    </xf>
    <xf numFmtId="41" fontId="391" fillId="0" borderId="0" xfId="1" applyFont="1" applyBorder="1" applyAlignment="1">
      <alignment vertical="center"/>
    </xf>
    <xf numFmtId="41" fontId="399" fillId="0" borderId="400" xfId="0" applyNumberFormat="1" applyFont="1" applyBorder="1" applyAlignment="1">
      <alignment vertical="center" wrapText="1"/>
    </xf>
    <xf numFmtId="41" fontId="399" fillId="0" borderId="401" xfId="0" applyNumberFormat="1" applyFont="1" applyBorder="1" applyAlignment="1">
      <alignment horizontal="center" vertical="center" wrapText="1"/>
    </xf>
    <xf numFmtId="41" fontId="399" fillId="0" borderId="401" xfId="0" applyNumberFormat="1" applyFont="1" applyBorder="1" applyAlignment="1">
      <alignment horizontal="right" vertical="center" wrapText="1"/>
    </xf>
    <xf numFmtId="41" fontId="399" fillId="0" borderId="429" xfId="0" applyNumberFormat="1" applyFont="1" applyBorder="1" applyAlignment="1">
      <alignment horizontal="right" vertical="center" wrapText="1"/>
    </xf>
    <xf numFmtId="41" fontId="399" fillId="0" borderId="402" xfId="0" applyNumberFormat="1" applyFont="1" applyBorder="1" applyAlignment="1">
      <alignment horizontal="right" vertical="center" wrapText="1"/>
    </xf>
    <xf numFmtId="0" fontId="390" fillId="2" borderId="241" xfId="0" applyFont="1" applyFill="1" applyBorder="1" applyAlignment="1">
      <alignment horizontal="left" vertical="center"/>
    </xf>
    <xf numFmtId="0" fontId="390" fillId="2" borderId="318" xfId="0" applyFont="1" applyFill="1" applyBorder="1" applyAlignment="1">
      <alignment horizontal="center" vertical="center"/>
    </xf>
    <xf numFmtId="184" fontId="390" fillId="2" borderId="241" xfId="1" applyNumberFormat="1" applyFont="1" applyFill="1" applyBorder="1" applyAlignment="1">
      <alignment horizontal="right" vertical="center"/>
    </xf>
    <xf numFmtId="181" fontId="390" fillId="2" borderId="241" xfId="0" applyNumberFormat="1" applyFont="1" applyFill="1" applyBorder="1" applyAlignment="1">
      <alignment vertical="center"/>
    </xf>
    <xf numFmtId="181" fontId="390" fillId="2" borderId="247" xfId="0" applyNumberFormat="1" applyFont="1" applyFill="1" applyBorder="1" applyAlignment="1">
      <alignment vertical="center"/>
    </xf>
    <xf numFmtId="181" fontId="390" fillId="2" borderId="306" xfId="0" applyNumberFormat="1" applyFont="1" applyFill="1" applyBorder="1" applyAlignment="1">
      <alignment vertical="center"/>
    </xf>
    <xf numFmtId="41" fontId="398" fillId="2" borderId="400" xfId="0" applyNumberFormat="1" applyFont="1" applyFill="1" applyBorder="1" applyAlignment="1">
      <alignment vertical="center" wrapText="1"/>
    </xf>
    <xf numFmtId="41" fontId="398" fillId="2" borderId="401" xfId="0" applyNumberFormat="1" applyFont="1" applyFill="1" applyBorder="1" applyAlignment="1">
      <alignment horizontal="center" vertical="center" wrapText="1"/>
    </xf>
    <xf numFmtId="41" fontId="398" fillId="2" borderId="401" xfId="0" applyNumberFormat="1" applyFont="1" applyFill="1" applyBorder="1" applyAlignment="1">
      <alignment horizontal="right" vertical="center" wrapText="1"/>
    </xf>
    <xf numFmtId="41" fontId="398" fillId="2" borderId="402" xfId="0" applyNumberFormat="1" applyFont="1" applyFill="1" applyBorder="1" applyAlignment="1">
      <alignment horizontal="right" vertical="center" wrapText="1"/>
    </xf>
    <xf numFmtId="184" fontId="398" fillId="2" borderId="401" xfId="0" applyNumberFormat="1" applyFont="1" applyFill="1" applyBorder="1" applyAlignment="1">
      <alignment horizontal="right" vertical="center" wrapText="1"/>
    </xf>
    <xf numFmtId="184" fontId="398" fillId="2" borderId="402" xfId="0" applyNumberFormat="1" applyFont="1" applyFill="1" applyBorder="1" applyAlignment="1">
      <alignment horizontal="right" vertical="center" wrapText="1"/>
    </xf>
    <xf numFmtId="41" fontId="399" fillId="0" borderId="241" xfId="1" applyFont="1" applyBorder="1" applyAlignment="1">
      <alignment horizontal="right" vertical="center" wrapText="1"/>
    </xf>
    <xf numFmtId="181" fontId="391" fillId="0" borderId="0" xfId="0" applyNumberFormat="1" applyFont="1" applyBorder="1" applyAlignment="1">
      <alignment vertical="center"/>
    </xf>
    <xf numFmtId="184" fontId="399" fillId="0" borderId="401" xfId="0" applyNumberFormat="1" applyFont="1" applyBorder="1" applyAlignment="1">
      <alignment horizontal="right" vertical="center" wrapText="1"/>
    </xf>
    <xf numFmtId="184" fontId="399" fillId="0" borderId="402" xfId="0" applyNumberFormat="1" applyFont="1" applyBorder="1" applyAlignment="1">
      <alignment horizontal="right" vertical="center" wrapText="1"/>
    </xf>
    <xf numFmtId="0" fontId="390" fillId="3" borderId="318" xfId="0" applyFont="1" applyFill="1" applyBorder="1" applyAlignment="1">
      <alignment horizontal="center" vertical="center"/>
    </xf>
    <xf numFmtId="41" fontId="390" fillId="3" borderId="241" xfId="1" applyFont="1" applyFill="1" applyBorder="1" applyAlignment="1">
      <alignment horizontal="right" vertical="center"/>
    </xf>
    <xf numFmtId="181" fontId="390" fillId="3" borderId="241" xfId="0" applyNumberFormat="1" applyFont="1" applyFill="1" applyBorder="1" applyAlignment="1">
      <alignment vertical="center"/>
    </xf>
    <xf numFmtId="181" fontId="390" fillId="3" borderId="247" xfId="0" applyNumberFormat="1" applyFont="1" applyFill="1" applyBorder="1" applyAlignment="1">
      <alignment vertical="center"/>
    </xf>
    <xf numFmtId="181" fontId="390" fillId="3" borderId="306" xfId="0" applyNumberFormat="1" applyFont="1" applyFill="1" applyBorder="1" applyAlignment="1">
      <alignment vertical="center"/>
    </xf>
    <xf numFmtId="41" fontId="390" fillId="2" borderId="241" xfId="1" applyFont="1" applyFill="1" applyBorder="1" applyAlignment="1">
      <alignment horizontal="right" vertical="center"/>
    </xf>
    <xf numFmtId="181" fontId="399" fillId="0" borderId="241" xfId="0" applyNumberFormat="1" applyFont="1" applyFill="1" applyBorder="1" applyAlignment="1">
      <alignment vertical="center" wrapText="1"/>
    </xf>
    <xf numFmtId="181" fontId="399" fillId="0" borderId="247" xfId="0" applyNumberFormat="1" applyFont="1" applyFill="1" applyBorder="1" applyAlignment="1">
      <alignment vertical="center" wrapText="1"/>
    </xf>
    <xf numFmtId="181" fontId="399" fillId="0" borderId="306" xfId="0" applyNumberFormat="1" applyFont="1" applyBorder="1" applyAlignment="1">
      <alignment vertical="center" wrapText="1"/>
    </xf>
    <xf numFmtId="0" fontId="399" fillId="0" borderId="391" xfId="0" applyFont="1" applyBorder="1" applyAlignment="1">
      <alignment horizontal="center" vertical="center" wrapText="1"/>
    </xf>
    <xf numFmtId="181" fontId="399" fillId="0" borderId="367" xfId="0" applyNumberFormat="1" applyFont="1" applyFill="1" applyBorder="1" applyAlignment="1">
      <alignment vertical="center" wrapText="1"/>
    </xf>
    <xf numFmtId="181" fontId="399" fillId="0" borderId="393" xfId="0" applyNumberFormat="1" applyFont="1" applyFill="1" applyBorder="1" applyAlignment="1">
      <alignment vertical="center" wrapText="1"/>
    </xf>
    <xf numFmtId="181" fontId="399" fillId="0" borderId="389" xfId="0" applyNumberFormat="1" applyFont="1" applyBorder="1" applyAlignment="1">
      <alignment vertical="center" wrapText="1"/>
    </xf>
    <xf numFmtId="41" fontId="399" fillId="0" borderId="403" xfId="0" applyNumberFormat="1" applyFont="1" applyBorder="1" applyAlignment="1">
      <alignment vertical="center" wrapText="1"/>
    </xf>
    <xf numFmtId="41" fontId="399" fillId="0" borderId="404" xfId="0" applyNumberFormat="1" applyFont="1" applyBorder="1" applyAlignment="1">
      <alignment horizontal="right" vertical="center" wrapText="1"/>
    </xf>
    <xf numFmtId="184" fontId="399" fillId="0" borderId="404" xfId="0" applyNumberFormat="1" applyFont="1" applyBorder="1" applyAlignment="1">
      <alignment horizontal="right" vertical="center" wrapText="1"/>
    </xf>
    <xf numFmtId="184" fontId="399" fillId="0" borderId="405" xfId="0" applyNumberFormat="1" applyFont="1" applyBorder="1" applyAlignment="1">
      <alignment horizontal="right" vertical="center" wrapText="1"/>
    </xf>
    <xf numFmtId="181" fontId="392" fillId="0" borderId="0" xfId="0" applyNumberFormat="1" applyFont="1" applyAlignment="1">
      <alignment horizontal="right" vertical="center"/>
    </xf>
    <xf numFmtId="0" fontId="392" fillId="0" borderId="0" xfId="0" applyFont="1" applyBorder="1" applyAlignment="1">
      <alignment horizontal="right" vertical="center"/>
    </xf>
    <xf numFmtId="0" fontId="391" fillId="0" borderId="0" xfId="0" applyFont="1" applyAlignment="1">
      <alignment vertical="center"/>
    </xf>
    <xf numFmtId="0" fontId="399" fillId="0" borderId="0" xfId="0" applyFont="1" applyAlignment="1">
      <alignment horizontal="center" vertical="center" wrapText="1"/>
    </xf>
    <xf numFmtId="0" fontId="389" fillId="31" borderId="14" xfId="0" applyFont="1" applyFill="1" applyBorder="1" applyAlignment="1">
      <alignment horizontal="centerContinuous" vertical="center"/>
    </xf>
    <xf numFmtId="0" fontId="389" fillId="5" borderId="14" xfId="0" applyFont="1" applyFill="1" applyBorder="1" applyAlignment="1">
      <alignment horizontal="centerContinuous" vertical="center"/>
    </xf>
    <xf numFmtId="181" fontId="390" fillId="0" borderId="0" xfId="0" applyNumberFormat="1" applyFont="1" applyAlignment="1">
      <alignment vertical="center"/>
    </xf>
    <xf numFmtId="0" fontId="389" fillId="5" borderId="16" xfId="0" applyFont="1" applyFill="1" applyBorder="1" applyAlignment="1">
      <alignment horizontal="center" vertical="center" wrapText="1"/>
    </xf>
    <xf numFmtId="0" fontId="389" fillId="5" borderId="1" xfId="0" applyFont="1" applyFill="1" applyBorder="1" applyAlignment="1">
      <alignment horizontal="center" vertical="center" wrapText="1"/>
    </xf>
    <xf numFmtId="0" fontId="389" fillId="31" borderId="1" xfId="0" applyFont="1" applyFill="1" applyBorder="1" applyAlignment="1">
      <alignment horizontal="centerContinuous" vertical="center" wrapText="1"/>
    </xf>
    <xf numFmtId="0" fontId="389" fillId="5" borderId="1" xfId="0" applyFont="1" applyFill="1" applyBorder="1" applyAlignment="1">
      <alignment horizontal="centerContinuous" vertical="center" wrapText="1"/>
    </xf>
    <xf numFmtId="0" fontId="389" fillId="5" borderId="17" xfId="0" applyFont="1" applyFill="1" applyBorder="1" applyAlignment="1">
      <alignment horizontal="centerContinuous" vertical="center" wrapText="1"/>
    </xf>
    <xf numFmtId="0" fontId="399" fillId="24" borderId="96" xfId="0" applyFont="1" applyFill="1" applyBorder="1" applyAlignment="1">
      <alignment horizontal="center" vertical="center" wrapText="1"/>
    </xf>
    <xf numFmtId="0" fontId="399" fillId="24" borderId="97" xfId="0" applyFont="1" applyFill="1" applyBorder="1" applyAlignment="1">
      <alignment horizontal="center" vertical="center" wrapText="1"/>
    </xf>
    <xf numFmtId="181" fontId="390" fillId="2" borderId="1" xfId="0" applyNumberFormat="1" applyFont="1" applyFill="1" applyBorder="1" applyAlignment="1">
      <alignment horizontal="left" vertical="center"/>
    </xf>
    <xf numFmtId="181" fontId="390" fillId="2" borderId="1" xfId="0" applyNumberFormat="1" applyFont="1" applyFill="1" applyBorder="1" applyAlignment="1">
      <alignment vertical="center"/>
    </xf>
    <xf numFmtId="181" fontId="390" fillId="2" borderId="17" xfId="0" applyNumberFormat="1" applyFont="1" applyFill="1" applyBorder="1" applyAlignment="1">
      <alignment vertical="center"/>
    </xf>
    <xf numFmtId="181" fontId="392" fillId="0" borderId="0" xfId="0" applyNumberFormat="1" applyFont="1" applyAlignment="1">
      <alignment vertical="center"/>
    </xf>
    <xf numFmtId="181" fontId="390" fillId="0" borderId="0" xfId="0" applyNumberFormat="1" applyFont="1" applyAlignment="1">
      <alignment horizontal="center" vertical="center"/>
    </xf>
    <xf numFmtId="181" fontId="392" fillId="0" borderId="0" xfId="0" applyNumberFormat="1" applyFont="1" applyAlignment="1">
      <alignment horizontal="center" vertical="center"/>
    </xf>
    <xf numFmtId="0" fontId="399" fillId="0" borderId="101" xfId="0" applyFont="1" applyBorder="1" applyAlignment="1">
      <alignment vertical="center" wrapText="1"/>
    </xf>
    <xf numFmtId="0" fontId="399" fillId="0" borderId="95" xfId="0" applyFont="1" applyBorder="1" applyAlignment="1">
      <alignment horizontal="center" vertical="center" wrapText="1"/>
    </xf>
    <xf numFmtId="0" fontId="399" fillId="0" borderId="95" xfId="0" applyFont="1" applyBorder="1" applyAlignment="1">
      <alignment horizontal="right" vertical="center" wrapText="1"/>
    </xf>
    <xf numFmtId="0" fontId="399" fillId="0" borderId="102" xfId="0" applyFont="1" applyBorder="1" applyAlignment="1">
      <alignment horizontal="right" vertical="center" wrapText="1"/>
    </xf>
    <xf numFmtId="181" fontId="390" fillId="3" borderId="1" xfId="0" applyNumberFormat="1" applyFont="1" applyFill="1" applyBorder="1" applyAlignment="1">
      <alignment horizontal="left" vertical="center"/>
    </xf>
    <xf numFmtId="181" fontId="390" fillId="3" borderId="1" xfId="0" applyNumberFormat="1" applyFont="1" applyFill="1" applyBorder="1" applyAlignment="1">
      <alignment vertical="center"/>
    </xf>
    <xf numFmtId="181" fontId="390" fillId="3" borderId="17" xfId="0" applyNumberFormat="1" applyFont="1" applyFill="1" applyBorder="1" applyAlignment="1">
      <alignment vertical="center"/>
    </xf>
    <xf numFmtId="181" fontId="391" fillId="0" borderId="0" xfId="0" applyNumberFormat="1" applyFont="1" applyAlignment="1">
      <alignment horizontal="center" vertical="center"/>
    </xf>
    <xf numFmtId="3" fontId="399" fillId="0" borderId="95" xfId="0" applyNumberFormat="1" applyFont="1" applyBorder="1" applyAlignment="1">
      <alignment horizontal="right" vertical="center" wrapText="1"/>
    </xf>
    <xf numFmtId="3" fontId="399" fillId="0" borderId="102" xfId="0" applyNumberFormat="1" applyFont="1" applyBorder="1" applyAlignment="1">
      <alignment horizontal="right" vertical="center" wrapText="1"/>
    </xf>
    <xf numFmtId="181" fontId="399" fillId="0" borderId="1" xfId="0" applyNumberFormat="1" applyFont="1" applyBorder="1" applyAlignment="1">
      <alignment horizontal="left" vertical="center" wrapText="1"/>
    </xf>
    <xf numFmtId="181" fontId="399" fillId="0" borderId="1" xfId="0" applyNumberFormat="1" applyFont="1" applyBorder="1" applyAlignment="1">
      <alignment horizontal="center" vertical="center" wrapText="1"/>
    </xf>
    <xf numFmtId="181" fontId="399" fillId="0" borderId="1" xfId="0" applyNumberFormat="1" applyFont="1" applyBorder="1" applyAlignment="1">
      <alignment horizontal="right" vertical="center" wrapText="1"/>
    </xf>
    <xf numFmtId="181" fontId="399" fillId="0" borderId="17" xfId="0" applyNumberFormat="1" applyFont="1" applyBorder="1" applyAlignment="1">
      <alignment horizontal="right" vertical="center" wrapText="1"/>
    </xf>
    <xf numFmtId="181" fontId="399" fillId="114" borderId="1" xfId="0" applyNumberFormat="1" applyFont="1" applyFill="1" applyBorder="1" applyAlignment="1">
      <alignment horizontal="center" vertical="center" wrapText="1"/>
    </xf>
    <xf numFmtId="181" fontId="399" fillId="114" borderId="1" xfId="0" applyNumberFormat="1" applyFont="1" applyFill="1" applyBorder="1" applyAlignment="1">
      <alignment horizontal="right" vertical="center" wrapText="1"/>
    </xf>
    <xf numFmtId="181" fontId="399" fillId="114" borderId="17" xfId="0" applyNumberFormat="1" applyFont="1" applyFill="1" applyBorder="1" applyAlignment="1">
      <alignment horizontal="right" vertical="center" wrapText="1"/>
    </xf>
    <xf numFmtId="181" fontId="390" fillId="2" borderId="19" xfId="0" applyNumberFormat="1" applyFont="1" applyFill="1" applyBorder="1" applyAlignment="1">
      <alignment horizontal="left" vertical="center"/>
    </xf>
    <xf numFmtId="181" fontId="390" fillId="2" borderId="19" xfId="0" applyNumberFormat="1" applyFont="1" applyFill="1" applyBorder="1" applyAlignment="1">
      <alignment vertical="center"/>
    </xf>
    <xf numFmtId="181" fontId="390" fillId="2" borderId="20" xfId="0" applyNumberFormat="1" applyFont="1" applyFill="1" applyBorder="1" applyAlignment="1">
      <alignment vertical="center"/>
    </xf>
    <xf numFmtId="181" fontId="392" fillId="0" borderId="50" xfId="0" applyNumberFormat="1" applyFont="1" applyBorder="1" applyAlignment="1">
      <alignment vertical="center"/>
    </xf>
    <xf numFmtId="181" fontId="392" fillId="0" borderId="51" xfId="0" applyNumberFormat="1" applyFont="1" applyBorder="1" applyAlignment="1">
      <alignment horizontal="left" vertical="center"/>
    </xf>
    <xf numFmtId="181" fontId="392" fillId="0" borderId="51" xfId="0" applyNumberFormat="1" applyFont="1" applyBorder="1" applyAlignment="1">
      <alignment vertical="center"/>
    </xf>
    <xf numFmtId="181" fontId="391" fillId="0" borderId="51" xfId="0" applyNumberFormat="1" applyFont="1" applyBorder="1" applyAlignment="1">
      <alignment vertical="center"/>
    </xf>
    <xf numFmtId="181" fontId="391" fillId="0" borderId="52" xfId="0" applyNumberFormat="1" applyFont="1" applyBorder="1" applyAlignment="1">
      <alignment vertical="center"/>
    </xf>
    <xf numFmtId="181" fontId="392" fillId="0" borderId="55" xfId="0" applyNumberFormat="1" applyFont="1" applyBorder="1" applyAlignment="1">
      <alignment vertical="center"/>
    </xf>
    <xf numFmtId="181" fontId="392" fillId="0" borderId="222" xfId="0" applyNumberFormat="1" applyFont="1" applyBorder="1" applyAlignment="1">
      <alignment horizontal="left" vertical="center"/>
    </xf>
    <xf numFmtId="181" fontId="392" fillId="0" borderId="222" xfId="0" applyNumberFormat="1" applyFont="1" applyBorder="1" applyAlignment="1">
      <alignment vertical="center"/>
    </xf>
    <xf numFmtId="181" fontId="391" fillId="0" borderId="222" xfId="0" applyNumberFormat="1" applyFont="1" applyBorder="1" applyAlignment="1">
      <alignment vertical="center"/>
    </xf>
    <xf numFmtId="181" fontId="391" fillId="0" borderId="57" xfId="0" applyNumberFormat="1" applyFont="1" applyBorder="1" applyAlignment="1">
      <alignment vertical="center"/>
    </xf>
    <xf numFmtId="176" fontId="389" fillId="5" borderId="32" xfId="0" applyNumberFormat="1" applyFont="1" applyFill="1" applyBorder="1" applyAlignment="1">
      <alignment horizontal="center" vertical="center"/>
    </xf>
    <xf numFmtId="176" fontId="389" fillId="5" borderId="33" xfId="0" applyNumberFormat="1" applyFont="1" applyFill="1" applyBorder="1" applyAlignment="1">
      <alignment horizontal="center" vertical="center"/>
    </xf>
    <xf numFmtId="176" fontId="389" fillId="5" borderId="34" xfId="0" applyNumberFormat="1" applyFont="1" applyFill="1" applyBorder="1" applyAlignment="1">
      <alignment horizontal="center" vertical="center"/>
    </xf>
    <xf numFmtId="176" fontId="392" fillId="0" borderId="37" xfId="0" applyNumberFormat="1" applyFont="1" applyBorder="1" applyAlignment="1">
      <alignment vertical="center"/>
    </xf>
    <xf numFmtId="176" fontId="390" fillId="0" borderId="63" xfId="0" applyNumberFormat="1" applyFont="1" applyBorder="1" applyAlignment="1">
      <alignment vertical="center"/>
    </xf>
    <xf numFmtId="176" fontId="390" fillId="0" borderId="64" xfId="0" applyNumberFormat="1" applyFont="1" applyBorder="1" applyAlignment="1">
      <alignment vertical="center"/>
    </xf>
    <xf numFmtId="176" fontId="392" fillId="0" borderId="63" xfId="0" applyNumberFormat="1" applyFont="1" applyBorder="1" applyAlignment="1">
      <alignment vertical="center"/>
    </xf>
    <xf numFmtId="176" fontId="392" fillId="0" borderId="64" xfId="0" applyNumberFormat="1" applyFont="1" applyBorder="1" applyAlignment="1">
      <alignment vertical="center"/>
    </xf>
    <xf numFmtId="176" fontId="392" fillId="0" borderId="53" xfId="0" applyNumberFormat="1" applyFont="1" applyBorder="1" applyAlignment="1">
      <alignment vertical="center"/>
    </xf>
    <xf numFmtId="0" fontId="392" fillId="0" borderId="0" xfId="0" applyNumberFormat="1" applyFont="1" applyBorder="1" applyAlignment="1">
      <alignment horizontal="center" vertical="center"/>
    </xf>
    <xf numFmtId="176" fontId="392" fillId="0" borderId="54" xfId="0" applyNumberFormat="1" applyFont="1" applyBorder="1" applyAlignment="1">
      <alignment vertical="center"/>
    </xf>
    <xf numFmtId="176" fontId="392" fillId="114" borderId="54" xfId="0" applyNumberFormat="1" applyFont="1" applyFill="1" applyBorder="1" applyAlignment="1">
      <alignment vertical="center"/>
    </xf>
    <xf numFmtId="176" fontId="392" fillId="114" borderId="53" xfId="0" applyNumberFormat="1" applyFont="1" applyFill="1" applyBorder="1" applyAlignment="1">
      <alignment vertical="center"/>
    </xf>
    <xf numFmtId="0" fontId="392" fillId="114" borderId="0" xfId="0" applyNumberFormat="1" applyFont="1" applyFill="1" applyBorder="1" applyAlignment="1">
      <alignment horizontal="center" vertical="center"/>
    </xf>
    <xf numFmtId="0" fontId="406" fillId="114" borderId="53" xfId="0" applyFont="1" applyFill="1" applyBorder="1" applyAlignment="1">
      <alignment vertical="center"/>
    </xf>
    <xf numFmtId="0" fontId="390" fillId="0" borderId="0" xfId="0" applyNumberFormat="1" applyFont="1" applyBorder="1" applyAlignment="1">
      <alignment horizontal="center" vertical="center"/>
    </xf>
    <xf numFmtId="0" fontId="412" fillId="114" borderId="0" xfId="0" applyFont="1" applyFill="1" applyBorder="1" applyAlignment="1">
      <alignment horizontal="center" vertical="center"/>
    </xf>
    <xf numFmtId="0" fontId="412" fillId="114" borderId="0" xfId="0" applyFont="1" applyFill="1" applyBorder="1" applyAlignment="1">
      <alignment horizontal="centerContinuous" vertical="center"/>
    </xf>
    <xf numFmtId="0" fontId="413" fillId="114" borderId="0" xfId="0" applyFont="1" applyFill="1" applyBorder="1" applyAlignment="1">
      <alignment horizontal="centerContinuous"/>
    </xf>
    <xf numFmtId="41" fontId="412" fillId="114" borderId="0" xfId="7897" applyFont="1" applyFill="1" applyBorder="1" applyAlignment="1">
      <alignment horizontal="centerContinuous" vertical="center"/>
    </xf>
    <xf numFmtId="0" fontId="411" fillId="114" borderId="0" xfId="0" applyFont="1" applyFill="1" applyBorder="1" applyAlignment="1">
      <alignment horizontal="center"/>
    </xf>
    <xf numFmtId="0" fontId="414" fillId="114" borderId="0" xfId="0" applyFont="1" applyFill="1" applyBorder="1" applyAlignment="1">
      <alignment horizontal="center" vertical="center"/>
    </xf>
    <xf numFmtId="348" fontId="414" fillId="114" borderId="0" xfId="0" applyNumberFormat="1" applyFont="1" applyFill="1" applyBorder="1" applyAlignment="1">
      <alignment vertical="center"/>
    </xf>
    <xf numFmtId="0" fontId="414" fillId="114" borderId="0" xfId="0" applyFont="1" applyFill="1" applyBorder="1" applyAlignment="1">
      <alignment vertical="center"/>
    </xf>
    <xf numFmtId="0" fontId="404" fillId="114" borderId="0" xfId="0" applyFont="1" applyFill="1" applyBorder="1"/>
    <xf numFmtId="41" fontId="414" fillId="114" borderId="0" xfId="7897" applyFont="1" applyFill="1" applyBorder="1" applyAlignment="1">
      <alignment vertical="center"/>
    </xf>
    <xf numFmtId="0" fontId="412" fillId="114" borderId="0" xfId="0" applyFont="1" applyFill="1" applyBorder="1" applyAlignment="1">
      <alignment vertical="center"/>
    </xf>
    <xf numFmtId="182" fontId="392" fillId="114" borderId="0" xfId="0" applyNumberFormat="1" applyFont="1" applyFill="1" applyBorder="1" applyAlignment="1">
      <alignment vertical="center"/>
    </xf>
    <xf numFmtId="41" fontId="414" fillId="114" borderId="0" xfId="0" applyNumberFormat="1" applyFont="1" applyFill="1" applyBorder="1" applyAlignment="1">
      <alignment vertical="center"/>
    </xf>
    <xf numFmtId="0" fontId="411" fillId="114" borderId="0" xfId="0" applyFont="1" applyFill="1" applyBorder="1" applyAlignment="1">
      <alignment vertical="center"/>
    </xf>
    <xf numFmtId="0" fontId="414" fillId="114" borderId="0" xfId="0" applyFont="1" applyFill="1" applyBorder="1"/>
    <xf numFmtId="348" fontId="414" fillId="114" borderId="0" xfId="0" applyNumberFormat="1" applyFont="1" applyFill="1" applyBorder="1"/>
    <xf numFmtId="41" fontId="414" fillId="114" borderId="0" xfId="0" applyNumberFormat="1" applyFont="1" applyFill="1" applyBorder="1"/>
    <xf numFmtId="176" fontId="392" fillId="0" borderId="50" xfId="0" applyNumberFormat="1" applyFont="1" applyBorder="1" applyAlignment="1">
      <alignment vertical="center"/>
    </xf>
    <xf numFmtId="176" fontId="392" fillId="0" borderId="51" xfId="0" applyNumberFormat="1" applyFont="1" applyBorder="1" applyAlignment="1">
      <alignment vertical="center"/>
    </xf>
    <xf numFmtId="176" fontId="392" fillId="0" borderId="52" xfId="0" applyNumberFormat="1" applyFont="1" applyBorder="1" applyAlignment="1">
      <alignment vertical="center"/>
    </xf>
    <xf numFmtId="41" fontId="414" fillId="114" borderId="0" xfId="7897" applyFont="1" applyFill="1" applyBorder="1"/>
    <xf numFmtId="176" fontId="392" fillId="0" borderId="55" xfId="0" applyNumberFormat="1" applyFont="1" applyBorder="1" applyAlignment="1">
      <alignment vertical="center"/>
    </xf>
    <xf numFmtId="176" fontId="392" fillId="0" borderId="56" xfId="0" applyNumberFormat="1" applyFont="1" applyBorder="1" applyAlignment="1">
      <alignment vertical="center"/>
    </xf>
    <xf numFmtId="176" fontId="392" fillId="0" borderId="57" xfId="0" applyNumberFormat="1" applyFont="1" applyBorder="1" applyAlignment="1">
      <alignment vertical="center"/>
    </xf>
    <xf numFmtId="176" fontId="392" fillId="9" borderId="0" xfId="0" applyNumberFormat="1" applyFont="1" applyFill="1" applyBorder="1" applyAlignment="1">
      <alignment vertical="center"/>
    </xf>
    <xf numFmtId="0" fontId="406" fillId="0" borderId="0" xfId="0" applyFont="1" applyBorder="1" applyAlignment="1">
      <alignment vertical="center"/>
    </xf>
    <xf numFmtId="0" fontId="392" fillId="0" borderId="0" xfId="0" applyFont="1" applyBorder="1" applyAlignment="1">
      <alignment horizontal="left" vertical="center"/>
    </xf>
    <xf numFmtId="0" fontId="391" fillId="0" borderId="0" xfId="0" applyFont="1" applyBorder="1" applyAlignment="1">
      <alignment horizontal="left" vertical="center"/>
    </xf>
    <xf numFmtId="176" fontId="391" fillId="0" borderId="0" xfId="0" applyNumberFormat="1" applyFont="1" applyBorder="1" applyAlignment="1">
      <alignment horizontal="right" vertical="center"/>
    </xf>
    <xf numFmtId="176" fontId="391" fillId="114" borderId="0" xfId="0" applyNumberFormat="1" applyFont="1" applyFill="1" applyBorder="1" applyAlignment="1">
      <alignment horizontal="right" vertical="center"/>
    </xf>
    <xf numFmtId="0" fontId="390" fillId="0" borderId="0" xfId="0" applyFont="1" applyBorder="1" applyAlignment="1">
      <alignment vertical="center"/>
    </xf>
    <xf numFmtId="0" fontId="390" fillId="0" borderId="0" xfId="0" applyFont="1" applyBorder="1" applyAlignment="1">
      <alignment horizontal="center" vertical="center"/>
    </xf>
    <xf numFmtId="0" fontId="390" fillId="0" borderId="0" xfId="0" applyFont="1" applyBorder="1" applyAlignment="1">
      <alignment horizontal="left" vertical="center"/>
    </xf>
    <xf numFmtId="41" fontId="392" fillId="114" borderId="0" xfId="1" applyFont="1" applyFill="1" applyBorder="1" applyAlignment="1">
      <alignment horizontal="right" vertical="center"/>
    </xf>
    <xf numFmtId="41" fontId="392" fillId="0" borderId="0" xfId="1" applyFont="1" applyBorder="1" applyAlignment="1">
      <alignment horizontal="right" vertical="center"/>
    </xf>
    <xf numFmtId="0" fontId="392" fillId="0" borderId="0" xfId="0" applyFont="1" applyBorder="1" applyAlignment="1">
      <alignment vertical="center" wrapText="1"/>
    </xf>
    <xf numFmtId="0" fontId="389" fillId="5" borderId="32" xfId="0" applyFont="1" applyFill="1" applyBorder="1" applyAlignment="1">
      <alignment horizontal="center" vertical="center" wrapText="1"/>
    </xf>
    <xf numFmtId="0" fontId="389" fillId="5" borderId="33" xfId="0" applyFont="1" applyFill="1" applyBorder="1" applyAlignment="1">
      <alignment horizontal="center" vertical="center" wrapText="1"/>
    </xf>
    <xf numFmtId="176" fontId="389" fillId="5" borderId="69" xfId="0" applyNumberFormat="1" applyFont="1" applyFill="1" applyBorder="1" applyAlignment="1">
      <alignment horizontal="center" vertical="center" wrapText="1"/>
    </xf>
    <xf numFmtId="0" fontId="392" fillId="0" borderId="33" xfId="0" applyFont="1" applyBorder="1" applyAlignment="1">
      <alignment vertical="center" wrapText="1"/>
    </xf>
    <xf numFmtId="176" fontId="389" fillId="5" borderId="50" xfId="0" applyNumberFormat="1" applyFont="1" applyFill="1" applyBorder="1" applyAlignment="1">
      <alignment horizontal="center" vertical="center" wrapText="1"/>
    </xf>
    <xf numFmtId="176" fontId="389" fillId="5" borderId="51" xfId="0" applyNumberFormat="1" applyFont="1" applyFill="1" applyBorder="1" applyAlignment="1">
      <alignment horizontal="center" vertical="center" wrapText="1"/>
    </xf>
    <xf numFmtId="176" fontId="389" fillId="5" borderId="52" xfId="0" applyNumberFormat="1" applyFont="1" applyFill="1" applyBorder="1" applyAlignment="1">
      <alignment horizontal="center" vertical="center" wrapText="1"/>
    </xf>
    <xf numFmtId="176" fontId="389" fillId="5" borderId="66" xfId="0" applyNumberFormat="1" applyFont="1" applyFill="1" applyBorder="1" applyAlignment="1">
      <alignment horizontal="center" vertical="center" wrapText="1"/>
    </xf>
    <xf numFmtId="0" fontId="406" fillId="2" borderId="35" xfId="0" applyFont="1" applyFill="1" applyBorder="1" applyAlignment="1">
      <alignment vertical="center"/>
    </xf>
    <xf numFmtId="0" fontId="406" fillId="2" borderId="0" xfId="0" applyFont="1" applyFill="1" applyBorder="1" applyAlignment="1">
      <alignment vertical="center"/>
    </xf>
    <xf numFmtId="0" fontId="406" fillId="2" borderId="0" xfId="0" applyFont="1" applyFill="1" applyBorder="1" applyAlignment="1">
      <alignment horizontal="left" vertical="center"/>
    </xf>
    <xf numFmtId="176" fontId="406" fillId="2" borderId="0" xfId="0" applyNumberFormat="1" applyFont="1" applyFill="1" applyBorder="1" applyAlignment="1">
      <alignment horizontal="right" vertical="center"/>
    </xf>
    <xf numFmtId="176" fontId="406" fillId="2" borderId="54" xfId="0" applyNumberFormat="1" applyFont="1" applyFill="1" applyBorder="1" applyAlignment="1">
      <alignment horizontal="right" vertical="center"/>
    </xf>
    <xf numFmtId="176" fontId="406" fillId="2" borderId="53" xfId="0" applyNumberFormat="1" applyFont="1" applyFill="1" applyBorder="1" applyAlignment="1">
      <alignment horizontal="right" vertical="center"/>
    </xf>
    <xf numFmtId="176" fontId="406" fillId="2" borderId="67" xfId="0" applyNumberFormat="1" applyFont="1" applyFill="1" applyBorder="1" applyAlignment="1">
      <alignment horizontal="right" vertical="center"/>
    </xf>
    <xf numFmtId="0" fontId="406" fillId="0" borderId="35" xfId="0" applyFont="1" applyBorder="1" applyAlignment="1">
      <alignment vertical="center"/>
    </xf>
    <xf numFmtId="0" fontId="406" fillId="0" borderId="0" xfId="0" applyFont="1" applyBorder="1" applyAlignment="1">
      <alignment horizontal="left" vertical="center"/>
    </xf>
    <xf numFmtId="176" fontId="406" fillId="0" borderId="0" xfId="0" applyNumberFormat="1" applyFont="1" applyBorder="1" applyAlignment="1">
      <alignment horizontal="right" vertical="center"/>
    </xf>
    <xf numFmtId="176" fontId="406" fillId="0" borderId="54" xfId="0" applyNumberFormat="1" applyFont="1" applyBorder="1" applyAlignment="1">
      <alignment horizontal="right" vertical="center"/>
    </xf>
    <xf numFmtId="176" fontId="406" fillId="0" borderId="53" xfId="0" applyNumberFormat="1" applyFont="1" applyBorder="1" applyAlignment="1">
      <alignment horizontal="right" vertical="center"/>
    </xf>
    <xf numFmtId="176" fontId="406" fillId="0" borderId="67" xfId="0" applyNumberFormat="1" applyFont="1" applyFill="1" applyBorder="1" applyAlignment="1">
      <alignment horizontal="right" vertical="center"/>
    </xf>
    <xf numFmtId="0" fontId="406" fillId="114" borderId="35" xfId="0" applyFont="1" applyFill="1" applyBorder="1" applyAlignment="1">
      <alignment vertical="center"/>
    </xf>
    <xf numFmtId="0" fontId="406" fillId="114" borderId="0" xfId="0" applyFont="1" applyFill="1" applyBorder="1" applyAlignment="1">
      <alignment horizontal="left" vertical="center"/>
    </xf>
    <xf numFmtId="176" fontId="406" fillId="114" borderId="0" xfId="0" applyNumberFormat="1" applyFont="1" applyFill="1" applyBorder="1" applyAlignment="1">
      <alignment horizontal="right" vertical="center"/>
    </xf>
    <xf numFmtId="176" fontId="406" fillId="114" borderId="54" xfId="0" applyNumberFormat="1" applyFont="1" applyFill="1" applyBorder="1" applyAlignment="1">
      <alignment horizontal="right" vertical="center"/>
    </xf>
    <xf numFmtId="176" fontId="406" fillId="114" borderId="67" xfId="0" applyNumberFormat="1" applyFont="1" applyFill="1" applyBorder="1" applyAlignment="1">
      <alignment horizontal="right" vertical="center"/>
    </xf>
    <xf numFmtId="176" fontId="406" fillId="114" borderId="35" xfId="0" applyNumberFormat="1" applyFont="1" applyFill="1" applyBorder="1" applyAlignment="1">
      <alignment vertical="center"/>
    </xf>
    <xf numFmtId="176" fontId="406" fillId="114" borderId="0" xfId="0" applyNumberFormat="1" applyFont="1" applyFill="1" applyBorder="1" applyAlignment="1">
      <alignment horizontal="left" vertical="center"/>
    </xf>
    <xf numFmtId="181" fontId="406" fillId="0" borderId="0" xfId="0" applyNumberFormat="1" applyFont="1" applyAlignment="1">
      <alignment horizontal="left" vertical="center"/>
    </xf>
    <xf numFmtId="0" fontId="406" fillId="0" borderId="35" xfId="0" applyFont="1" applyFill="1" applyBorder="1" applyAlignment="1">
      <alignment vertical="center"/>
    </xf>
    <xf numFmtId="0" fontId="406" fillId="0" borderId="0" xfId="0" applyFont="1" applyFill="1" applyBorder="1" applyAlignment="1">
      <alignment vertical="center"/>
    </xf>
    <xf numFmtId="0" fontId="406" fillId="0" borderId="0" xfId="0" applyFont="1" applyFill="1" applyBorder="1" applyAlignment="1">
      <alignment horizontal="left" vertical="center"/>
    </xf>
    <xf numFmtId="176" fontId="406" fillId="0" borderId="54" xfId="0" applyNumberFormat="1" applyFont="1" applyFill="1" applyBorder="1" applyAlignment="1">
      <alignment horizontal="right" vertical="center"/>
    </xf>
    <xf numFmtId="176" fontId="406" fillId="0" borderId="53" xfId="0" applyNumberFormat="1" applyFont="1" applyFill="1" applyBorder="1" applyAlignment="1">
      <alignment horizontal="right" vertical="center"/>
    </xf>
    <xf numFmtId="176" fontId="406" fillId="0" borderId="0" xfId="0" applyNumberFormat="1" applyFont="1" applyFill="1" applyBorder="1" applyAlignment="1">
      <alignment horizontal="right" vertical="center"/>
    </xf>
    <xf numFmtId="0" fontId="392" fillId="0" borderId="0" xfId="0" applyFont="1" applyFill="1" applyBorder="1" applyAlignment="1">
      <alignment vertical="center"/>
    </xf>
    <xf numFmtId="176" fontId="399" fillId="0" borderId="0" xfId="0" applyNumberFormat="1" applyFont="1" applyBorder="1" applyAlignment="1">
      <alignment horizontal="left" vertical="center" wrapText="1"/>
    </xf>
    <xf numFmtId="176" fontId="406" fillId="9" borderId="0" xfId="0" applyNumberFormat="1" applyFont="1" applyFill="1" applyBorder="1" applyAlignment="1">
      <alignment vertical="center"/>
    </xf>
    <xf numFmtId="176" fontId="406" fillId="114" borderId="53" xfId="0" applyNumberFormat="1" applyFont="1" applyFill="1" applyBorder="1" applyAlignment="1">
      <alignment horizontal="right" vertical="center"/>
    </xf>
    <xf numFmtId="176" fontId="406" fillId="0" borderId="67" xfId="0" applyNumberFormat="1" applyFont="1" applyBorder="1" applyAlignment="1">
      <alignment horizontal="right" vertical="center"/>
    </xf>
    <xf numFmtId="0" fontId="406" fillId="0" borderId="37" xfId="0" applyFont="1" applyBorder="1" applyAlignment="1">
      <alignment vertical="center"/>
    </xf>
    <xf numFmtId="0" fontId="406" fillId="0" borderId="38" xfId="0" applyFont="1" applyBorder="1" applyAlignment="1">
      <alignment vertical="center"/>
    </xf>
    <xf numFmtId="0" fontId="406" fillId="0" borderId="38" xfId="0" applyFont="1" applyBorder="1" applyAlignment="1">
      <alignment horizontal="left" vertical="center"/>
    </xf>
    <xf numFmtId="176" fontId="406" fillId="0" borderId="38" xfId="0" applyNumberFormat="1" applyFont="1" applyBorder="1" applyAlignment="1">
      <alignment horizontal="right" vertical="center"/>
    </xf>
    <xf numFmtId="0" fontId="392" fillId="0" borderId="38" xfId="0" applyFont="1" applyBorder="1" applyAlignment="1">
      <alignment vertical="center"/>
    </xf>
    <xf numFmtId="176" fontId="406" fillId="0" borderId="55" xfId="0" applyNumberFormat="1" applyFont="1" applyBorder="1" applyAlignment="1">
      <alignment horizontal="right" vertical="center"/>
    </xf>
    <xf numFmtId="176" fontId="406" fillId="0" borderId="56" xfId="0" applyNumberFormat="1" applyFont="1" applyBorder="1" applyAlignment="1">
      <alignment horizontal="right" vertical="center"/>
    </xf>
    <xf numFmtId="176" fontId="406" fillId="0" borderId="57" xfId="0" applyNumberFormat="1" applyFont="1" applyBorder="1" applyAlignment="1">
      <alignment horizontal="right" vertical="center"/>
    </xf>
    <xf numFmtId="176" fontId="406" fillId="0" borderId="68" xfId="0" applyNumberFormat="1" applyFont="1" applyBorder="1" applyAlignment="1">
      <alignment horizontal="right" vertical="center"/>
    </xf>
    <xf numFmtId="0" fontId="392" fillId="0" borderId="50" xfId="0" applyFont="1" applyBorder="1" applyAlignment="1">
      <alignment vertical="center"/>
    </xf>
    <xf numFmtId="0" fontId="392" fillId="0" borderId="51" xfId="0" applyFont="1" applyBorder="1" applyAlignment="1">
      <alignment vertical="center"/>
    </xf>
    <xf numFmtId="0" fontId="392" fillId="0" borderId="51" xfId="0" applyFont="1" applyBorder="1" applyAlignment="1">
      <alignment horizontal="left" vertical="center"/>
    </xf>
    <xf numFmtId="176" fontId="392" fillId="0" borderId="51" xfId="0" applyNumberFormat="1" applyFont="1" applyBorder="1" applyAlignment="1">
      <alignment horizontal="right" vertical="center"/>
    </xf>
    <xf numFmtId="176" fontId="392" fillId="0" borderId="52" xfId="0" applyNumberFormat="1" applyFont="1" applyBorder="1" applyAlignment="1">
      <alignment horizontal="right" vertical="center"/>
    </xf>
    <xf numFmtId="0" fontId="392" fillId="0" borderId="53" xfId="0" applyFont="1" applyBorder="1" applyAlignment="1">
      <alignment vertical="center"/>
    </xf>
    <xf numFmtId="176" fontId="392" fillId="0" borderId="54" xfId="0" applyNumberFormat="1" applyFont="1" applyBorder="1" applyAlignment="1">
      <alignment horizontal="right" vertical="center"/>
    </xf>
    <xf numFmtId="0" fontId="392" fillId="0" borderId="55" xfId="0" applyFont="1" applyBorder="1" applyAlignment="1">
      <alignment vertical="center"/>
    </xf>
    <xf numFmtId="0" fontId="392" fillId="0" borderId="56" xfId="0" applyFont="1" applyBorder="1" applyAlignment="1">
      <alignment vertical="center"/>
    </xf>
    <xf numFmtId="0" fontId="392" fillId="0" borderId="56" xfId="0" applyFont="1" applyBorder="1" applyAlignment="1">
      <alignment horizontal="left" vertical="center"/>
    </xf>
    <xf numFmtId="176" fontId="392" fillId="0" borderId="56" xfId="0" applyNumberFormat="1" applyFont="1" applyBorder="1" applyAlignment="1">
      <alignment horizontal="right" vertical="center"/>
    </xf>
    <xf numFmtId="176" fontId="392" fillId="0" borderId="57" xfId="0" applyNumberFormat="1" applyFont="1" applyBorder="1" applyAlignment="1">
      <alignment horizontal="right" vertical="center"/>
    </xf>
    <xf numFmtId="41" fontId="392" fillId="0" borderId="0" xfId="1" applyFont="1" applyBorder="1" applyAlignment="1">
      <alignment horizontal="left" vertical="center"/>
    </xf>
    <xf numFmtId="0" fontId="391" fillId="0" borderId="0" xfId="0" applyFont="1" applyBorder="1" applyAlignment="1">
      <alignment horizontal="center" vertical="center"/>
    </xf>
    <xf numFmtId="0" fontId="396" fillId="0" borderId="0" xfId="0" applyFont="1" applyBorder="1" applyAlignment="1">
      <alignment vertical="center"/>
    </xf>
    <xf numFmtId="0" fontId="389" fillId="29" borderId="33" xfId="0" applyFont="1" applyFill="1" applyBorder="1" applyAlignment="1">
      <alignment horizontal="center" vertical="center" wrapText="1"/>
    </xf>
    <xf numFmtId="0" fontId="389" fillId="5" borderId="34" xfId="0" applyFont="1" applyFill="1" applyBorder="1" applyAlignment="1">
      <alignment horizontal="center" vertical="center" wrapText="1"/>
    </xf>
    <xf numFmtId="0" fontId="390" fillId="4" borderId="35" xfId="0" applyFont="1" applyFill="1" applyBorder="1" applyAlignment="1">
      <alignment horizontal="center" vertical="center"/>
    </xf>
    <xf numFmtId="0" fontId="390" fillId="4" borderId="0" xfId="0" applyFont="1" applyFill="1" applyBorder="1" applyAlignment="1">
      <alignment vertical="center"/>
    </xf>
    <xf numFmtId="0" fontId="392" fillId="4" borderId="0" xfId="0" applyFont="1" applyFill="1" applyBorder="1" applyAlignment="1">
      <alignment horizontal="center" vertical="center"/>
    </xf>
    <xf numFmtId="0" fontId="390" fillId="4" borderId="0" xfId="0" applyFont="1" applyFill="1" applyBorder="1" applyAlignment="1">
      <alignment horizontal="left" vertical="center"/>
    </xf>
    <xf numFmtId="176" fontId="390" fillId="4" borderId="0" xfId="0" applyNumberFormat="1" applyFont="1" applyFill="1" applyBorder="1" applyAlignment="1">
      <alignment horizontal="left" vertical="center" indent="1"/>
    </xf>
    <xf numFmtId="0" fontId="390" fillId="2" borderId="35" xfId="0" applyFont="1" applyFill="1" applyBorder="1" applyAlignment="1">
      <alignment horizontal="center" vertical="center"/>
    </xf>
    <xf numFmtId="0" fontId="390" fillId="2" borderId="0" xfId="0" applyFont="1" applyFill="1" applyBorder="1" applyAlignment="1">
      <alignment vertical="center"/>
    </xf>
    <xf numFmtId="0" fontId="392" fillId="2" borderId="0" xfId="0" applyFont="1" applyFill="1" applyBorder="1" applyAlignment="1">
      <alignment horizontal="center" vertical="center"/>
    </xf>
    <xf numFmtId="0" fontId="390" fillId="2" borderId="0" xfId="0" applyFont="1" applyFill="1" applyBorder="1" applyAlignment="1">
      <alignment horizontal="left" vertical="center"/>
    </xf>
    <xf numFmtId="176" fontId="390" fillId="2" borderId="0" xfId="0" applyNumberFormat="1" applyFont="1" applyFill="1" applyBorder="1" applyAlignment="1">
      <alignment horizontal="left" vertical="center" indent="1"/>
    </xf>
    <xf numFmtId="0" fontId="390" fillId="3" borderId="35" xfId="0" applyFont="1" applyFill="1" applyBorder="1" applyAlignment="1">
      <alignment horizontal="center" vertical="center"/>
    </xf>
    <xf numFmtId="0" fontId="390" fillId="3" borderId="0" xfId="0" applyFont="1" applyFill="1" applyBorder="1" applyAlignment="1">
      <alignment vertical="center"/>
    </xf>
    <xf numFmtId="0" fontId="392" fillId="3" borderId="0" xfId="0" applyFont="1" applyFill="1" applyBorder="1" applyAlignment="1">
      <alignment horizontal="center" vertical="center"/>
    </xf>
    <xf numFmtId="0" fontId="390" fillId="3" borderId="0" xfId="0" applyFont="1" applyFill="1" applyBorder="1" applyAlignment="1">
      <alignment horizontal="left" vertical="center"/>
    </xf>
    <xf numFmtId="176" fontId="390" fillId="3" borderId="0" xfId="0" applyNumberFormat="1" applyFont="1" applyFill="1" applyBorder="1" applyAlignment="1">
      <alignment horizontal="left" vertical="center" indent="1"/>
    </xf>
    <xf numFmtId="0" fontId="392" fillId="0" borderId="35" xfId="0" applyFont="1" applyBorder="1" applyAlignment="1">
      <alignment horizontal="center" vertical="center"/>
    </xf>
    <xf numFmtId="0" fontId="390" fillId="0" borderId="38" xfId="0" applyFont="1" applyBorder="1" applyAlignment="1">
      <alignment vertical="center"/>
    </xf>
    <xf numFmtId="0" fontId="392" fillId="0" borderId="38" xfId="0" applyFont="1" applyBorder="1" applyAlignment="1">
      <alignment horizontal="center" vertical="center"/>
    </xf>
    <xf numFmtId="0" fontId="390" fillId="0" borderId="38" xfId="0" applyFont="1" applyBorder="1" applyAlignment="1">
      <alignment horizontal="left" vertical="center"/>
    </xf>
    <xf numFmtId="176" fontId="392" fillId="0" borderId="38" xfId="0" applyNumberFormat="1" applyFont="1" applyBorder="1" applyAlignment="1">
      <alignment horizontal="left" vertical="center" indent="1"/>
    </xf>
    <xf numFmtId="184" fontId="391" fillId="0" borderId="0" xfId="0" applyNumberFormat="1" applyFont="1" applyBorder="1" applyAlignment="1">
      <alignment vertical="center"/>
    </xf>
    <xf numFmtId="176" fontId="391" fillId="114" borderId="0" xfId="0" applyNumberFormat="1" applyFont="1" applyFill="1" applyBorder="1" applyAlignment="1">
      <alignment horizontal="center" vertical="center"/>
    </xf>
    <xf numFmtId="41" fontId="392" fillId="0" borderId="0" xfId="1" applyFont="1" applyBorder="1" applyAlignment="1">
      <alignment horizontal="center" vertical="center"/>
    </xf>
    <xf numFmtId="10" fontId="391" fillId="0" borderId="0" xfId="2" applyNumberFormat="1" applyFont="1" applyBorder="1" applyAlignment="1">
      <alignment horizontal="center" vertical="center"/>
    </xf>
    <xf numFmtId="41" fontId="391" fillId="0" borderId="0" xfId="1" applyFont="1" applyBorder="1" applyAlignment="1">
      <alignment horizontal="center" vertical="center"/>
    </xf>
    <xf numFmtId="0" fontId="391" fillId="0" borderId="0" xfId="0" applyFont="1" applyAlignment="1">
      <alignment horizontal="center" vertical="center"/>
    </xf>
    <xf numFmtId="176" fontId="389" fillId="29" borderId="46" xfId="0" applyNumberFormat="1" applyFont="1" applyFill="1" applyBorder="1" applyAlignment="1">
      <alignment horizontal="center" vertical="center" wrapText="1"/>
    </xf>
    <xf numFmtId="176" fontId="389" fillId="5" borderId="46" xfId="0" applyNumberFormat="1" applyFont="1" applyFill="1" applyBorder="1" applyAlignment="1">
      <alignment horizontal="center" vertical="center" wrapText="1"/>
    </xf>
    <xf numFmtId="0" fontId="389" fillId="5" borderId="46" xfId="0" applyFont="1" applyFill="1" applyBorder="1" applyAlignment="1">
      <alignment horizontal="center" vertical="center" wrapText="1"/>
    </xf>
    <xf numFmtId="0" fontId="390" fillId="2" borderId="0" xfId="0" applyFont="1" applyFill="1" applyBorder="1" applyAlignment="1">
      <alignment horizontal="center" vertical="center"/>
    </xf>
    <xf numFmtId="176" fontId="390" fillId="2" borderId="0" xfId="0" applyNumberFormat="1" applyFont="1" applyFill="1" applyAlignment="1">
      <alignment horizontal="right" vertical="center"/>
    </xf>
    <xf numFmtId="176" fontId="390" fillId="2" borderId="0" xfId="0" applyNumberFormat="1" applyFont="1" applyFill="1" applyBorder="1" applyAlignment="1">
      <alignment horizontal="right" vertical="center"/>
    </xf>
    <xf numFmtId="176" fontId="390" fillId="2" borderId="36" xfId="0" applyNumberFormat="1" applyFont="1" applyFill="1" applyBorder="1" applyAlignment="1">
      <alignment horizontal="right" vertical="center"/>
    </xf>
    <xf numFmtId="176" fontId="390" fillId="2" borderId="53" xfId="0" applyNumberFormat="1" applyFont="1" applyFill="1" applyBorder="1" applyAlignment="1">
      <alignment horizontal="right" vertical="center"/>
    </xf>
    <xf numFmtId="176" fontId="390" fillId="2" borderId="54" xfId="0" applyNumberFormat="1" applyFont="1" applyFill="1" applyBorder="1" applyAlignment="1">
      <alignment horizontal="right" vertical="center"/>
    </xf>
    <xf numFmtId="176" fontId="390" fillId="2" borderId="47" xfId="0" applyNumberFormat="1" applyFont="1" applyFill="1" applyBorder="1" applyAlignment="1">
      <alignment horizontal="right" vertical="center"/>
    </xf>
    <xf numFmtId="176" fontId="390" fillId="2" borderId="35" xfId="0" applyNumberFormat="1" applyFont="1" applyFill="1" applyBorder="1" applyAlignment="1">
      <alignment horizontal="right" vertical="center"/>
    </xf>
    <xf numFmtId="41" fontId="390" fillId="2" borderId="36" xfId="1" applyFont="1" applyFill="1" applyBorder="1" applyAlignment="1">
      <alignment horizontal="right" vertical="center"/>
    </xf>
    <xf numFmtId="176" fontId="392" fillId="0" borderId="47" xfId="0" applyNumberFormat="1" applyFont="1" applyBorder="1" applyAlignment="1">
      <alignment vertical="center"/>
    </xf>
    <xf numFmtId="41" fontId="392" fillId="0" borderId="47" xfId="1" applyFont="1" applyBorder="1" applyAlignment="1">
      <alignment vertical="center"/>
    </xf>
    <xf numFmtId="41" fontId="392" fillId="0" borderId="36" xfId="1" applyFont="1" applyBorder="1" applyAlignment="1">
      <alignment vertical="center"/>
    </xf>
    <xf numFmtId="176" fontId="390" fillId="2" borderId="0" xfId="0" applyNumberFormat="1" applyFont="1" applyFill="1" applyAlignment="1">
      <alignment vertical="center"/>
    </xf>
    <xf numFmtId="176" fontId="390" fillId="2" borderId="53" xfId="0" applyNumberFormat="1" applyFont="1" applyFill="1" applyBorder="1" applyAlignment="1">
      <alignment vertical="center"/>
    </xf>
    <xf numFmtId="176" fontId="390" fillId="2" borderId="54" xfId="0" applyNumberFormat="1" applyFont="1" applyFill="1" applyBorder="1" applyAlignment="1">
      <alignment vertical="center"/>
    </xf>
    <xf numFmtId="176" fontId="390" fillId="2" borderId="47" xfId="0" applyNumberFormat="1" applyFont="1" applyFill="1" applyBorder="1" applyAlignment="1">
      <alignment vertical="center"/>
    </xf>
    <xf numFmtId="176" fontId="390" fillId="2" borderId="35" xfId="0" applyNumberFormat="1" applyFont="1" applyFill="1" applyBorder="1" applyAlignment="1">
      <alignment vertical="center"/>
    </xf>
    <xf numFmtId="0" fontId="392" fillId="0" borderId="35" xfId="0" applyFont="1" applyFill="1" applyBorder="1" applyAlignment="1">
      <alignment horizontal="center" vertical="center"/>
    </xf>
    <xf numFmtId="0" fontId="392" fillId="0" borderId="0" xfId="0" applyFont="1" applyFill="1" applyBorder="1" applyAlignment="1">
      <alignment horizontal="center" vertical="center"/>
    </xf>
    <xf numFmtId="181" fontId="392" fillId="0" borderId="0" xfId="0" applyNumberFormat="1" applyFont="1" applyAlignment="1">
      <alignment horizontal="left" vertical="center"/>
    </xf>
    <xf numFmtId="0" fontId="390" fillId="3" borderId="0" xfId="0" applyFont="1" applyFill="1" applyBorder="1" applyAlignment="1">
      <alignment horizontal="center" vertical="center"/>
    </xf>
    <xf numFmtId="176" fontId="390" fillId="3" borderId="53" xfId="0" applyNumberFormat="1" applyFont="1" applyFill="1" applyBorder="1" applyAlignment="1">
      <alignment vertical="center"/>
    </xf>
    <xf numFmtId="176" fontId="390" fillId="3" borderId="54" xfId="0" applyNumberFormat="1" applyFont="1" applyFill="1" applyBorder="1" applyAlignment="1">
      <alignment vertical="center"/>
    </xf>
    <xf numFmtId="176" fontId="390" fillId="3" borderId="47" xfId="0" applyNumberFormat="1" applyFont="1" applyFill="1" applyBorder="1" applyAlignment="1">
      <alignment vertical="center"/>
    </xf>
    <xf numFmtId="176" fontId="390" fillId="3" borderId="35" xfId="0" applyNumberFormat="1" applyFont="1" applyFill="1" applyBorder="1" applyAlignment="1">
      <alignment vertical="center"/>
    </xf>
    <xf numFmtId="41" fontId="390" fillId="3" borderId="36" xfId="1" applyFont="1" applyFill="1" applyBorder="1" applyAlignment="1">
      <alignment vertical="center"/>
    </xf>
    <xf numFmtId="0" fontId="406" fillId="0" borderId="35" xfId="0" applyFont="1" applyBorder="1" applyAlignment="1">
      <alignment horizontal="center" vertical="center"/>
    </xf>
    <xf numFmtId="0" fontId="406" fillId="0" borderId="0" xfId="0" applyFont="1" applyBorder="1" applyAlignment="1">
      <alignment horizontal="center" vertical="center"/>
    </xf>
    <xf numFmtId="181" fontId="406" fillId="0" borderId="35" xfId="0" applyNumberFormat="1" applyFont="1" applyBorder="1" applyAlignment="1">
      <alignment horizontal="center" vertical="center"/>
    </xf>
    <xf numFmtId="176" fontId="392" fillId="114" borderId="35" xfId="0" applyNumberFormat="1" applyFont="1" applyFill="1" applyBorder="1" applyAlignment="1">
      <alignment vertical="center"/>
    </xf>
    <xf numFmtId="0" fontId="391" fillId="114" borderId="35" xfId="0" applyFont="1" applyFill="1" applyBorder="1" applyAlignment="1">
      <alignment horizontal="center" vertical="center"/>
    </xf>
    <xf numFmtId="0" fontId="391" fillId="114" borderId="0" xfId="0" applyFont="1" applyFill="1" applyBorder="1" applyAlignment="1">
      <alignment vertical="center"/>
    </xf>
    <xf numFmtId="0" fontId="391" fillId="114" borderId="0" xfId="4" applyNumberFormat="1" applyFont="1" applyFill="1" applyBorder="1" applyAlignment="1">
      <alignment horizontal="center" vertical="center"/>
    </xf>
    <xf numFmtId="176" fontId="392" fillId="114" borderId="36" xfId="0" applyNumberFormat="1" applyFont="1" applyFill="1" applyBorder="1" applyAlignment="1">
      <alignment vertical="center"/>
    </xf>
    <xf numFmtId="176" fontId="392" fillId="114" borderId="47" xfId="0" applyNumberFormat="1" applyFont="1" applyFill="1" applyBorder="1" applyAlignment="1">
      <alignment vertical="center"/>
    </xf>
    <xf numFmtId="41" fontId="392" fillId="114" borderId="47" xfId="1" applyFont="1" applyFill="1" applyBorder="1" applyAlignment="1">
      <alignment vertical="center"/>
    </xf>
    <xf numFmtId="41" fontId="392" fillId="114" borderId="36" xfId="1" applyFont="1" applyFill="1" applyBorder="1" applyAlignment="1">
      <alignment vertical="center"/>
    </xf>
    <xf numFmtId="0" fontId="406" fillId="0" borderId="35" xfId="0" applyFont="1" applyFill="1" applyBorder="1" applyAlignment="1">
      <alignment horizontal="center" vertical="center"/>
    </xf>
    <xf numFmtId="0" fontId="406" fillId="0" borderId="0" xfId="0" applyFont="1" applyFill="1" applyBorder="1" applyAlignment="1">
      <alignment horizontal="center" vertical="center"/>
    </xf>
    <xf numFmtId="0" fontId="392" fillId="0" borderId="37" xfId="0" applyFont="1" applyBorder="1" applyAlignment="1">
      <alignment horizontal="center" vertical="center"/>
    </xf>
    <xf numFmtId="176" fontId="392" fillId="0" borderId="48" xfId="0" applyNumberFormat="1" applyFont="1" applyBorder="1" applyAlignment="1">
      <alignment vertical="center"/>
    </xf>
    <xf numFmtId="41" fontId="392" fillId="0" borderId="48" xfId="1" applyFont="1" applyBorder="1" applyAlignment="1">
      <alignment vertical="center"/>
    </xf>
    <xf numFmtId="41" fontId="392" fillId="0" borderId="39" xfId="1" applyFont="1" applyBorder="1" applyAlignment="1">
      <alignment vertical="center"/>
    </xf>
    <xf numFmtId="176" fontId="396" fillId="0" borderId="0" xfId="0" applyNumberFormat="1" applyFont="1" applyBorder="1" applyAlignment="1">
      <alignment vertical="center"/>
    </xf>
    <xf numFmtId="10" fontId="392" fillId="0" borderId="0" xfId="2" applyNumberFormat="1" applyFont="1" applyBorder="1" applyAlignment="1">
      <alignment vertical="center"/>
    </xf>
    <xf numFmtId="3" fontId="392" fillId="0" borderId="0" xfId="0" applyNumberFormat="1" applyFont="1" applyBorder="1" applyAlignment="1">
      <alignment vertical="center"/>
    </xf>
    <xf numFmtId="0" fontId="392" fillId="114" borderId="0" xfId="0" applyFont="1" applyFill="1" applyAlignment="1">
      <alignment vertical="center"/>
    </xf>
    <xf numFmtId="176" fontId="391" fillId="114" borderId="0" xfId="0" applyNumberFormat="1" applyFont="1" applyFill="1" applyAlignment="1">
      <alignment vertical="center"/>
    </xf>
    <xf numFmtId="0" fontId="391" fillId="114" borderId="0" xfId="0" applyFont="1" applyFill="1" applyAlignment="1">
      <alignment vertical="center"/>
    </xf>
    <xf numFmtId="3" fontId="391" fillId="114" borderId="0" xfId="0" applyNumberFormat="1" applyFont="1" applyFill="1" applyAlignment="1">
      <alignment vertical="center"/>
    </xf>
    <xf numFmtId="41" fontId="391" fillId="0" borderId="0" xfId="1" applyFont="1" applyAlignment="1">
      <alignment vertical="center"/>
    </xf>
    <xf numFmtId="0" fontId="391" fillId="114" borderId="0" xfId="0" applyFont="1" applyFill="1" applyAlignment="1">
      <alignment horizontal="center" vertical="center"/>
    </xf>
    <xf numFmtId="10" fontId="391" fillId="114" borderId="0" xfId="2" applyNumberFormat="1" applyFont="1" applyFill="1" applyAlignment="1">
      <alignment horizontal="center" vertical="center"/>
    </xf>
    <xf numFmtId="41" fontId="391" fillId="0" borderId="0" xfId="1" applyFont="1" applyAlignment="1">
      <alignment horizontal="center" vertical="center"/>
    </xf>
    <xf numFmtId="0" fontId="390" fillId="0" borderId="0" xfId="0" applyFont="1" applyAlignment="1">
      <alignment vertical="center" wrapText="1"/>
    </xf>
    <xf numFmtId="0" fontId="390" fillId="0" borderId="0" xfId="0" applyFont="1" applyBorder="1" applyAlignment="1">
      <alignment vertical="center" wrapText="1"/>
    </xf>
    <xf numFmtId="0" fontId="390" fillId="114" borderId="0" xfId="0" applyFont="1" applyFill="1" applyAlignment="1">
      <alignment vertical="center" wrapText="1"/>
    </xf>
    <xf numFmtId="176" fontId="390" fillId="4" borderId="0" xfId="0" applyNumberFormat="1" applyFont="1" applyFill="1" applyAlignment="1">
      <alignment vertical="center"/>
    </xf>
    <xf numFmtId="176" fontId="390" fillId="4" borderId="35" xfId="0" applyNumberFormat="1" applyFont="1" applyFill="1" applyBorder="1" applyAlignment="1">
      <alignment vertical="center"/>
    </xf>
    <xf numFmtId="176" fontId="390" fillId="4" borderId="47" xfId="0" applyNumberFormat="1" applyFont="1" applyFill="1" applyBorder="1" applyAlignment="1">
      <alignment vertical="center"/>
    </xf>
    <xf numFmtId="176" fontId="392" fillId="0" borderId="35" xfId="0" applyNumberFormat="1" applyFont="1" applyFill="1" applyBorder="1" applyAlignment="1">
      <alignment vertical="center"/>
    </xf>
    <xf numFmtId="0" fontId="392" fillId="0" borderId="0" xfId="0" applyFont="1" applyFill="1" applyAlignment="1">
      <alignment vertical="center"/>
    </xf>
    <xf numFmtId="0" fontId="390" fillId="3" borderId="35" xfId="0" applyFont="1" applyFill="1" applyBorder="1" applyAlignment="1">
      <alignment vertical="center"/>
    </xf>
    <xf numFmtId="0" fontId="392" fillId="114" borderId="35" xfId="0" applyFont="1" applyFill="1" applyBorder="1" applyAlignment="1">
      <alignment horizontal="center" vertical="center"/>
    </xf>
    <xf numFmtId="0" fontId="392" fillId="114" borderId="0" xfId="0" applyFont="1" applyFill="1" applyBorder="1" applyAlignment="1">
      <alignment horizontal="center" vertical="center"/>
    </xf>
    <xf numFmtId="176" fontId="392" fillId="0" borderId="36" xfId="0" applyNumberFormat="1" applyFont="1" applyFill="1" applyBorder="1" applyAlignment="1">
      <alignment vertical="center"/>
    </xf>
    <xf numFmtId="181" fontId="392" fillId="0" borderId="53" xfId="0" applyNumberFormat="1" applyFont="1" applyBorder="1" applyAlignment="1">
      <alignment horizontal="center" vertical="center"/>
    </xf>
    <xf numFmtId="0" fontId="406" fillId="114" borderId="0" xfId="0" applyFont="1" applyFill="1" applyBorder="1" applyAlignment="1">
      <alignment horizontal="center" vertical="center"/>
    </xf>
    <xf numFmtId="0" fontId="406" fillId="114" borderId="35" xfId="0" applyFont="1" applyFill="1" applyBorder="1" applyAlignment="1">
      <alignment horizontal="center" vertical="center"/>
    </xf>
    <xf numFmtId="0" fontId="390" fillId="114" borderId="0" xfId="0" applyFont="1" applyFill="1" applyAlignment="1">
      <alignment vertical="center"/>
    </xf>
    <xf numFmtId="0" fontId="392" fillId="0" borderId="35" xfId="0" applyFont="1" applyBorder="1" applyAlignment="1">
      <alignment vertical="center"/>
    </xf>
    <xf numFmtId="176" fontId="390" fillId="4" borderId="48" xfId="0" applyNumberFormat="1" applyFont="1" applyFill="1" applyBorder="1" applyAlignment="1">
      <alignment vertical="center"/>
    </xf>
    <xf numFmtId="0" fontId="390" fillId="4" borderId="37" xfId="0" applyFont="1" applyFill="1" applyBorder="1" applyAlignment="1">
      <alignment horizontal="center" vertical="center"/>
    </xf>
    <xf numFmtId="0" fontId="390" fillId="4" borderId="38" xfId="0" applyFont="1" applyFill="1" applyBorder="1" applyAlignment="1">
      <alignment vertical="center"/>
    </xf>
    <xf numFmtId="0" fontId="392" fillId="4" borderId="38" xfId="0" applyFont="1" applyFill="1" applyBorder="1" applyAlignment="1">
      <alignment horizontal="center" vertical="center"/>
    </xf>
    <xf numFmtId="176" fontId="390" fillId="4" borderId="38" xfId="0" applyNumberFormat="1" applyFont="1" applyFill="1" applyBorder="1" applyAlignment="1">
      <alignment vertical="center"/>
    </xf>
    <xf numFmtId="176" fontId="390" fillId="4" borderId="39" xfId="0" applyNumberFormat="1" applyFont="1" applyFill="1" applyBorder="1" applyAlignment="1">
      <alignment vertical="center"/>
    </xf>
    <xf numFmtId="176" fontId="390" fillId="4" borderId="37" xfId="0" applyNumberFormat="1" applyFont="1" applyFill="1" applyBorder="1" applyAlignment="1">
      <alignment vertical="center"/>
    </xf>
    <xf numFmtId="0" fontId="390" fillId="0" borderId="0" xfId="0" applyFont="1" applyAlignment="1">
      <alignment horizontal="left" vertical="center"/>
    </xf>
    <xf numFmtId="0" fontId="392" fillId="114" borderId="0" xfId="0" applyFont="1" applyFill="1" applyAlignment="1">
      <alignment horizontal="center" vertical="center"/>
    </xf>
    <xf numFmtId="41" fontId="392" fillId="114" borderId="0" xfId="1" applyFont="1" applyFill="1" applyAlignment="1">
      <alignment horizontal="center" vertical="center"/>
    </xf>
    <xf numFmtId="41" fontId="392" fillId="0" borderId="0" xfId="1" applyFont="1" applyAlignment="1">
      <alignment horizontal="center" vertical="center"/>
    </xf>
    <xf numFmtId="0" fontId="392" fillId="0" borderId="94" xfId="0" applyFont="1" applyBorder="1" applyAlignment="1">
      <alignment horizontal="center" vertical="center"/>
    </xf>
    <xf numFmtId="184" fontId="392" fillId="0" borderId="0" xfId="0" applyNumberFormat="1" applyFont="1" applyFill="1" applyBorder="1" applyAlignment="1">
      <alignment vertical="center"/>
    </xf>
    <xf numFmtId="184" fontId="392" fillId="114" borderId="0" xfId="0" applyNumberFormat="1" applyFont="1" applyFill="1" applyBorder="1" applyAlignment="1">
      <alignment vertical="center"/>
    </xf>
    <xf numFmtId="0" fontId="406" fillId="0" borderId="94" xfId="0" applyFont="1" applyBorder="1" applyAlignment="1">
      <alignment horizontal="center" vertical="center"/>
    </xf>
    <xf numFmtId="3" fontId="392" fillId="114" borderId="0" xfId="0" applyNumberFormat="1" applyFont="1" applyFill="1" applyAlignment="1">
      <alignment horizontal="center" vertical="center"/>
    </xf>
    <xf numFmtId="0" fontId="389" fillId="0" borderId="0" xfId="0" applyFont="1" applyFill="1" applyBorder="1" applyAlignment="1">
      <alignment horizontal="center" vertical="center" wrapText="1"/>
    </xf>
    <xf numFmtId="176" fontId="389" fillId="114" borderId="0" xfId="0" applyNumberFormat="1" applyFont="1" applyFill="1" applyBorder="1" applyAlignment="1">
      <alignment horizontal="center" vertical="center" wrapText="1"/>
    </xf>
    <xf numFmtId="0" fontId="411" fillId="113" borderId="122" xfId="0" applyFont="1" applyFill="1" applyBorder="1" applyAlignment="1">
      <alignment horizontal="center"/>
    </xf>
    <xf numFmtId="0" fontId="411" fillId="9" borderId="122" xfId="0" applyFont="1" applyFill="1" applyBorder="1"/>
    <xf numFmtId="0" fontId="411" fillId="0" borderId="122" xfId="0" applyFont="1" applyBorder="1"/>
    <xf numFmtId="41" fontId="404" fillId="0" borderId="122" xfId="1" applyFont="1" applyFill="1" applyBorder="1" applyAlignment="1">
      <alignment horizontal="center" vertical="center"/>
    </xf>
    <xf numFmtId="41" fontId="413" fillId="0" borderId="122" xfId="1" applyFont="1" applyFill="1" applyBorder="1" applyAlignment="1">
      <alignment horizontal="center" vertical="center" wrapText="1"/>
    </xf>
    <xf numFmtId="181" fontId="406" fillId="0" borderId="0" xfId="0" applyNumberFormat="1" applyFont="1" applyFill="1" applyBorder="1" applyAlignment="1">
      <alignment horizontal="right" vertical="center"/>
    </xf>
    <xf numFmtId="0" fontId="401" fillId="0" borderId="0" xfId="0" applyFont="1" applyAlignment="1">
      <alignment vertical="center"/>
    </xf>
    <xf numFmtId="0" fontId="402" fillId="0" borderId="0" xfId="0" applyFont="1" applyAlignment="1">
      <alignment vertical="center"/>
    </xf>
    <xf numFmtId="0" fontId="402" fillId="0" borderId="0" xfId="0" applyFont="1" applyAlignment="1">
      <alignment horizontal="center" vertical="center"/>
    </xf>
    <xf numFmtId="184" fontId="401" fillId="0" borderId="0" xfId="0" applyNumberFormat="1" applyFont="1" applyAlignment="1">
      <alignment vertical="center"/>
    </xf>
    <xf numFmtId="0" fontId="392" fillId="0" borderId="0" xfId="0" applyFont="1" applyAlignment="1">
      <alignment horizontal="right" vertical="center"/>
    </xf>
    <xf numFmtId="0" fontId="401" fillId="18" borderId="138" xfId="172" applyFont="1" applyFill="1" applyBorder="1" applyAlignment="1">
      <alignment horizontal="centerContinuous" vertical="center"/>
    </xf>
    <xf numFmtId="0" fontId="401" fillId="18" borderId="126" xfId="172" applyFont="1" applyFill="1" applyAlignment="1">
      <alignment horizontal="centerContinuous" vertical="center"/>
    </xf>
    <xf numFmtId="0" fontId="401" fillId="18" borderId="133" xfId="172" applyFont="1" applyFill="1" applyBorder="1" applyAlignment="1">
      <alignment horizontal="centerContinuous" vertical="center"/>
    </xf>
    <xf numFmtId="0" fontId="401" fillId="18" borderId="126" xfId="172" applyFont="1" applyFill="1" applyBorder="1" applyAlignment="1">
      <alignment horizontal="centerContinuous" vertical="center"/>
    </xf>
    <xf numFmtId="0" fontId="401" fillId="18" borderId="138" xfId="172" applyFont="1" applyFill="1" applyBorder="1" applyAlignment="1">
      <alignment horizontal="center" vertical="center"/>
    </xf>
    <xf numFmtId="0" fontId="401" fillId="18" borderId="126" xfId="172" applyFont="1" applyFill="1" applyAlignment="1">
      <alignment horizontal="center" vertical="center"/>
    </xf>
    <xf numFmtId="0" fontId="401" fillId="18" borderId="133" xfId="172" applyFont="1" applyFill="1" applyBorder="1" applyAlignment="1">
      <alignment horizontal="center" vertical="center"/>
    </xf>
    <xf numFmtId="0" fontId="401" fillId="18" borderId="126" xfId="172" applyFont="1" applyFill="1" applyBorder="1" applyAlignment="1">
      <alignment horizontal="center" vertical="center"/>
    </xf>
    <xf numFmtId="0" fontId="401" fillId="3" borderId="130" xfId="172" applyFont="1" applyFill="1" applyBorder="1" applyAlignment="1">
      <alignment vertical="center"/>
    </xf>
    <xf numFmtId="186" fontId="401" fillId="3" borderId="139" xfId="172" applyNumberFormat="1" applyFont="1" applyFill="1" applyBorder="1" applyAlignment="1">
      <alignment vertical="center"/>
    </xf>
    <xf numFmtId="186" fontId="401" fillId="3" borderId="130" xfId="172" applyNumberFormat="1" applyFont="1" applyFill="1" applyBorder="1" applyAlignment="1">
      <alignment vertical="center"/>
    </xf>
    <xf numFmtId="186" fontId="401" fillId="3" borderId="134" xfId="172" applyNumberFormat="1" applyFont="1" applyFill="1" applyBorder="1" applyAlignment="1">
      <alignment vertical="center"/>
    </xf>
    <xf numFmtId="345" fontId="401" fillId="116" borderId="167" xfId="172" applyNumberFormat="1" applyFont="1" applyFill="1" applyBorder="1" applyAlignment="1">
      <alignment vertical="center"/>
    </xf>
    <xf numFmtId="345" fontId="401" fillId="3" borderId="131" xfId="172" applyNumberFormat="1" applyFont="1" applyFill="1" applyBorder="1" applyAlignment="1">
      <alignment vertical="center"/>
    </xf>
    <xf numFmtId="0" fontId="415" fillId="0" borderId="0" xfId="0" applyFont="1" applyAlignment="1">
      <alignment horizontal="center" vertical="center"/>
    </xf>
    <xf numFmtId="186" fontId="402" fillId="0" borderId="0" xfId="0" applyNumberFormat="1" applyFont="1" applyAlignment="1">
      <alignment vertical="center"/>
    </xf>
    <xf numFmtId="0" fontId="402" fillId="0" borderId="131" xfId="172" applyFont="1" applyBorder="1" applyAlignment="1">
      <alignment vertical="center"/>
    </xf>
    <xf numFmtId="186" fontId="402" fillId="0" borderId="140" xfId="172" applyNumberFormat="1" applyFont="1" applyBorder="1" applyAlignment="1">
      <alignment vertical="center"/>
    </xf>
    <xf numFmtId="186" fontId="402" fillId="0" borderId="131" xfId="172" applyNumberFormat="1" applyFont="1" applyBorder="1" applyAlignment="1">
      <alignment vertical="center"/>
    </xf>
    <xf numFmtId="345" fontId="402" fillId="0" borderId="131" xfId="172" applyNumberFormat="1" applyFont="1" applyBorder="1" applyAlignment="1">
      <alignment vertical="center"/>
    </xf>
    <xf numFmtId="186" fontId="402" fillId="0" borderId="135" xfId="172" applyNumberFormat="1" applyFont="1" applyBorder="1" applyAlignment="1">
      <alignment vertical="center"/>
    </xf>
    <xf numFmtId="0" fontId="402" fillId="0" borderId="167" xfId="172" applyFont="1" applyBorder="1" applyAlignment="1">
      <alignment vertical="center"/>
    </xf>
    <xf numFmtId="186" fontId="402" fillId="0" borderId="168" xfId="172" applyNumberFormat="1" applyFont="1" applyBorder="1" applyAlignment="1">
      <alignment vertical="center"/>
    </xf>
    <xf numFmtId="186" fontId="402" fillId="0" borderId="167" xfId="172" applyNumberFormat="1" applyFont="1" applyBorder="1" applyAlignment="1">
      <alignment vertical="center"/>
    </xf>
    <xf numFmtId="186" fontId="402" fillId="0" borderId="169" xfId="172" applyNumberFormat="1" applyFont="1" applyBorder="1" applyAlignment="1">
      <alignment vertical="center"/>
    </xf>
    <xf numFmtId="345" fontId="402" fillId="0" borderId="167" xfId="172" applyNumberFormat="1" applyFont="1" applyBorder="1" applyAlignment="1">
      <alignment vertical="center"/>
    </xf>
    <xf numFmtId="0" fontId="402" fillId="0" borderId="132" xfId="172" applyFont="1" applyBorder="1" applyAlignment="1">
      <alignment vertical="center"/>
    </xf>
    <xf numFmtId="186" fontId="402" fillId="0" borderId="141" xfId="172" applyNumberFormat="1" applyFont="1" applyBorder="1" applyAlignment="1">
      <alignment vertical="center"/>
    </xf>
    <xf numFmtId="186" fontId="402" fillId="0" borderId="132" xfId="172" applyNumberFormat="1" applyFont="1" applyBorder="1" applyAlignment="1">
      <alignment vertical="center"/>
    </xf>
    <xf numFmtId="345" fontId="402" fillId="0" borderId="132" xfId="172" applyNumberFormat="1" applyFont="1" applyBorder="1" applyAlignment="1">
      <alignment vertical="center"/>
    </xf>
    <xf numFmtId="186" fontId="402" fillId="0" borderId="136" xfId="172" applyNumberFormat="1" applyFont="1" applyBorder="1" applyAlignment="1">
      <alignment vertical="center"/>
    </xf>
    <xf numFmtId="0" fontId="402" fillId="0" borderId="127" xfId="172" applyFont="1" applyBorder="1" applyAlignment="1">
      <alignment vertical="center"/>
    </xf>
    <xf numFmtId="345" fontId="402" fillId="0" borderId="142" xfId="172" applyNumberFormat="1" applyFont="1" applyBorder="1" applyAlignment="1">
      <alignment vertical="center"/>
    </xf>
    <xf numFmtId="345" fontId="402" fillId="0" borderId="127" xfId="172" applyNumberFormat="1" applyFont="1" applyBorder="1" applyAlignment="1">
      <alignment vertical="center"/>
    </xf>
    <xf numFmtId="345" fontId="402" fillId="0" borderId="137" xfId="172" applyNumberFormat="1" applyFont="1" applyBorder="1" applyAlignment="1">
      <alignment vertical="center"/>
    </xf>
    <xf numFmtId="0" fontId="401" fillId="3" borderId="126" xfId="172" applyFont="1" applyFill="1" applyBorder="1" applyAlignment="1">
      <alignment vertical="center"/>
    </xf>
    <xf numFmtId="186" fontId="401" fillId="3" borderId="138" xfId="172" applyNumberFormat="1" applyFont="1" applyFill="1" applyBorder="1" applyAlignment="1">
      <alignment vertical="center"/>
    </xf>
    <xf numFmtId="186" fontId="401" fillId="3" borderId="126" xfId="172" applyNumberFormat="1" applyFont="1" applyFill="1" applyBorder="1" applyAlignment="1">
      <alignment vertical="center"/>
    </xf>
    <xf numFmtId="186" fontId="401" fillId="3" borderId="133" xfId="172" applyNumberFormat="1" applyFont="1" applyFill="1" applyBorder="1" applyAlignment="1">
      <alignment vertical="center"/>
    </xf>
    <xf numFmtId="345" fontId="401" fillId="116" borderId="126" xfId="172" applyNumberFormat="1" applyFont="1" applyFill="1" applyBorder="1" applyAlignment="1">
      <alignment vertical="center"/>
    </xf>
    <xf numFmtId="345" fontId="401" fillId="3" borderId="126" xfId="172" applyNumberFormat="1" applyFont="1" applyFill="1" applyBorder="1" applyAlignment="1">
      <alignment vertical="center"/>
    </xf>
    <xf numFmtId="0" fontId="401" fillId="0" borderId="150" xfId="172" applyFont="1" applyBorder="1" applyAlignment="1">
      <alignment vertical="center"/>
    </xf>
    <xf numFmtId="0" fontId="401" fillId="0" borderId="0" xfId="172" applyFont="1" applyBorder="1" applyAlignment="1">
      <alignment vertical="center"/>
    </xf>
    <xf numFmtId="9" fontId="402" fillId="0" borderId="0" xfId="2" applyFont="1" applyAlignment="1">
      <alignment vertical="center"/>
    </xf>
    <xf numFmtId="184" fontId="402" fillId="0" borderId="0" xfId="0" applyNumberFormat="1" applyFont="1" applyAlignment="1">
      <alignment vertical="center"/>
    </xf>
    <xf numFmtId="184" fontId="392" fillId="0" borderId="0" xfId="0" applyNumberFormat="1" applyFont="1" applyAlignment="1">
      <alignment horizontal="right" vertical="center"/>
    </xf>
    <xf numFmtId="184" fontId="402" fillId="0" borderId="0" xfId="0" applyNumberFormat="1" applyFont="1" applyBorder="1" applyAlignment="1">
      <alignment vertical="center"/>
    </xf>
    <xf numFmtId="184" fontId="402" fillId="0" borderId="0" xfId="0" applyNumberFormat="1" applyFont="1" applyAlignment="1">
      <alignment horizontal="center" vertical="center"/>
    </xf>
    <xf numFmtId="184" fontId="401" fillId="18" borderId="146" xfId="0" applyNumberFormat="1" applyFont="1" applyFill="1" applyBorder="1" applyAlignment="1">
      <alignment horizontal="center" vertical="center"/>
    </xf>
    <xf numFmtId="184" fontId="401" fillId="18" borderId="147" xfId="0" applyNumberFormat="1" applyFont="1" applyFill="1" applyBorder="1" applyAlignment="1">
      <alignment horizontal="center" vertical="center"/>
    </xf>
    <xf numFmtId="184" fontId="401" fillId="18" borderId="138" xfId="0" applyNumberFormat="1" applyFont="1" applyFill="1" applyBorder="1" applyAlignment="1">
      <alignment horizontal="center" vertical="center"/>
    </xf>
    <xf numFmtId="184" fontId="401" fillId="114" borderId="0" xfId="0" applyNumberFormat="1" applyFont="1" applyFill="1" applyBorder="1" applyAlignment="1">
      <alignment horizontal="center" vertical="center"/>
    </xf>
    <xf numFmtId="184" fontId="402" fillId="114" borderId="0" xfId="0" applyNumberFormat="1" applyFont="1" applyFill="1" applyAlignment="1">
      <alignment vertical="center"/>
    </xf>
    <xf numFmtId="184" fontId="402" fillId="0" borderId="151" xfId="0" applyNumberFormat="1" applyFont="1" applyBorder="1" applyAlignment="1">
      <alignment vertical="center"/>
    </xf>
    <xf numFmtId="345" fontId="402" fillId="0" borderId="152" xfId="0" applyNumberFormat="1" applyFont="1" applyBorder="1" applyAlignment="1">
      <alignment vertical="center"/>
    </xf>
    <xf numFmtId="346" fontId="402" fillId="0" borderId="152" xfId="0" applyNumberFormat="1" applyFont="1" applyBorder="1" applyAlignment="1">
      <alignment vertical="center"/>
    </xf>
    <xf numFmtId="344" fontId="402" fillId="114" borderId="0" xfId="1" applyNumberFormat="1" applyFont="1" applyFill="1" applyBorder="1" applyAlignment="1">
      <alignment vertical="center"/>
    </xf>
    <xf numFmtId="184" fontId="402" fillId="0" borderId="153" xfId="0" applyNumberFormat="1" applyFont="1" applyBorder="1" applyAlignment="1">
      <alignment vertical="center"/>
    </xf>
    <xf numFmtId="345" fontId="402" fillId="0" borderId="154" xfId="0" applyNumberFormat="1" applyFont="1" applyBorder="1" applyAlignment="1">
      <alignment vertical="center"/>
    </xf>
    <xf numFmtId="346" fontId="402" fillId="0" borderId="154" xfId="0" applyNumberFormat="1" applyFont="1" applyBorder="1" applyAlignment="1">
      <alignment vertical="center"/>
    </xf>
    <xf numFmtId="184" fontId="402" fillId="0" borderId="155" xfId="0" applyNumberFormat="1" applyFont="1" applyBorder="1" applyAlignment="1">
      <alignment vertical="center"/>
    </xf>
    <xf numFmtId="345" fontId="402" fillId="0" borderId="226" xfId="0" applyNumberFormat="1" applyFont="1" applyBorder="1" applyAlignment="1">
      <alignment vertical="center"/>
    </xf>
    <xf numFmtId="346" fontId="402" fillId="0" borderId="226" xfId="0" applyNumberFormat="1" applyFont="1" applyBorder="1" applyAlignment="1">
      <alignment vertical="center"/>
    </xf>
    <xf numFmtId="41" fontId="402" fillId="0" borderId="141" xfId="1" applyNumberFormat="1" applyFont="1" applyBorder="1" applyAlignment="1">
      <alignment vertical="center"/>
    </xf>
    <xf numFmtId="184" fontId="402" fillId="0" borderId="156" xfId="0" applyNumberFormat="1" applyFont="1" applyBorder="1" applyAlignment="1">
      <alignment vertical="center"/>
    </xf>
    <xf numFmtId="345" fontId="402" fillId="0" borderId="157" xfId="0" applyNumberFormat="1" applyFont="1" applyBorder="1" applyAlignment="1">
      <alignment vertical="center"/>
    </xf>
    <xf numFmtId="346" fontId="402" fillId="0" borderId="157" xfId="0" applyNumberFormat="1" applyFont="1" applyBorder="1" applyAlignment="1">
      <alignment vertical="center"/>
    </xf>
    <xf numFmtId="41" fontId="402" fillId="0" borderId="425" xfId="1" applyNumberFormat="1" applyFont="1" applyBorder="1" applyAlignment="1">
      <alignment vertical="center"/>
    </xf>
    <xf numFmtId="41" fontId="402" fillId="0" borderId="140" xfId="0" applyNumberFormat="1" applyFont="1" applyBorder="1" applyAlignment="1">
      <alignment vertical="center"/>
    </xf>
    <xf numFmtId="344" fontId="402" fillId="114" borderId="0" xfId="0" applyNumberFormat="1" applyFont="1" applyFill="1" applyBorder="1" applyAlignment="1">
      <alignment vertical="center"/>
    </xf>
    <xf numFmtId="184" fontId="402" fillId="0" borderId="158" xfId="0" applyNumberFormat="1" applyFont="1" applyBorder="1" applyAlignment="1">
      <alignment vertical="center"/>
    </xf>
    <xf numFmtId="346" fontId="402" fillId="0" borderId="159" xfId="0" applyNumberFormat="1" applyFont="1" applyBorder="1" applyAlignment="1">
      <alignment vertical="center"/>
    </xf>
    <xf numFmtId="41" fontId="402" fillId="0" borderId="160" xfId="0" applyNumberFormat="1" applyFont="1" applyBorder="1" applyAlignment="1">
      <alignment vertical="center"/>
    </xf>
    <xf numFmtId="345" fontId="402" fillId="114" borderId="0" xfId="0" applyNumberFormat="1" applyFont="1" applyFill="1" applyBorder="1" applyAlignment="1">
      <alignment vertical="center"/>
    </xf>
    <xf numFmtId="184" fontId="404" fillId="0" borderId="0" xfId="0" applyNumberFormat="1" applyFont="1" applyAlignment="1">
      <alignment vertical="center"/>
    </xf>
    <xf numFmtId="184" fontId="404" fillId="0" borderId="0" xfId="0" applyNumberFormat="1" applyFont="1" applyAlignment="1">
      <alignment horizontal="center" vertical="center"/>
    </xf>
    <xf numFmtId="184" fontId="401" fillId="3" borderId="148" xfId="0" applyNumberFormat="1" applyFont="1" applyFill="1" applyBorder="1" applyAlignment="1">
      <alignment horizontal="center" vertical="center"/>
    </xf>
    <xf numFmtId="184" fontId="401" fillId="3" borderId="94" xfId="0" applyNumberFormat="1" applyFont="1" applyFill="1" applyBorder="1" applyAlignment="1">
      <alignment horizontal="center" vertical="center"/>
    </xf>
    <xf numFmtId="184" fontId="401" fillId="3" borderId="149" xfId="0" applyNumberFormat="1" applyFont="1" applyFill="1" applyBorder="1" applyAlignment="1">
      <alignment horizontal="center" vertical="center"/>
    </xf>
    <xf numFmtId="184" fontId="402" fillId="0" borderId="139" xfId="0" applyNumberFormat="1" applyFont="1" applyBorder="1" applyAlignment="1">
      <alignment vertical="center"/>
    </xf>
    <xf numFmtId="184" fontId="402" fillId="0" borderId="148" xfId="0" applyNumberFormat="1" applyFont="1" applyBorder="1" applyAlignment="1">
      <alignment vertical="center"/>
    </xf>
    <xf numFmtId="184" fontId="402" fillId="9" borderId="94" xfId="0" applyNumberFormat="1" applyFont="1" applyFill="1" applyBorder="1" applyAlignment="1">
      <alignment vertical="center"/>
    </xf>
    <xf numFmtId="184" fontId="402" fillId="0" borderId="149" xfId="0" applyNumberFormat="1" applyFont="1" applyBorder="1" applyAlignment="1">
      <alignment vertical="center"/>
    </xf>
    <xf numFmtId="184" fontId="402" fillId="0" borderId="140" xfId="0" applyNumberFormat="1" applyFont="1" applyBorder="1" applyAlignment="1">
      <alignment vertical="center"/>
    </xf>
    <xf numFmtId="184" fontId="402" fillId="0" borderId="94" xfId="0" applyNumberFormat="1" applyFont="1" applyBorder="1" applyAlignment="1">
      <alignment vertical="center"/>
    </xf>
    <xf numFmtId="184" fontId="402" fillId="0" borderId="140" xfId="0" quotePrefix="1" applyNumberFormat="1" applyFont="1" applyBorder="1" applyAlignment="1">
      <alignment vertical="center"/>
    </xf>
    <xf numFmtId="184" fontId="402" fillId="0" borderId="149" xfId="0" quotePrefix="1" applyNumberFormat="1" applyFont="1" applyBorder="1" applyAlignment="1">
      <alignment vertical="center"/>
    </xf>
    <xf numFmtId="345" fontId="402" fillId="0" borderId="159" xfId="0" applyNumberFormat="1" applyFont="1" applyBorder="1" applyAlignment="1">
      <alignment vertical="center"/>
    </xf>
    <xf numFmtId="184" fontId="402" fillId="0" borderId="160" xfId="0" applyNumberFormat="1" applyFont="1" applyBorder="1" applyAlignment="1">
      <alignment vertical="center"/>
    </xf>
    <xf numFmtId="3" fontId="391" fillId="0" borderId="0" xfId="0" applyNumberFormat="1" applyFont="1" applyAlignment="1">
      <alignment horizontal="center" vertical="center"/>
    </xf>
    <xf numFmtId="3" fontId="392" fillId="0" borderId="0" xfId="0" applyNumberFormat="1" applyFont="1" applyBorder="1" applyAlignment="1">
      <alignment horizontal="center" vertical="center"/>
    </xf>
    <xf numFmtId="350" fontId="392" fillId="0" borderId="0" xfId="0" applyNumberFormat="1" applyFont="1" applyBorder="1" applyAlignment="1">
      <alignment horizontal="right" vertical="center" indent="1"/>
    </xf>
    <xf numFmtId="41" fontId="406" fillId="114" borderId="225" xfId="0" applyNumberFormat="1" applyFont="1" applyFill="1" applyBorder="1" applyAlignment="1">
      <alignment vertical="center"/>
    </xf>
    <xf numFmtId="41" fontId="392" fillId="114" borderId="225" xfId="0" applyNumberFormat="1" applyFont="1" applyFill="1" applyBorder="1" applyAlignment="1">
      <alignment vertical="center"/>
    </xf>
    <xf numFmtId="181" fontId="391" fillId="0" borderId="0" xfId="0" applyNumberFormat="1" applyFont="1" applyAlignment="1">
      <alignment vertical="center"/>
    </xf>
    <xf numFmtId="0" fontId="389" fillId="5" borderId="432" xfId="0" applyFont="1" applyFill="1" applyBorder="1" applyAlignment="1">
      <alignment vertical="center"/>
    </xf>
    <xf numFmtId="0" fontId="389" fillId="5" borderId="72" xfId="0" applyFont="1" applyFill="1" applyBorder="1" applyAlignment="1">
      <alignment vertical="center"/>
    </xf>
    <xf numFmtId="0" fontId="389" fillId="5" borderId="228" xfId="0" applyFont="1" applyFill="1" applyBorder="1" applyAlignment="1">
      <alignment vertical="center"/>
    </xf>
    <xf numFmtId="41" fontId="399" fillId="3" borderId="400" xfId="0" applyNumberFormat="1" applyFont="1" applyFill="1" applyBorder="1" applyAlignment="1">
      <alignment vertical="center" wrapText="1"/>
    </xf>
    <xf numFmtId="41" fontId="399" fillId="3" borderId="401" xfId="0" applyNumberFormat="1" applyFont="1" applyFill="1" applyBorder="1" applyAlignment="1">
      <alignment vertical="center" wrapText="1"/>
    </xf>
    <xf numFmtId="41" fontId="399" fillId="3" borderId="402" xfId="0" applyNumberFormat="1" applyFont="1" applyFill="1" applyBorder="1" applyAlignment="1">
      <alignment vertical="center" wrapText="1"/>
    </xf>
    <xf numFmtId="41" fontId="399" fillId="3" borderId="401" xfId="0" applyNumberFormat="1" applyFont="1" applyFill="1" applyBorder="1" applyAlignment="1">
      <alignment horizontal="center" vertical="center" wrapText="1"/>
    </xf>
    <xf numFmtId="0" fontId="399" fillId="0" borderId="433" xfId="0" applyFont="1" applyBorder="1" applyAlignment="1">
      <alignment horizontal="center" vertical="center" wrapText="1"/>
    </xf>
    <xf numFmtId="184" fontId="392" fillId="0" borderId="47" xfId="1" applyNumberFormat="1" applyFont="1" applyBorder="1" applyAlignment="1">
      <alignment vertical="center"/>
    </xf>
    <xf numFmtId="184" fontId="392" fillId="0" borderId="36" xfId="1" applyNumberFormat="1" applyFont="1" applyBorder="1" applyAlignment="1">
      <alignment vertical="center"/>
    </xf>
    <xf numFmtId="184" fontId="390" fillId="2" borderId="36" xfId="1" applyNumberFormat="1" applyFont="1" applyFill="1" applyBorder="1" applyAlignment="1">
      <alignment vertical="center"/>
    </xf>
    <xf numFmtId="184" fontId="390" fillId="3" borderId="36" xfId="1" applyNumberFormat="1" applyFont="1" applyFill="1" applyBorder="1" applyAlignment="1">
      <alignment vertical="center"/>
    </xf>
    <xf numFmtId="176" fontId="408" fillId="114" borderId="436" xfId="0" applyNumberFormat="1" applyFont="1" applyFill="1" applyBorder="1" applyAlignment="1">
      <alignment horizontal="center" vertical="center"/>
    </xf>
    <xf numFmtId="0" fontId="410" fillId="114" borderId="291" xfId="4" applyNumberFormat="1" applyFont="1" applyFill="1" applyBorder="1" applyAlignment="1">
      <alignment horizontal="center" vertical="center"/>
    </xf>
    <xf numFmtId="176" fontId="392" fillId="114" borderId="291" xfId="0" applyNumberFormat="1" applyFont="1" applyFill="1" applyBorder="1" applyAlignment="1">
      <alignment horizontal="left" vertical="center" indent="1"/>
    </xf>
    <xf numFmtId="176" fontId="392" fillId="114" borderId="291" xfId="0" applyNumberFormat="1" applyFont="1" applyFill="1" applyBorder="1" applyAlignment="1">
      <alignment horizontal="center" vertical="center"/>
    </xf>
    <xf numFmtId="176" fontId="392" fillId="114" borderId="291" xfId="0" applyNumberFormat="1" applyFont="1" applyFill="1" applyBorder="1" applyAlignment="1">
      <alignment vertical="center"/>
    </xf>
    <xf numFmtId="176" fontId="392" fillId="114" borderId="437" xfId="0" applyNumberFormat="1" applyFont="1" applyFill="1" applyBorder="1" applyAlignment="1">
      <alignment horizontal="right" vertical="center"/>
    </xf>
    <xf numFmtId="176" fontId="391" fillId="0" borderId="16" xfId="0" applyNumberFormat="1" applyFont="1" applyBorder="1" applyAlignment="1">
      <alignment horizontal="center" vertical="center"/>
    </xf>
    <xf numFmtId="176" fontId="399" fillId="0" borderId="430" xfId="0" applyNumberFormat="1" applyFont="1" applyBorder="1" applyAlignment="1">
      <alignment horizontal="left" vertical="center" indent="1"/>
    </xf>
    <xf numFmtId="0" fontId="391" fillId="114" borderId="367" xfId="0" applyNumberFormat="1" applyFont="1" applyFill="1" applyBorder="1" applyAlignment="1">
      <alignment horizontal="center" vertical="center"/>
    </xf>
    <xf numFmtId="176" fontId="406" fillId="2" borderId="0" xfId="0" applyNumberFormat="1" applyFont="1" applyFill="1" applyAlignment="1">
      <alignment horizontal="right" vertical="center"/>
    </xf>
    <xf numFmtId="181" fontId="406" fillId="114" borderId="0" xfId="0" applyNumberFormat="1" applyFont="1" applyFill="1" applyAlignment="1">
      <alignment horizontal="right" vertical="center"/>
    </xf>
    <xf numFmtId="181" fontId="406" fillId="0" borderId="0" xfId="0" applyNumberFormat="1" applyFont="1" applyAlignment="1">
      <alignment horizontal="right" vertical="center"/>
    </xf>
    <xf numFmtId="176" fontId="406" fillId="0" borderId="0" xfId="0" applyNumberFormat="1" applyFont="1" applyAlignment="1">
      <alignment horizontal="right" vertical="center"/>
    </xf>
    <xf numFmtId="176" fontId="406" fillId="114" borderId="0" xfId="0" applyNumberFormat="1" applyFont="1" applyFill="1" applyAlignment="1">
      <alignment horizontal="right" vertical="center"/>
    </xf>
    <xf numFmtId="184" fontId="406" fillId="0" borderId="0" xfId="0" applyNumberFormat="1" applyFont="1" applyAlignment="1">
      <alignment horizontal="right" vertical="center"/>
    </xf>
    <xf numFmtId="343" fontId="392" fillId="0" borderId="0" xfId="0" applyNumberFormat="1" applyFont="1" applyAlignment="1">
      <alignment vertical="center"/>
    </xf>
    <xf numFmtId="176" fontId="416" fillId="0" borderId="438" xfId="0" applyNumberFormat="1" applyFont="1" applyBorder="1" applyAlignment="1">
      <alignment horizontal="right" vertical="center" wrapText="1"/>
    </xf>
    <xf numFmtId="0" fontId="398" fillId="0" borderId="96" xfId="0" applyFont="1" applyBorder="1" applyAlignment="1">
      <alignment horizontal="center" vertical="center" wrapText="1"/>
    </xf>
    <xf numFmtId="0" fontId="398" fillId="0" borderId="97" xfId="0" applyFont="1" applyBorder="1" applyAlignment="1">
      <alignment horizontal="center" vertical="center" wrapText="1"/>
    </xf>
    <xf numFmtId="0" fontId="398" fillId="0" borderId="223" xfId="0" applyFont="1" applyBorder="1" applyAlignment="1">
      <alignment horizontal="center" vertical="center" wrapText="1"/>
    </xf>
    <xf numFmtId="0" fontId="399" fillId="114" borderId="101" xfId="0" applyFont="1" applyFill="1" applyBorder="1" applyAlignment="1">
      <alignment vertical="center" wrapText="1"/>
    </xf>
    <xf numFmtId="3" fontId="399" fillId="114" borderId="95" xfId="0" applyNumberFormat="1" applyFont="1" applyFill="1" applyBorder="1" applyAlignment="1">
      <alignment horizontal="right" vertical="center" wrapText="1"/>
    </xf>
    <xf numFmtId="0" fontId="399" fillId="114" borderId="95" xfId="0" applyFont="1" applyFill="1" applyBorder="1" applyAlignment="1">
      <alignment horizontal="right" vertical="center" wrapText="1"/>
    </xf>
    <xf numFmtId="0" fontId="399" fillId="0" borderId="103" xfId="0" applyFont="1" applyBorder="1" applyAlignment="1">
      <alignment vertical="center" wrapText="1"/>
    </xf>
    <xf numFmtId="3" fontId="399" fillId="0" borderId="104" xfId="0" applyNumberFormat="1" applyFont="1" applyBorder="1" applyAlignment="1">
      <alignment horizontal="right" vertical="center" wrapText="1"/>
    </xf>
    <xf numFmtId="3" fontId="399" fillId="0" borderId="105" xfId="0" applyNumberFormat="1" applyFont="1" applyBorder="1" applyAlignment="1">
      <alignment horizontal="right" vertical="center" wrapText="1"/>
    </xf>
    <xf numFmtId="176" fontId="399" fillId="0" borderId="305" xfId="0" applyNumberFormat="1" applyFont="1" applyFill="1" applyBorder="1" applyAlignment="1">
      <alignment horizontal="left" vertical="center" wrapText="1" indent="2"/>
    </xf>
    <xf numFmtId="0" fontId="406" fillId="0" borderId="37" xfId="0" applyFont="1" applyBorder="1" applyAlignment="1">
      <alignment horizontal="center" vertical="center"/>
    </xf>
    <xf numFmtId="0" fontId="392" fillId="114" borderId="0" xfId="0" applyFont="1" applyFill="1" applyBorder="1" applyAlignment="1">
      <alignment horizontal="left" vertical="center"/>
    </xf>
    <xf numFmtId="0" fontId="392" fillId="114" borderId="0" xfId="0" quotePrefix="1" applyFont="1" applyFill="1" applyBorder="1" applyAlignment="1">
      <alignment horizontal="center" vertical="center"/>
    </xf>
    <xf numFmtId="0" fontId="399" fillId="0" borderId="0" xfId="0" applyFont="1" applyBorder="1" applyAlignment="1">
      <alignment horizontal="center" vertical="center" wrapText="1"/>
    </xf>
    <xf numFmtId="0" fontId="399" fillId="0" borderId="241" xfId="0" applyFont="1" applyBorder="1" applyAlignment="1">
      <alignment horizontal="left" vertical="center" wrapText="1" indent="1"/>
    </xf>
    <xf numFmtId="0" fontId="390" fillId="3" borderId="241" xfId="0" applyFont="1" applyFill="1" applyBorder="1" applyAlignment="1">
      <alignment horizontal="left" vertical="center" indent="1"/>
    </xf>
    <xf numFmtId="0" fontId="399" fillId="0" borderId="367" xfId="0" applyFont="1" applyBorder="1" applyAlignment="1">
      <alignment horizontal="left" vertical="center" wrapText="1" indent="1"/>
    </xf>
    <xf numFmtId="0" fontId="399" fillId="0" borderId="241" xfId="0" applyFont="1" applyBorder="1" applyAlignment="1">
      <alignment horizontal="left" vertical="center" wrapText="1" indent="2"/>
    </xf>
    <xf numFmtId="181" fontId="399" fillId="114" borderId="241" xfId="0" applyNumberFormat="1" applyFont="1" applyFill="1" applyBorder="1" applyAlignment="1">
      <alignment vertical="center" wrapText="1"/>
    </xf>
    <xf numFmtId="181" fontId="399" fillId="114" borderId="367" xfId="0" applyNumberFormat="1" applyFont="1" applyFill="1" applyBorder="1" applyAlignment="1">
      <alignment vertical="center" wrapText="1"/>
    </xf>
    <xf numFmtId="181" fontId="399" fillId="0" borderId="1" xfId="0" applyNumberFormat="1" applyFont="1" applyBorder="1" applyAlignment="1">
      <alignment horizontal="left" vertical="center" wrapText="1" indent="1"/>
    </xf>
    <xf numFmtId="181" fontId="399" fillId="114" borderId="1" xfId="0" applyNumberFormat="1" applyFont="1" applyFill="1" applyBorder="1" applyAlignment="1">
      <alignment horizontal="left" vertical="center" wrapText="1" indent="1"/>
    </xf>
    <xf numFmtId="181" fontId="390" fillId="2" borderId="16" xfId="0" applyNumberFormat="1" applyFont="1" applyFill="1" applyBorder="1" applyAlignment="1">
      <alignment horizontal="left" vertical="center" indent="1"/>
    </xf>
    <xf numFmtId="181" fontId="390" fillId="3" borderId="16" xfId="0" applyNumberFormat="1" applyFont="1" applyFill="1" applyBorder="1" applyAlignment="1">
      <alignment horizontal="left" vertical="center" indent="1"/>
    </xf>
    <xf numFmtId="181" fontId="399" fillId="0" borderId="16" xfId="0" applyNumberFormat="1" applyFont="1" applyBorder="1" applyAlignment="1">
      <alignment horizontal="left" vertical="center" wrapText="1" indent="1"/>
    </xf>
    <xf numFmtId="181" fontId="399" fillId="114" borderId="16" xfId="0" applyNumberFormat="1" applyFont="1" applyFill="1" applyBorder="1" applyAlignment="1">
      <alignment horizontal="left" vertical="center" wrapText="1" indent="1"/>
    </xf>
    <xf numFmtId="181" fontId="390" fillId="2" borderId="18" xfId="0" applyNumberFormat="1" applyFont="1" applyFill="1" applyBorder="1" applyAlignment="1">
      <alignment horizontal="left" vertical="center" indent="1"/>
    </xf>
    <xf numFmtId="0" fontId="399" fillId="0" borderId="305" xfId="0" applyFont="1" applyBorder="1" applyAlignment="1">
      <alignment horizontal="left" vertical="center" wrapText="1" indent="1"/>
    </xf>
    <xf numFmtId="0" fontId="390" fillId="2" borderId="305" xfId="0" applyFont="1" applyFill="1" applyBorder="1" applyAlignment="1">
      <alignment horizontal="left" vertical="center" indent="1"/>
    </xf>
    <xf numFmtId="0" fontId="399" fillId="0" borderId="305" xfId="0" applyFont="1" applyBorder="1" applyAlignment="1">
      <alignment horizontal="left" vertical="center" indent="1"/>
    </xf>
    <xf numFmtId="0" fontId="390" fillId="3" borderId="305" xfId="0" applyFont="1" applyFill="1" applyBorder="1" applyAlignment="1">
      <alignment horizontal="left" vertical="center" indent="1"/>
    </xf>
    <xf numFmtId="0" fontId="399" fillId="0" borderId="366" xfId="0" applyFont="1" applyBorder="1" applyAlignment="1">
      <alignment horizontal="left" vertical="center" wrapText="1" indent="1"/>
    </xf>
    <xf numFmtId="176" fontId="399" fillId="0" borderId="42" xfId="0" applyNumberFormat="1" applyFont="1" applyBorder="1" applyAlignment="1">
      <alignment horizontal="left" vertical="center" indent="1"/>
    </xf>
    <xf numFmtId="176" fontId="392" fillId="0" borderId="42" xfId="0" applyNumberFormat="1" applyFont="1" applyBorder="1" applyAlignment="1">
      <alignment horizontal="left" vertical="center" indent="1"/>
    </xf>
    <xf numFmtId="176" fontId="392" fillId="114" borderId="55" xfId="0" applyNumberFormat="1" applyFont="1" applyFill="1" applyBorder="1" applyAlignment="1">
      <alignment vertical="center"/>
    </xf>
    <xf numFmtId="0" fontId="392" fillId="114" borderId="222" xfId="0" applyNumberFormat="1" applyFont="1" applyFill="1" applyBorder="1" applyAlignment="1">
      <alignment horizontal="center" vertical="center"/>
    </xf>
    <xf numFmtId="176" fontId="392" fillId="114" borderId="222" xfId="0" applyNumberFormat="1" applyFont="1" applyFill="1" applyBorder="1" applyAlignment="1">
      <alignment vertical="center"/>
    </xf>
    <xf numFmtId="176" fontId="392" fillId="114" borderId="57" xfId="0" applyNumberFormat="1" applyFont="1" applyFill="1" applyBorder="1" applyAlignment="1">
      <alignment vertical="center"/>
    </xf>
    <xf numFmtId="0" fontId="406" fillId="115" borderId="0" xfId="0" applyFont="1" applyFill="1" applyBorder="1" applyAlignment="1">
      <alignment vertical="center"/>
    </xf>
    <xf numFmtId="0" fontId="406" fillId="115" borderId="0" xfId="0" applyFont="1" applyFill="1" applyBorder="1" applyAlignment="1">
      <alignment horizontal="left" vertical="center"/>
    </xf>
    <xf numFmtId="176" fontId="399" fillId="115" borderId="241" xfId="0" applyNumberFormat="1" applyFont="1" applyFill="1" applyBorder="1" applyAlignment="1">
      <alignment horizontal="left" vertical="center" wrapText="1" indent="1"/>
    </xf>
    <xf numFmtId="176" fontId="399" fillId="115" borderId="241" xfId="0" applyNumberFormat="1" applyFont="1" applyFill="1" applyBorder="1" applyAlignment="1">
      <alignment horizontal="right" vertical="center" wrapText="1"/>
    </xf>
    <xf numFmtId="176" fontId="399" fillId="115" borderId="305" xfId="0" applyNumberFormat="1" applyFont="1" applyFill="1" applyBorder="1" applyAlignment="1">
      <alignment horizontal="left" vertical="center" wrapText="1" indent="1"/>
    </xf>
    <xf numFmtId="176" fontId="390" fillId="0" borderId="0" xfId="0" applyNumberFormat="1" applyFont="1" applyBorder="1" applyAlignment="1">
      <alignment horizontal="left" vertical="center"/>
    </xf>
    <xf numFmtId="0" fontId="392" fillId="0" borderId="439" xfId="0" applyFont="1" applyBorder="1" applyAlignment="1">
      <alignment vertical="center"/>
    </xf>
    <xf numFmtId="0" fontId="392" fillId="0" borderId="441" xfId="0" applyFont="1" applyBorder="1" applyAlignment="1">
      <alignment vertical="center"/>
    </xf>
    <xf numFmtId="0" fontId="390" fillId="20" borderId="443" xfId="0" applyFont="1" applyFill="1" applyBorder="1" applyAlignment="1">
      <alignment vertical="center"/>
    </xf>
    <xf numFmtId="176" fontId="399" fillId="114" borderId="306" xfId="0" applyNumberFormat="1" applyFont="1" applyFill="1" applyBorder="1" applyAlignment="1">
      <alignment horizontal="right" vertical="center" wrapText="1"/>
    </xf>
    <xf numFmtId="176" fontId="399" fillId="0" borderId="306" xfId="0" applyNumberFormat="1" applyFont="1" applyBorder="1" applyAlignment="1">
      <alignment horizontal="right" vertical="center" wrapText="1"/>
    </xf>
    <xf numFmtId="176" fontId="399" fillId="6" borderId="306" xfId="0" applyNumberFormat="1" applyFont="1" applyFill="1" applyBorder="1" applyAlignment="1">
      <alignment horizontal="right" vertical="center" wrapText="1"/>
    </xf>
    <xf numFmtId="176" fontId="399" fillId="3" borderId="306" xfId="0" applyNumberFormat="1" applyFont="1" applyFill="1" applyBorder="1" applyAlignment="1">
      <alignment horizontal="right" vertical="center" wrapText="1"/>
    </xf>
    <xf numFmtId="176" fontId="399" fillId="115" borderId="306" xfId="0" applyNumberFormat="1" applyFont="1" applyFill="1" applyBorder="1" applyAlignment="1">
      <alignment horizontal="right" vertical="center" wrapText="1"/>
    </xf>
    <xf numFmtId="184" fontId="392" fillId="0" borderId="440" xfId="1" applyNumberFormat="1" applyFont="1" applyBorder="1" applyAlignment="1">
      <alignment vertical="center"/>
    </xf>
    <xf numFmtId="184" fontId="392" fillId="0" borderId="442" xfId="1" applyNumberFormat="1" applyFont="1" applyBorder="1" applyAlignment="1">
      <alignment vertical="center"/>
    </xf>
    <xf numFmtId="184" fontId="390" fillId="20" borderId="444" xfId="1" applyNumberFormat="1" applyFont="1" applyFill="1" applyBorder="1" applyAlignment="1">
      <alignment vertical="center"/>
    </xf>
    <xf numFmtId="176" fontId="389" fillId="5" borderId="243" xfId="0" applyNumberFormat="1" applyFont="1" applyFill="1" applyBorder="1" applyAlignment="1">
      <alignment horizontal="center" vertical="center"/>
    </xf>
    <xf numFmtId="176" fontId="389" fillId="5" borderId="240" xfId="0" applyNumberFormat="1" applyFont="1" applyFill="1" applyBorder="1" applyAlignment="1">
      <alignment horizontal="center" vertical="center"/>
    </xf>
    <xf numFmtId="176" fontId="389" fillId="5" borderId="431" xfId="0" applyNumberFormat="1" applyFont="1" applyFill="1" applyBorder="1" applyAlignment="1">
      <alignment horizontal="center" vertical="center" wrapText="1"/>
    </xf>
    <xf numFmtId="176" fontId="392" fillId="2" borderId="266" xfId="0" applyNumberFormat="1" applyFont="1" applyFill="1" applyBorder="1" applyAlignment="1">
      <alignment vertical="center"/>
    </xf>
    <xf numFmtId="176" fontId="390" fillId="6" borderId="266" xfId="0" applyNumberFormat="1" applyFont="1" applyFill="1" applyBorder="1" applyAlignment="1">
      <alignment horizontal="center" vertical="center"/>
    </xf>
    <xf numFmtId="10" fontId="392" fillId="0" borderId="266" xfId="2" applyNumberFormat="1" applyFont="1" applyBorder="1" applyAlignment="1">
      <alignment vertical="center"/>
    </xf>
    <xf numFmtId="176" fontId="390" fillId="6" borderId="266" xfId="0" applyNumberFormat="1" applyFont="1" applyFill="1" applyBorder="1" applyAlignment="1">
      <alignment vertical="center"/>
    </xf>
    <xf numFmtId="176" fontId="392" fillId="0" borderId="266" xfId="0" applyNumberFormat="1" applyFont="1" applyBorder="1" applyAlignment="1">
      <alignment vertical="center"/>
    </xf>
    <xf numFmtId="176" fontId="390" fillId="2" borderId="266" xfId="0" applyNumberFormat="1" applyFont="1" applyFill="1" applyBorder="1" applyAlignment="1">
      <alignment vertical="center"/>
    </xf>
    <xf numFmtId="176" fontId="393" fillId="2" borderId="266" xfId="0" applyNumberFormat="1" applyFont="1" applyFill="1" applyBorder="1" applyAlignment="1">
      <alignment horizontal="center" vertical="center" wrapText="1"/>
    </xf>
    <xf numFmtId="176" fontId="390" fillId="0" borderId="266" xfId="0" applyNumberFormat="1" applyFont="1" applyBorder="1" applyAlignment="1">
      <alignment vertical="center"/>
    </xf>
    <xf numFmtId="176" fontId="392" fillId="0" borderId="445" xfId="0" applyNumberFormat="1" applyFont="1" applyBorder="1" applyAlignment="1">
      <alignment vertical="center"/>
    </xf>
    <xf numFmtId="176" fontId="392" fillId="2" borderId="447" xfId="0" applyNumberFormat="1" applyFont="1" applyFill="1" applyBorder="1" applyAlignment="1">
      <alignment vertical="center"/>
    </xf>
    <xf numFmtId="176" fontId="390" fillId="6" borderId="447" xfId="0" applyNumberFormat="1" applyFont="1" applyFill="1" applyBorder="1" applyAlignment="1">
      <alignment horizontal="center" vertical="center"/>
    </xf>
    <xf numFmtId="10" fontId="392" fillId="0" borderId="447" xfId="2" applyNumberFormat="1" applyFont="1" applyBorder="1" applyAlignment="1">
      <alignment vertical="center"/>
    </xf>
    <xf numFmtId="176" fontId="390" fillId="6" borderId="447" xfId="0" applyNumberFormat="1" applyFont="1" applyFill="1" applyBorder="1" applyAlignment="1">
      <alignment vertical="center"/>
    </xf>
    <xf numFmtId="176" fontId="392" fillId="114" borderId="447" xfId="0" applyNumberFormat="1" applyFont="1" applyFill="1" applyBorder="1" applyAlignment="1">
      <alignment vertical="center"/>
    </xf>
    <xf numFmtId="176" fontId="390" fillId="2" borderId="447" xfId="0" applyNumberFormat="1" applyFont="1" applyFill="1" applyBorder="1" applyAlignment="1">
      <alignment vertical="center"/>
    </xf>
    <xf numFmtId="176" fontId="393" fillId="2" borderId="447" xfId="0" applyNumberFormat="1" applyFont="1" applyFill="1" applyBorder="1" applyAlignment="1">
      <alignment horizontal="center" vertical="center" wrapText="1"/>
    </xf>
    <xf numFmtId="176" fontId="392" fillId="0" borderId="447" xfId="0" applyNumberFormat="1" applyFont="1" applyBorder="1" applyAlignment="1">
      <alignment vertical="center"/>
    </xf>
    <xf numFmtId="176" fontId="390" fillId="0" borderId="447" xfId="0" applyNumberFormat="1" applyFont="1" applyBorder="1" applyAlignment="1">
      <alignment vertical="center"/>
    </xf>
    <xf numFmtId="176" fontId="392" fillId="0" borderId="446" xfId="0" applyNumberFormat="1" applyFont="1" applyBorder="1" applyAlignment="1">
      <alignment vertical="center"/>
    </xf>
    <xf numFmtId="176" fontId="392" fillId="114" borderId="249" xfId="0" applyNumberFormat="1" applyFont="1" applyFill="1" applyBorder="1" applyAlignment="1">
      <alignment vertical="center"/>
    </xf>
    <xf numFmtId="176" fontId="392" fillId="2" borderId="300" xfId="0" applyNumberFormat="1" applyFont="1" applyFill="1" applyBorder="1" applyAlignment="1">
      <alignment vertical="center"/>
    </xf>
    <xf numFmtId="176" fontId="392" fillId="114" borderId="300" xfId="0" applyNumberFormat="1" applyFont="1" applyFill="1" applyBorder="1" applyAlignment="1">
      <alignment vertical="center"/>
    </xf>
    <xf numFmtId="176" fontId="392" fillId="114" borderId="448" xfId="0" applyNumberFormat="1" applyFont="1" applyFill="1" applyBorder="1" applyAlignment="1">
      <alignment vertical="center"/>
    </xf>
    <xf numFmtId="176" fontId="392" fillId="114" borderId="449" xfId="0" applyNumberFormat="1" applyFont="1" applyFill="1" applyBorder="1" applyAlignment="1">
      <alignment vertical="center"/>
    </xf>
    <xf numFmtId="176" fontId="392" fillId="114" borderId="450" xfId="0" applyNumberFormat="1" applyFont="1" applyFill="1" applyBorder="1" applyAlignment="1">
      <alignment vertical="center"/>
    </xf>
    <xf numFmtId="176" fontId="390" fillId="2" borderId="300" xfId="0" applyNumberFormat="1" applyFont="1" applyFill="1" applyBorder="1" applyAlignment="1">
      <alignment vertical="center"/>
    </xf>
    <xf numFmtId="176" fontId="392" fillId="0" borderId="300" xfId="0" applyNumberFormat="1" applyFont="1" applyFill="1" applyBorder="1" applyAlignment="1">
      <alignment vertical="center"/>
    </xf>
    <xf numFmtId="176" fontId="392" fillId="114" borderId="301" xfId="0" applyNumberFormat="1" applyFont="1" applyFill="1" applyBorder="1" applyAlignment="1">
      <alignment vertical="center"/>
    </xf>
    <xf numFmtId="176" fontId="392" fillId="0" borderId="266" xfId="0" applyNumberFormat="1" applyFont="1" applyFill="1" applyBorder="1" applyAlignment="1">
      <alignment vertical="center"/>
    </xf>
    <xf numFmtId="176" fontId="389" fillId="29" borderId="244" xfId="0" applyNumberFormat="1" applyFont="1" applyFill="1" applyBorder="1" applyAlignment="1">
      <alignment horizontal="center" vertical="center" wrapText="1"/>
    </xf>
    <xf numFmtId="176" fontId="389" fillId="5" borderId="72" xfId="0" applyNumberFormat="1" applyFont="1" applyFill="1" applyBorder="1" applyAlignment="1">
      <alignment horizontal="center" vertical="center" wrapText="1"/>
    </xf>
    <xf numFmtId="176" fontId="392" fillId="6" borderId="451" xfId="0" applyNumberFormat="1" applyFont="1" applyFill="1" applyBorder="1" applyAlignment="1">
      <alignment vertical="center"/>
    </xf>
    <xf numFmtId="176" fontId="392" fillId="0" borderId="451" xfId="0" applyNumberFormat="1" applyFont="1" applyBorder="1" applyAlignment="1">
      <alignment vertical="center"/>
    </xf>
    <xf numFmtId="176" fontId="390" fillId="6" borderId="452" xfId="0" applyNumberFormat="1" applyFont="1" applyFill="1" applyBorder="1" applyAlignment="1">
      <alignment vertical="center"/>
    </xf>
    <xf numFmtId="176" fontId="392" fillId="0" borderId="453" xfId="0" applyNumberFormat="1" applyFont="1" applyBorder="1" applyAlignment="1">
      <alignment vertical="center"/>
    </xf>
    <xf numFmtId="176" fontId="390" fillId="6" borderId="17" xfId="0" applyNumberFormat="1" applyFont="1" applyFill="1" applyBorder="1" applyAlignment="1">
      <alignment vertical="center"/>
    </xf>
    <xf numFmtId="176" fontId="393" fillId="6" borderId="451" xfId="0" applyNumberFormat="1" applyFont="1" applyFill="1" applyBorder="1" applyAlignment="1">
      <alignment horizontal="center" vertical="center" wrapText="1"/>
    </xf>
    <xf numFmtId="176" fontId="392" fillId="0" borderId="451" xfId="0" applyNumberFormat="1" applyFont="1" applyFill="1" applyBorder="1" applyAlignment="1">
      <alignment vertical="center"/>
    </xf>
    <xf numFmtId="176" fontId="389" fillId="5" borderId="454" xfId="0" applyNumberFormat="1" applyFont="1" applyFill="1" applyBorder="1" applyAlignment="1">
      <alignment horizontal="center" vertical="center" wrapText="1"/>
    </xf>
    <xf numFmtId="176" fontId="393" fillId="6" borderId="455" xfId="0" applyNumberFormat="1" applyFont="1" applyFill="1" applyBorder="1" applyAlignment="1">
      <alignment horizontal="center" vertical="center" wrapText="1"/>
    </xf>
    <xf numFmtId="176" fontId="392" fillId="0" borderId="455" xfId="0" applyNumberFormat="1" applyFont="1" applyBorder="1" applyAlignment="1">
      <alignment vertical="center"/>
    </xf>
    <xf numFmtId="176" fontId="392" fillId="0" borderId="455" xfId="0" applyNumberFormat="1" applyFont="1" applyFill="1" applyBorder="1" applyAlignment="1">
      <alignment vertical="center"/>
    </xf>
    <xf numFmtId="176" fontId="392" fillId="0" borderId="456" xfId="0" applyNumberFormat="1" applyFont="1" applyBorder="1" applyAlignment="1">
      <alignment vertical="center"/>
    </xf>
    <xf numFmtId="176" fontId="392" fillId="9" borderId="0" xfId="0" applyNumberFormat="1" applyFont="1" applyFill="1" applyAlignment="1">
      <alignment vertical="center"/>
    </xf>
    <xf numFmtId="176" fontId="393" fillId="6" borderId="269" xfId="0" applyNumberFormat="1" applyFont="1" applyFill="1" applyBorder="1" applyAlignment="1">
      <alignment horizontal="center" vertical="center" wrapText="1"/>
    </xf>
    <xf numFmtId="176" fontId="392" fillId="0" borderId="269" xfId="0" applyNumberFormat="1" applyFont="1" applyBorder="1" applyAlignment="1">
      <alignment vertical="center"/>
    </xf>
    <xf numFmtId="176" fontId="392" fillId="0" borderId="457" xfId="0" applyNumberFormat="1" applyFont="1" applyBorder="1" applyAlignment="1">
      <alignment vertical="center"/>
    </xf>
    <xf numFmtId="176" fontId="392" fillId="6" borderId="455" xfId="0" applyNumberFormat="1" applyFont="1" applyFill="1" applyBorder="1" applyAlignment="1">
      <alignment vertical="center"/>
    </xf>
    <xf numFmtId="176" fontId="390" fillId="6" borderId="455" xfId="0" applyNumberFormat="1" applyFont="1" applyFill="1" applyBorder="1" applyAlignment="1">
      <alignment vertical="center"/>
    </xf>
    <xf numFmtId="176" fontId="393" fillId="6" borderId="458" xfId="0" applyNumberFormat="1" applyFont="1" applyFill="1" applyBorder="1" applyAlignment="1">
      <alignment horizontal="center" vertical="center" wrapText="1"/>
    </xf>
    <xf numFmtId="176" fontId="392" fillId="0" borderId="459" xfId="0" applyNumberFormat="1" applyFont="1" applyBorder="1" applyAlignment="1">
      <alignment vertical="center"/>
    </xf>
    <xf numFmtId="176" fontId="393" fillId="6" borderId="459" xfId="0" applyNumberFormat="1" applyFont="1" applyFill="1" applyBorder="1" applyAlignment="1">
      <alignment horizontal="center" vertical="center" wrapText="1"/>
    </xf>
    <xf numFmtId="176" fontId="392" fillId="0" borderId="460" xfId="0" applyNumberFormat="1" applyFont="1" applyBorder="1" applyAlignment="1">
      <alignment vertical="center"/>
    </xf>
    <xf numFmtId="350" fontId="392" fillId="0" borderId="0" xfId="0" applyNumberFormat="1" applyFont="1" applyBorder="1" applyAlignment="1">
      <alignment vertical="center"/>
    </xf>
    <xf numFmtId="181" fontId="398" fillId="0" borderId="461" xfId="0" applyNumberFormat="1" applyFont="1" applyBorder="1" applyAlignment="1">
      <alignment horizontal="center" vertical="center" wrapText="1"/>
    </xf>
    <xf numFmtId="181" fontId="398" fillId="0" borderId="462" xfId="0" applyNumberFormat="1" applyFont="1" applyBorder="1" applyAlignment="1">
      <alignment horizontal="center" vertical="center" wrapText="1"/>
    </xf>
    <xf numFmtId="181" fontId="398" fillId="2" borderId="464" xfId="0" applyNumberFormat="1" applyFont="1" applyFill="1" applyBorder="1" applyAlignment="1">
      <alignment horizontal="left" vertical="center" wrapText="1"/>
    </xf>
    <xf numFmtId="181" fontId="398" fillId="2" borderId="241" xfId="0" applyNumberFormat="1" applyFont="1" applyFill="1" applyBorder="1" applyAlignment="1">
      <alignment horizontal="center" vertical="center" wrapText="1"/>
    </xf>
    <xf numFmtId="181" fontId="398" fillId="2" borderId="241" xfId="0" applyNumberFormat="1" applyFont="1" applyFill="1" applyBorder="1" applyAlignment="1">
      <alignment horizontal="right" vertical="center" wrapText="1"/>
    </xf>
    <xf numFmtId="3" fontId="398" fillId="2" borderId="465" xfId="0" applyNumberFormat="1" applyFont="1" applyFill="1" applyBorder="1" applyAlignment="1">
      <alignment horizontal="right" vertical="center" wrapText="1"/>
    </xf>
    <xf numFmtId="181" fontId="398" fillId="3" borderId="464" xfId="0" applyNumberFormat="1" applyFont="1" applyFill="1" applyBorder="1" applyAlignment="1">
      <alignment horizontal="left" vertical="center" wrapText="1"/>
    </xf>
    <xf numFmtId="181" fontId="398" fillId="3" borderId="241" xfId="0" applyNumberFormat="1" applyFont="1" applyFill="1" applyBorder="1" applyAlignment="1">
      <alignment horizontal="center" vertical="center" wrapText="1"/>
    </xf>
    <xf numFmtId="181" fontId="398" fillId="3" borderId="241" xfId="0" applyNumberFormat="1" applyFont="1" applyFill="1" applyBorder="1" applyAlignment="1">
      <alignment horizontal="right" vertical="center" wrapText="1"/>
    </xf>
    <xf numFmtId="3" fontId="398" fillId="3" borderId="465" xfId="0" applyNumberFormat="1" applyFont="1" applyFill="1" applyBorder="1" applyAlignment="1">
      <alignment horizontal="right" vertical="center" wrapText="1"/>
    </xf>
    <xf numFmtId="181" fontId="399" fillId="0" borderId="464" xfId="0" applyNumberFormat="1" applyFont="1" applyBorder="1" applyAlignment="1">
      <alignment horizontal="left" vertical="center" wrapText="1"/>
    </xf>
    <xf numFmtId="181" fontId="399" fillId="0" borderId="241" xfId="0" applyNumberFormat="1" applyFont="1" applyBorder="1" applyAlignment="1">
      <alignment horizontal="center" vertical="center" wrapText="1"/>
    </xf>
    <xf numFmtId="181" fontId="399" fillId="0" borderId="241" xfId="0" applyNumberFormat="1" applyFont="1" applyBorder="1" applyAlignment="1">
      <alignment horizontal="right" vertical="center" wrapText="1"/>
    </xf>
    <xf numFmtId="0" fontId="399" fillId="0" borderId="465" xfId="0" applyFont="1" applyBorder="1" applyAlignment="1">
      <alignment horizontal="right" vertical="center" wrapText="1"/>
    </xf>
    <xf numFmtId="181" fontId="399" fillId="0" borderId="465" xfId="0" applyNumberFormat="1" applyFont="1" applyBorder="1" applyAlignment="1">
      <alignment horizontal="right" vertical="center" wrapText="1"/>
    </xf>
    <xf numFmtId="181" fontId="398" fillId="2" borderId="465" xfId="0" applyNumberFormat="1" applyFont="1" applyFill="1" applyBorder="1" applyAlignment="1">
      <alignment horizontal="right" vertical="center" wrapText="1"/>
    </xf>
    <xf numFmtId="41" fontId="398" fillId="3" borderId="465" xfId="0" applyNumberFormat="1" applyFont="1" applyFill="1" applyBorder="1" applyAlignment="1">
      <alignment horizontal="right" vertical="center" wrapText="1"/>
    </xf>
    <xf numFmtId="181" fontId="398" fillId="2" borderId="466" xfId="0" applyNumberFormat="1" applyFont="1" applyFill="1" applyBorder="1" applyAlignment="1">
      <alignment horizontal="left" vertical="center" wrapText="1"/>
    </xf>
    <xf numFmtId="181" fontId="398" fillId="2" borderId="467" xfId="0" applyNumberFormat="1" applyFont="1" applyFill="1" applyBorder="1" applyAlignment="1">
      <alignment horizontal="center" vertical="center" wrapText="1"/>
    </xf>
    <xf numFmtId="181" fontId="398" fillId="2" borderId="467" xfId="0" applyNumberFormat="1" applyFont="1" applyFill="1" applyBorder="1" applyAlignment="1">
      <alignment horizontal="right" vertical="center" wrapText="1"/>
    </xf>
    <xf numFmtId="3" fontId="398" fillId="2" borderId="468" xfId="0" applyNumberFormat="1" applyFont="1" applyFill="1" applyBorder="1" applyAlignment="1">
      <alignment horizontal="right" vertical="center" wrapText="1"/>
    </xf>
    <xf numFmtId="176" fontId="390" fillId="0" borderId="469" xfId="0" applyNumberFormat="1" applyFont="1" applyBorder="1" applyAlignment="1">
      <alignment vertical="center"/>
    </xf>
    <xf numFmtId="176" fontId="390" fillId="0" borderId="470" xfId="0" applyNumberFormat="1" applyFont="1" applyBorder="1" applyAlignment="1">
      <alignment vertical="center"/>
    </xf>
    <xf numFmtId="176" fontId="389" fillId="5" borderId="245" xfId="0" applyNumberFormat="1" applyFont="1" applyFill="1" applyBorder="1" applyAlignment="1">
      <alignment horizontal="center" vertical="center"/>
    </xf>
    <xf numFmtId="176" fontId="389" fillId="5" borderId="241" xfId="0" applyNumberFormat="1" applyFont="1" applyFill="1" applyBorder="1" applyAlignment="1">
      <alignment horizontal="center" vertical="center"/>
    </xf>
    <xf numFmtId="176" fontId="389" fillId="5" borderId="246" xfId="0" applyNumberFormat="1" applyFont="1" applyFill="1" applyBorder="1" applyAlignment="1">
      <alignment horizontal="center" vertical="center"/>
    </xf>
    <xf numFmtId="176" fontId="392" fillId="0" borderId="471" xfId="0" applyNumberFormat="1" applyFont="1" applyBorder="1" applyAlignment="1">
      <alignment vertical="center"/>
    </xf>
    <xf numFmtId="176" fontId="390" fillId="0" borderId="471" xfId="0" applyNumberFormat="1" applyFont="1" applyBorder="1" applyAlignment="1">
      <alignment vertical="center"/>
    </xf>
    <xf numFmtId="176" fontId="392" fillId="0" borderId="472" xfId="0" applyNumberFormat="1" applyFont="1" applyBorder="1" applyAlignment="1">
      <alignment horizontal="left" vertical="center" indent="1"/>
    </xf>
    <xf numFmtId="176" fontId="392" fillId="0" borderId="473" xfId="0" applyNumberFormat="1" applyFont="1" applyBorder="1" applyAlignment="1">
      <alignment horizontal="left" vertical="center" indent="1"/>
    </xf>
    <xf numFmtId="176" fontId="392" fillId="0" borderId="474" xfId="0" applyNumberFormat="1" applyFont="1" applyBorder="1" applyAlignment="1">
      <alignment horizontal="left" vertical="center" indent="1"/>
    </xf>
    <xf numFmtId="176" fontId="390" fillId="0" borderId="471" xfId="0" applyNumberFormat="1" applyFont="1" applyBorder="1" applyAlignment="1">
      <alignment horizontal="left" vertical="center" indent="1"/>
    </xf>
    <xf numFmtId="176" fontId="393" fillId="0" borderId="308" xfId="0" applyNumberFormat="1" applyFont="1" applyBorder="1" applyAlignment="1">
      <alignment vertical="center"/>
    </xf>
    <xf numFmtId="176" fontId="393" fillId="0" borderId="309" xfId="0" applyNumberFormat="1" applyFont="1" applyBorder="1" applyAlignment="1">
      <alignment vertical="center"/>
    </xf>
    <xf numFmtId="10" fontId="393" fillId="0" borderId="309" xfId="2" applyNumberFormat="1" applyFont="1" applyBorder="1" applyAlignment="1">
      <alignment vertical="center"/>
    </xf>
    <xf numFmtId="176" fontId="393" fillId="0" borderId="310" xfId="0" applyNumberFormat="1" applyFont="1" applyBorder="1" applyAlignment="1">
      <alignment vertical="center"/>
    </xf>
    <xf numFmtId="176" fontId="393" fillId="0" borderId="475" xfId="0" applyNumberFormat="1" applyFont="1" applyBorder="1" applyAlignment="1">
      <alignment horizontal="center" vertical="center"/>
    </xf>
    <xf numFmtId="176" fontId="393" fillId="0" borderId="476" xfId="0" applyNumberFormat="1" applyFont="1" applyBorder="1" applyAlignment="1">
      <alignment vertical="center"/>
    </xf>
    <xf numFmtId="176" fontId="393" fillId="0" borderId="477" xfId="0" applyNumberFormat="1" applyFont="1" applyBorder="1" applyAlignment="1">
      <alignment vertical="center"/>
    </xf>
    <xf numFmtId="176" fontId="393" fillId="0" borderId="478" xfId="0" applyNumberFormat="1" applyFont="1" applyBorder="1" applyAlignment="1">
      <alignment vertical="center"/>
    </xf>
    <xf numFmtId="176" fontId="393" fillId="0" borderId="479" xfId="0" applyNumberFormat="1" applyFont="1" applyBorder="1" applyAlignment="1">
      <alignment vertical="center"/>
    </xf>
    <xf numFmtId="176" fontId="390" fillId="0" borderId="37" xfId="0" applyNumberFormat="1" applyFont="1" applyBorder="1" applyAlignment="1">
      <alignment horizontal="center" vertical="center"/>
    </xf>
    <xf numFmtId="176" fontId="390" fillId="0" borderId="38" xfId="0" applyNumberFormat="1" applyFont="1" applyBorder="1" applyAlignment="1">
      <alignment horizontal="center" vertical="center"/>
    </xf>
    <xf numFmtId="176" fontId="390" fillId="0" borderId="38" xfId="0" applyNumberFormat="1" applyFont="1" applyBorder="1" applyAlignment="1">
      <alignment horizontal="left" vertical="center" indent="1"/>
    </xf>
    <xf numFmtId="176" fontId="390" fillId="0" borderId="39" xfId="0" applyNumberFormat="1" applyFont="1" applyBorder="1" applyAlignment="1">
      <alignment vertical="center"/>
    </xf>
    <xf numFmtId="176" fontId="392" fillId="0" borderId="480" xfId="0" applyNumberFormat="1" applyFont="1" applyBorder="1" applyAlignment="1">
      <alignment vertical="center"/>
    </xf>
    <xf numFmtId="176" fontId="392" fillId="0" borderId="481" xfId="0" applyNumberFormat="1" applyFont="1" applyBorder="1" applyAlignment="1">
      <alignment vertical="center"/>
    </xf>
    <xf numFmtId="176" fontId="392" fillId="0" borderId="482" xfId="0" applyNumberFormat="1" applyFont="1" applyBorder="1" applyAlignment="1">
      <alignment horizontal="center" vertical="center"/>
    </xf>
    <xf numFmtId="176" fontId="392" fillId="0" borderId="480" xfId="0" applyNumberFormat="1" applyFont="1" applyBorder="1" applyAlignment="1">
      <alignment horizontal="center" vertical="center"/>
    </xf>
    <xf numFmtId="176" fontId="392" fillId="0" borderId="480" xfId="0" applyNumberFormat="1" applyFont="1" applyBorder="1" applyAlignment="1">
      <alignment horizontal="left" vertical="center" indent="1"/>
    </xf>
    <xf numFmtId="176" fontId="392" fillId="0" borderId="482" xfId="0" applyNumberFormat="1" applyFont="1" applyBorder="1" applyAlignment="1">
      <alignment vertical="center"/>
    </xf>
    <xf numFmtId="178" fontId="392" fillId="114" borderId="0" xfId="0" applyNumberFormat="1" applyFont="1" applyFill="1" applyAlignment="1">
      <alignment vertical="center"/>
    </xf>
    <xf numFmtId="184" fontId="392" fillId="0" borderId="0" xfId="0" applyNumberFormat="1" applyFont="1" applyBorder="1" applyAlignment="1">
      <alignment horizontal="left" vertical="center" indent="1"/>
    </xf>
    <xf numFmtId="176" fontId="392" fillId="114" borderId="325" xfId="0" applyNumberFormat="1" applyFont="1" applyFill="1" applyBorder="1" applyAlignment="1">
      <alignment horizontal="center" vertical="center"/>
    </xf>
    <xf numFmtId="176" fontId="392" fillId="114" borderId="309" xfId="0" applyNumberFormat="1" applyFont="1" applyFill="1" applyBorder="1" applyAlignment="1">
      <alignment horizontal="left" vertical="center" indent="1"/>
    </xf>
    <xf numFmtId="176" fontId="392" fillId="114" borderId="326" xfId="0" applyNumberFormat="1" applyFont="1" applyFill="1" applyBorder="1" applyAlignment="1">
      <alignment vertical="center"/>
    </xf>
    <xf numFmtId="176" fontId="392" fillId="114" borderId="325" xfId="0" applyNumberFormat="1" applyFont="1" applyFill="1" applyBorder="1" applyAlignment="1">
      <alignment vertical="center"/>
    </xf>
    <xf numFmtId="176" fontId="392" fillId="114" borderId="421" xfId="0" applyNumberFormat="1" applyFont="1" applyFill="1" applyBorder="1" applyAlignment="1">
      <alignment vertical="center"/>
    </xf>
    <xf numFmtId="176" fontId="392" fillId="114" borderId="483" xfId="0" applyNumberFormat="1" applyFont="1" applyFill="1" applyBorder="1" applyAlignment="1">
      <alignment vertical="center"/>
    </xf>
    <xf numFmtId="176" fontId="392" fillId="114" borderId="484" xfId="0" applyNumberFormat="1" applyFont="1" applyFill="1" applyBorder="1" applyAlignment="1">
      <alignment vertical="center"/>
    </xf>
    <xf numFmtId="176" fontId="390" fillId="2" borderId="243" xfId="0" applyNumberFormat="1" applyFont="1" applyFill="1" applyBorder="1" applyAlignment="1">
      <alignment vertical="center"/>
    </xf>
    <xf numFmtId="176" fontId="390" fillId="2" borderId="240" xfId="0" applyNumberFormat="1" applyFont="1" applyFill="1" applyBorder="1" applyAlignment="1">
      <alignment horizontal="left" vertical="center" indent="1"/>
    </xf>
    <xf numFmtId="176" fontId="393" fillId="2" borderId="240" xfId="0" applyNumberFormat="1" applyFont="1" applyFill="1" applyBorder="1" applyAlignment="1">
      <alignment horizontal="center" vertical="center" wrapText="1"/>
    </xf>
    <xf numFmtId="176" fontId="393" fillId="2" borderId="244" xfId="0" applyNumberFormat="1" applyFont="1" applyFill="1" applyBorder="1" applyAlignment="1">
      <alignment horizontal="center" vertical="center" wrapText="1"/>
    </xf>
    <xf numFmtId="176" fontId="393" fillId="2" borderId="243" xfId="0" applyNumberFormat="1" applyFont="1" applyFill="1" applyBorder="1" applyAlignment="1">
      <alignment horizontal="center" vertical="center" wrapText="1"/>
    </xf>
    <xf numFmtId="176" fontId="393" fillId="2" borderId="319" xfId="0" applyNumberFormat="1" applyFont="1" applyFill="1" applyBorder="1" applyAlignment="1">
      <alignment horizontal="center" vertical="center" wrapText="1"/>
    </xf>
    <xf numFmtId="176" fontId="393" fillId="2" borderId="431" xfId="0" applyNumberFormat="1" applyFont="1" applyFill="1" applyBorder="1" applyAlignment="1">
      <alignment horizontal="center" vertical="center" wrapText="1"/>
    </xf>
    <xf numFmtId="176" fontId="393" fillId="2" borderId="485" xfId="0" applyNumberFormat="1" applyFont="1" applyFill="1" applyBorder="1" applyAlignment="1">
      <alignment horizontal="center" vertical="center" wrapText="1"/>
    </xf>
    <xf numFmtId="41" fontId="392" fillId="114" borderId="447" xfId="0" applyNumberFormat="1" applyFont="1" applyFill="1" applyBorder="1" applyAlignment="1">
      <alignment vertical="center"/>
    </xf>
    <xf numFmtId="184" fontId="392" fillId="114" borderId="447" xfId="0" applyNumberFormat="1" applyFont="1" applyFill="1" applyBorder="1" applyAlignment="1">
      <alignment vertical="center"/>
    </xf>
    <xf numFmtId="176" fontId="394" fillId="5" borderId="486" xfId="0" applyNumberFormat="1" applyFont="1" applyFill="1" applyBorder="1" applyAlignment="1">
      <alignment horizontal="center" vertical="center"/>
    </xf>
    <xf numFmtId="176" fontId="394" fillId="5" borderId="487" xfId="0" applyNumberFormat="1" applyFont="1" applyFill="1" applyBorder="1" applyAlignment="1">
      <alignment horizontal="center" vertical="center"/>
    </xf>
    <xf numFmtId="176" fontId="394" fillId="5" borderId="488" xfId="0" applyNumberFormat="1" applyFont="1" applyFill="1" applyBorder="1" applyAlignment="1">
      <alignment horizontal="center" vertical="center"/>
    </xf>
    <xf numFmtId="176" fontId="392" fillId="114" borderId="37" xfId="0" applyNumberFormat="1" applyFont="1" applyFill="1" applyBorder="1" applyAlignment="1">
      <alignment vertical="center"/>
    </xf>
    <xf numFmtId="176" fontId="392" fillId="114" borderId="38" xfId="0" applyNumberFormat="1" applyFont="1" applyFill="1" applyBorder="1" applyAlignment="1">
      <alignment vertical="center"/>
    </xf>
    <xf numFmtId="176" fontId="392" fillId="114" borderId="39" xfId="0" applyNumberFormat="1" applyFont="1" applyFill="1" applyBorder="1" applyAlignment="1">
      <alignment vertical="center"/>
    </xf>
    <xf numFmtId="176" fontId="392" fillId="9" borderId="222" xfId="0" applyNumberFormat="1" applyFont="1" applyFill="1" applyBorder="1" applyAlignment="1">
      <alignment vertical="center"/>
    </xf>
    <xf numFmtId="176" fontId="392" fillId="115" borderId="35" xfId="0" applyNumberFormat="1" applyFont="1" applyFill="1" applyBorder="1" applyAlignment="1">
      <alignment vertical="center"/>
    </xf>
    <xf numFmtId="176" fontId="392" fillId="115" borderId="0" xfId="0" applyNumberFormat="1" applyFont="1" applyFill="1" applyBorder="1" applyAlignment="1">
      <alignment vertical="center"/>
    </xf>
    <xf numFmtId="176" fontId="392" fillId="115" borderId="36" xfId="0" applyNumberFormat="1" applyFont="1" applyFill="1" applyBorder="1" applyAlignment="1">
      <alignment vertical="center"/>
    </xf>
    <xf numFmtId="0" fontId="406" fillId="9" borderId="53" xfId="0" applyNumberFormat="1" applyFont="1" applyFill="1" applyBorder="1" applyAlignment="1">
      <alignment horizontal="center" vertical="center"/>
    </xf>
    <xf numFmtId="176" fontId="406" fillId="9" borderId="54" xfId="0" applyNumberFormat="1" applyFont="1" applyFill="1" applyBorder="1" applyAlignment="1">
      <alignment vertical="center"/>
    </xf>
    <xf numFmtId="41" fontId="406" fillId="114" borderId="0" xfId="0" applyNumberFormat="1" applyFont="1" applyFill="1" applyAlignment="1">
      <alignment horizontal="right" vertical="center"/>
    </xf>
    <xf numFmtId="176" fontId="392" fillId="6" borderId="300" xfId="0" applyNumberFormat="1" applyFont="1" applyFill="1" applyBorder="1" applyAlignment="1">
      <alignment vertical="center"/>
    </xf>
    <xf numFmtId="176" fontId="392" fillId="6" borderId="489" xfId="0" applyNumberFormat="1" applyFont="1" applyFill="1" applyBorder="1" applyAlignment="1">
      <alignment vertical="center"/>
    </xf>
    <xf numFmtId="176" fontId="392" fillId="0" borderId="489" xfId="0" applyNumberFormat="1" applyFont="1" applyBorder="1" applyAlignment="1">
      <alignment vertical="center"/>
    </xf>
    <xf numFmtId="176" fontId="390" fillId="6" borderId="300" xfId="0" applyNumberFormat="1" applyFont="1" applyFill="1" applyBorder="1" applyAlignment="1">
      <alignment vertical="center"/>
    </xf>
    <xf numFmtId="176" fontId="390" fillId="6" borderId="489" xfId="0" applyNumberFormat="1" applyFont="1" applyFill="1" applyBorder="1" applyAlignment="1">
      <alignment vertical="center"/>
    </xf>
    <xf numFmtId="176" fontId="392" fillId="0" borderId="490" xfId="0" applyNumberFormat="1" applyFont="1" applyBorder="1" applyAlignment="1">
      <alignment vertical="center"/>
    </xf>
    <xf numFmtId="176" fontId="392" fillId="6" borderId="318" xfId="0" applyNumberFormat="1" applyFont="1" applyFill="1" applyBorder="1" applyAlignment="1">
      <alignment horizontal="center" vertical="center"/>
    </xf>
    <xf numFmtId="176" fontId="392" fillId="6" borderId="318" xfId="0" applyNumberFormat="1" applyFont="1" applyFill="1" applyBorder="1" applyAlignment="1">
      <alignment vertical="center"/>
    </xf>
    <xf numFmtId="176" fontId="406" fillId="2" borderId="319" xfId="0" applyNumberFormat="1" applyFont="1" applyFill="1" applyBorder="1" applyAlignment="1">
      <alignment horizontal="center" vertical="center" wrapText="1"/>
    </xf>
    <xf numFmtId="176" fontId="406" fillId="2" borderId="318" xfId="0" applyNumberFormat="1" applyFont="1" applyFill="1" applyBorder="1" applyAlignment="1">
      <alignment horizontal="center" vertical="center" wrapText="1"/>
    </xf>
    <xf numFmtId="176" fontId="390" fillId="0" borderId="46" xfId="0" applyNumberFormat="1" applyFont="1" applyBorder="1" applyAlignment="1">
      <alignment vertical="center"/>
    </xf>
    <xf numFmtId="176" fontId="392" fillId="2" borderId="359" xfId="0" applyNumberFormat="1" applyFont="1" applyFill="1" applyBorder="1" applyAlignment="1">
      <alignment vertical="center"/>
    </xf>
    <xf numFmtId="176" fontId="392" fillId="114" borderId="359" xfId="0" applyNumberFormat="1" applyFont="1" applyFill="1" applyBorder="1" applyAlignment="1">
      <alignment vertical="center"/>
    </xf>
    <xf numFmtId="176" fontId="392" fillId="114" borderId="491" xfId="0" applyNumberFormat="1" applyFont="1" applyFill="1" applyBorder="1" applyAlignment="1">
      <alignment vertical="center"/>
    </xf>
    <xf numFmtId="176" fontId="392" fillId="114" borderId="492" xfId="0" applyNumberFormat="1" applyFont="1" applyFill="1" applyBorder="1" applyAlignment="1">
      <alignment vertical="center"/>
    </xf>
    <xf numFmtId="176" fontId="392" fillId="114" borderId="493" xfId="0" applyNumberFormat="1" applyFont="1" applyFill="1" applyBorder="1" applyAlignment="1">
      <alignment vertical="center"/>
    </xf>
    <xf numFmtId="176" fontId="390" fillId="2" borderId="359" xfId="0" applyNumberFormat="1" applyFont="1" applyFill="1" applyBorder="1" applyAlignment="1">
      <alignment vertical="center"/>
    </xf>
    <xf numFmtId="176" fontId="392" fillId="0" borderId="359" xfId="0" applyNumberFormat="1" applyFont="1" applyFill="1" applyBorder="1" applyAlignment="1">
      <alignment vertical="center"/>
    </xf>
    <xf numFmtId="176" fontId="392" fillId="114" borderId="361" xfId="0" applyNumberFormat="1" applyFont="1" applyFill="1" applyBorder="1" applyAlignment="1">
      <alignment vertical="center"/>
    </xf>
    <xf numFmtId="176" fontId="389" fillId="29" borderId="454" xfId="0" applyNumberFormat="1" applyFont="1" applyFill="1" applyBorder="1" applyAlignment="1">
      <alignment horizontal="center" vertical="center" wrapText="1"/>
    </xf>
    <xf numFmtId="176" fontId="392" fillId="114" borderId="455" xfId="0" applyNumberFormat="1" applyFont="1" applyFill="1" applyBorder="1" applyAlignment="1">
      <alignment vertical="center"/>
    </xf>
    <xf numFmtId="176" fontId="392" fillId="114" borderId="456" xfId="0" applyNumberFormat="1" applyFont="1" applyFill="1" applyBorder="1" applyAlignment="1">
      <alignment vertical="center"/>
    </xf>
    <xf numFmtId="0" fontId="408" fillId="114" borderId="33" xfId="5" applyFont="1" applyFill="1" applyBorder="1" applyAlignment="1" applyProtection="1">
      <alignment horizontal="left" vertical="center" indent="1"/>
    </xf>
    <xf numFmtId="0" fontId="408" fillId="114" borderId="33" xfId="0" applyFont="1" applyFill="1" applyBorder="1" applyAlignment="1">
      <alignment horizontal="left" vertical="center" indent="1"/>
    </xf>
    <xf numFmtId="41" fontId="408" fillId="114" borderId="33" xfId="5" applyNumberFormat="1" applyFont="1" applyFill="1" applyBorder="1" applyAlignment="1" applyProtection="1">
      <alignment vertical="center"/>
    </xf>
    <xf numFmtId="41" fontId="408" fillId="114" borderId="0" xfId="5" applyNumberFormat="1" applyFont="1" applyFill="1" applyBorder="1" applyAlignment="1" applyProtection="1">
      <alignment vertical="center"/>
    </xf>
    <xf numFmtId="41" fontId="406" fillId="114" borderId="224" xfId="0" applyNumberFormat="1" applyFont="1" applyFill="1" applyBorder="1" applyAlignment="1">
      <alignment vertical="center"/>
    </xf>
    <xf numFmtId="176" fontId="402" fillId="114" borderId="245" xfId="5" applyNumberFormat="1" applyFont="1" applyFill="1" applyBorder="1" applyAlignment="1">
      <alignment horizontal="left" indent="1"/>
    </xf>
    <xf numFmtId="176" fontId="402" fillId="114" borderId="309" xfId="2" applyNumberFormat="1" applyFont="1" applyFill="1" applyBorder="1" applyAlignment="1">
      <alignment horizontal="left" vertical="center" indent="1"/>
    </xf>
    <xf numFmtId="176" fontId="402" fillId="114" borderId="242" xfId="2" applyNumberFormat="1" applyFont="1" applyFill="1" applyBorder="1" applyAlignment="1">
      <alignment horizontal="left" vertical="center" indent="1"/>
    </xf>
    <xf numFmtId="261" fontId="402" fillId="0" borderId="0" xfId="0" applyNumberFormat="1" applyFont="1" applyAlignment="1">
      <alignment vertical="center"/>
    </xf>
    <xf numFmtId="0" fontId="402" fillId="0" borderId="0" xfId="0" applyFont="1" applyAlignment="1">
      <alignment horizontal="left" vertical="center" indent="1"/>
    </xf>
    <xf numFmtId="0" fontId="391" fillId="20" borderId="35" xfId="0" applyFont="1" applyFill="1" applyBorder="1" applyAlignment="1">
      <alignment horizontal="center" vertical="center"/>
    </xf>
    <xf numFmtId="0" fontId="391" fillId="20" borderId="0" xfId="0" applyFont="1" applyFill="1" applyBorder="1" applyAlignment="1">
      <alignment vertical="center"/>
    </xf>
    <xf numFmtId="0" fontId="391" fillId="20" borderId="0" xfId="0" applyFont="1" applyFill="1" applyBorder="1" applyAlignment="1">
      <alignment horizontal="center" vertical="center"/>
    </xf>
    <xf numFmtId="176" fontId="392" fillId="20" borderId="0" xfId="0" applyNumberFormat="1" applyFont="1" applyFill="1" applyAlignment="1">
      <alignment vertical="center"/>
    </xf>
    <xf numFmtId="176" fontId="392" fillId="20" borderId="0" xfId="0" applyNumberFormat="1" applyFont="1" applyFill="1" applyBorder="1" applyAlignment="1">
      <alignment vertical="center"/>
    </xf>
    <xf numFmtId="176" fontId="392" fillId="20" borderId="36" xfId="0" applyNumberFormat="1" applyFont="1" applyFill="1" applyBorder="1" applyAlignment="1">
      <alignment vertical="center"/>
    </xf>
    <xf numFmtId="176" fontId="392" fillId="20" borderId="35" xfId="0" applyNumberFormat="1" applyFont="1" applyFill="1" applyBorder="1" applyAlignment="1">
      <alignment vertical="center"/>
    </xf>
    <xf numFmtId="176" fontId="390" fillId="20" borderId="0" xfId="0" applyNumberFormat="1" applyFont="1" applyFill="1" applyBorder="1" applyAlignment="1">
      <alignment vertical="center"/>
    </xf>
    <xf numFmtId="176" fontId="392" fillId="20" borderId="47" xfId="0" applyNumberFormat="1" applyFont="1" applyFill="1" applyBorder="1" applyAlignment="1">
      <alignment vertical="center"/>
    </xf>
    <xf numFmtId="0" fontId="392" fillId="20" borderId="35" xfId="0" applyFont="1" applyFill="1" applyBorder="1" applyAlignment="1">
      <alignment horizontal="center" vertical="center"/>
    </xf>
    <xf numFmtId="0" fontId="392" fillId="20" borderId="0" xfId="0" applyFont="1" applyFill="1" applyBorder="1" applyAlignment="1">
      <alignment vertical="center"/>
    </xf>
    <xf numFmtId="0" fontId="392" fillId="20" borderId="0" xfId="0" applyFont="1" applyFill="1" applyBorder="1" applyAlignment="1">
      <alignment horizontal="center" vertical="center"/>
    </xf>
    <xf numFmtId="176" fontId="408" fillId="20" borderId="305" xfId="0" applyNumberFormat="1" applyFont="1" applyFill="1" applyBorder="1" applyAlignment="1">
      <alignment horizontal="center" vertical="center"/>
    </xf>
    <xf numFmtId="0" fontId="410" fillId="20" borderId="241" xfId="4" applyNumberFormat="1" applyFont="1" applyFill="1" applyBorder="1" applyAlignment="1">
      <alignment horizontal="center" vertical="center"/>
    </xf>
    <xf numFmtId="176" fontId="392" fillId="20" borderId="241" xfId="0" applyNumberFormat="1" applyFont="1" applyFill="1" applyBorder="1" applyAlignment="1">
      <alignment horizontal="left" vertical="center" indent="1"/>
    </xf>
    <xf numFmtId="176" fontId="392" fillId="20" borderId="241" xfId="0" applyNumberFormat="1" applyFont="1" applyFill="1" applyBorder="1" applyAlignment="1">
      <alignment horizontal="center" vertical="center"/>
    </xf>
    <xf numFmtId="176" fontId="392" fillId="20" borderId="241" xfId="0" applyNumberFormat="1" applyFont="1" applyFill="1" applyBorder="1" applyAlignment="1">
      <alignment vertical="center"/>
    </xf>
    <xf numFmtId="176" fontId="392" fillId="20" borderId="306" xfId="0" applyNumberFormat="1" applyFont="1" applyFill="1" applyBorder="1" applyAlignment="1">
      <alignment horizontal="right" vertical="center"/>
    </xf>
    <xf numFmtId="176" fontId="391" fillId="20" borderId="305" xfId="0" applyNumberFormat="1" applyFont="1" applyFill="1" applyBorder="1" applyAlignment="1">
      <alignment horizontal="center" vertical="center"/>
    </xf>
    <xf numFmtId="0" fontId="391" fillId="20" borderId="241" xfId="4" applyNumberFormat="1" applyFont="1" applyFill="1" applyBorder="1" applyAlignment="1">
      <alignment horizontal="center" vertical="center"/>
    </xf>
    <xf numFmtId="176" fontId="391" fillId="20" borderId="241" xfId="0" applyNumberFormat="1" applyFont="1" applyFill="1" applyBorder="1" applyAlignment="1">
      <alignment horizontal="left" vertical="center" indent="1"/>
    </xf>
    <xf numFmtId="184" fontId="417" fillId="0" borderId="494" xfId="1" applyNumberFormat="1" applyFont="1" applyBorder="1" applyAlignment="1">
      <alignment vertical="center"/>
    </xf>
    <xf numFmtId="0" fontId="392" fillId="20" borderId="305" xfId="0" applyNumberFormat="1" applyFont="1" applyFill="1" applyBorder="1" applyAlignment="1">
      <alignment horizontal="center" vertical="center"/>
    </xf>
    <xf numFmtId="176" fontId="392" fillId="20" borderId="356" xfId="0" applyNumberFormat="1" applyFont="1" applyFill="1" applyBorder="1" applyAlignment="1">
      <alignment vertical="center"/>
    </xf>
    <xf numFmtId="176" fontId="392" fillId="20" borderId="306" xfId="0" applyNumberFormat="1" applyFont="1" applyFill="1" applyBorder="1" applyAlignment="1">
      <alignment vertical="center"/>
    </xf>
    <xf numFmtId="176" fontId="392" fillId="20" borderId="295" xfId="0" applyNumberFormat="1" applyFont="1" applyFill="1" applyBorder="1" applyAlignment="1">
      <alignment vertical="center"/>
    </xf>
    <xf numFmtId="0" fontId="392" fillId="20" borderId="0" xfId="0" applyFont="1" applyFill="1" applyBorder="1" applyAlignment="1">
      <alignment horizontal="left" vertical="center"/>
    </xf>
    <xf numFmtId="176" fontId="392" fillId="20" borderId="0" xfId="0" applyNumberFormat="1" applyFont="1" applyFill="1" applyBorder="1" applyAlignment="1">
      <alignment horizontal="left" vertical="center" indent="1"/>
    </xf>
    <xf numFmtId="0" fontId="392" fillId="20" borderId="35" xfId="0" applyNumberFormat="1" applyFont="1" applyFill="1" applyBorder="1" applyAlignment="1">
      <alignment horizontal="center" vertical="center"/>
    </xf>
    <xf numFmtId="41" fontId="406" fillId="21" borderId="0" xfId="1" applyNumberFormat="1" applyFont="1" applyFill="1" applyBorder="1" applyAlignment="1">
      <alignment vertical="center"/>
    </xf>
    <xf numFmtId="184" fontId="407" fillId="114" borderId="87" xfId="1" applyNumberFormat="1" applyFont="1" applyFill="1" applyBorder="1" applyAlignment="1">
      <alignment vertical="center"/>
    </xf>
    <xf numFmtId="184" fontId="395" fillId="114" borderId="246" xfId="161" applyNumberFormat="1" applyFont="1" applyFill="1" applyBorder="1" applyAlignment="1" applyProtection="1">
      <alignment vertical="center"/>
    </xf>
    <xf numFmtId="184" fontId="402" fillId="0" borderId="139" xfId="1" applyNumberFormat="1" applyFont="1" applyBorder="1" applyAlignment="1">
      <alignment vertical="center"/>
    </xf>
    <xf numFmtId="184" fontId="402" fillId="0" borderId="140" xfId="1" applyNumberFormat="1" applyFont="1" applyBorder="1" applyAlignment="1">
      <alignment vertical="center"/>
    </xf>
    <xf numFmtId="181" fontId="399" fillId="20" borderId="16" xfId="0" applyNumberFormat="1" applyFont="1" applyFill="1" applyBorder="1" applyAlignment="1">
      <alignment horizontal="left" vertical="center" wrapText="1" indent="1"/>
    </xf>
    <xf numFmtId="181" fontId="399" fillId="20" borderId="1" xfId="0" applyNumberFormat="1" applyFont="1" applyFill="1" applyBorder="1" applyAlignment="1">
      <alignment horizontal="left" vertical="center" wrapText="1" indent="1"/>
    </xf>
    <xf numFmtId="181" fontId="399" fillId="20" borderId="1" xfId="0" applyNumberFormat="1" applyFont="1" applyFill="1" applyBorder="1" applyAlignment="1">
      <alignment horizontal="center" vertical="center" wrapText="1"/>
    </xf>
    <xf numFmtId="181" fontId="399" fillId="20" borderId="1" xfId="0" applyNumberFormat="1" applyFont="1" applyFill="1" applyBorder="1" applyAlignment="1">
      <alignment horizontal="right" vertical="center" wrapText="1"/>
    </xf>
    <xf numFmtId="181" fontId="399" fillId="20" borderId="17" xfId="0" applyNumberFormat="1" applyFont="1" applyFill="1" applyBorder="1" applyAlignment="1">
      <alignment horizontal="right" vertical="center" wrapText="1"/>
    </xf>
    <xf numFmtId="181" fontId="399" fillId="20" borderId="42" xfId="0" applyNumberFormat="1" applyFont="1" applyFill="1" applyBorder="1" applyAlignment="1">
      <alignment horizontal="left" vertical="center" indent="1"/>
    </xf>
    <xf numFmtId="41" fontId="392" fillId="20" borderId="43" xfId="0" applyNumberFormat="1" applyFont="1" applyFill="1" applyBorder="1" applyAlignment="1">
      <alignment vertical="center"/>
    </xf>
    <xf numFmtId="184" fontId="392" fillId="20" borderId="43" xfId="0" applyNumberFormat="1" applyFont="1" applyFill="1" applyBorder="1" applyAlignment="1">
      <alignment vertical="center"/>
    </xf>
    <xf numFmtId="176" fontId="392" fillId="20" borderId="43" xfId="0" applyNumberFormat="1" applyFont="1" applyFill="1" applyBorder="1" applyAlignment="1">
      <alignment vertical="center"/>
    </xf>
    <xf numFmtId="41" fontId="392" fillId="20" borderId="79" xfId="0" applyNumberFormat="1" applyFont="1" applyFill="1" applyBorder="1" applyAlignment="1">
      <alignment vertical="center"/>
    </xf>
    <xf numFmtId="0" fontId="391" fillId="114" borderId="0" xfId="0" applyFont="1" applyFill="1" applyBorder="1" applyAlignment="1">
      <alignment horizontal="center" vertical="center"/>
    </xf>
    <xf numFmtId="41" fontId="391" fillId="114" borderId="0" xfId="1" applyFont="1" applyFill="1" applyBorder="1" applyAlignment="1">
      <alignment vertical="center"/>
    </xf>
    <xf numFmtId="41" fontId="391" fillId="114" borderId="0" xfId="1" applyFont="1" applyFill="1" applyBorder="1" applyAlignment="1">
      <alignment horizontal="center" vertical="center"/>
    </xf>
    <xf numFmtId="181" fontId="392" fillId="115" borderId="0" xfId="0" applyNumberFormat="1" applyFont="1" applyFill="1" applyAlignment="1">
      <alignment horizontal="right" vertical="center"/>
    </xf>
    <xf numFmtId="41" fontId="392" fillId="115" borderId="0" xfId="0" applyNumberFormat="1" applyFont="1" applyFill="1" applyBorder="1" applyAlignment="1">
      <alignment vertical="center"/>
    </xf>
    <xf numFmtId="0" fontId="8" fillId="10" borderId="0" xfId="0" applyFont="1" applyFill="1" applyBorder="1" applyAlignment="1">
      <alignment horizontal="center" vertical="center"/>
    </xf>
    <xf numFmtId="0" fontId="401" fillId="18" borderId="128" xfId="172" applyFont="1" applyFill="1" applyBorder="1" applyAlignment="1">
      <alignment horizontal="center" vertical="center"/>
    </xf>
    <xf numFmtId="0" fontId="401" fillId="18" borderId="129" xfId="172" applyFont="1" applyFill="1" applyBorder="1" applyAlignment="1">
      <alignment horizontal="center" vertical="center"/>
    </xf>
    <xf numFmtId="181" fontId="398" fillId="0" borderId="462" xfId="0" applyNumberFormat="1" applyFont="1" applyBorder="1" applyAlignment="1">
      <alignment horizontal="center" vertical="center" wrapText="1"/>
    </xf>
    <xf numFmtId="181" fontId="398" fillId="0" borderId="463" xfId="0" applyNumberFormat="1" applyFont="1" applyBorder="1" applyAlignment="1">
      <alignment horizontal="center" vertical="center" wrapText="1"/>
    </xf>
    <xf numFmtId="0" fontId="399" fillId="24" borderId="98" xfId="0" applyFont="1" applyFill="1" applyBorder="1" applyAlignment="1">
      <alignment horizontal="center" vertical="center" wrapText="1"/>
    </xf>
    <xf numFmtId="0" fontId="399" fillId="24" borderId="99" xfId="0" applyFont="1" applyFill="1" applyBorder="1" applyAlignment="1">
      <alignment horizontal="center" vertical="center" wrapText="1"/>
    </xf>
    <xf numFmtId="0" fontId="399" fillId="24" borderId="100" xfId="0" applyFont="1" applyFill="1" applyBorder="1" applyAlignment="1">
      <alignment horizontal="center" vertical="center" wrapText="1"/>
    </xf>
    <xf numFmtId="0" fontId="389" fillId="5" borderId="71" xfId="0" applyFont="1" applyFill="1" applyBorder="1" applyAlignment="1">
      <alignment horizontal="center" vertical="center"/>
    </xf>
    <xf numFmtId="0" fontId="389" fillId="5" borderId="73" xfId="0" applyFont="1" applyFill="1" applyBorder="1" applyAlignment="1">
      <alignment horizontal="center" vertical="center"/>
    </xf>
    <xf numFmtId="0" fontId="389" fillId="5" borderId="302" xfId="0" applyFont="1" applyFill="1" applyBorder="1" applyAlignment="1">
      <alignment horizontal="center" vertical="center" wrapText="1"/>
    </xf>
    <xf numFmtId="0" fontId="389" fillId="5" borderId="305" xfId="0" applyFont="1" applyFill="1" applyBorder="1" applyAlignment="1">
      <alignment horizontal="center" vertical="center" wrapText="1"/>
    </xf>
    <xf numFmtId="0" fontId="389" fillId="5" borderId="303" xfId="0" applyFont="1" applyFill="1" applyBorder="1" applyAlignment="1">
      <alignment horizontal="center" vertical="center" wrapText="1"/>
    </xf>
    <xf numFmtId="0" fontId="389" fillId="5" borderId="241" xfId="0" applyFont="1" applyFill="1" applyBorder="1" applyAlignment="1">
      <alignment horizontal="center" vertical="center" wrapText="1"/>
    </xf>
    <xf numFmtId="0" fontId="389" fillId="5" borderId="390" xfId="0" applyFont="1" applyFill="1" applyBorder="1" applyAlignment="1">
      <alignment horizontal="center" vertical="center" wrapText="1"/>
    </xf>
    <xf numFmtId="0" fontId="389" fillId="5" borderId="318" xfId="0" applyFont="1" applyFill="1" applyBorder="1" applyAlignment="1">
      <alignment horizontal="center" vertical="center" wrapText="1"/>
    </xf>
    <xf numFmtId="181" fontId="399" fillId="24" borderId="397" xfId="0" applyNumberFormat="1" applyFont="1" applyFill="1" applyBorder="1" applyAlignment="1">
      <alignment horizontal="center" vertical="center" wrapText="1"/>
    </xf>
    <xf numFmtId="181" fontId="399" fillId="24" borderId="400" xfId="0" applyNumberFormat="1" applyFont="1" applyFill="1" applyBorder="1" applyAlignment="1">
      <alignment horizontal="center" vertical="center" wrapText="1"/>
    </xf>
    <xf numFmtId="0" fontId="389" fillId="31" borderId="303" xfId="0" applyFont="1" applyFill="1" applyBorder="1" applyAlignment="1">
      <alignment horizontal="center" vertical="center" wrapText="1"/>
    </xf>
    <xf numFmtId="0" fontId="389" fillId="31" borderId="241" xfId="0" applyFont="1" applyFill="1" applyBorder="1" applyAlignment="1">
      <alignment horizontal="center" vertical="center" wrapText="1"/>
    </xf>
    <xf numFmtId="0" fontId="389" fillId="5" borderId="392" xfId="0" applyFont="1" applyFill="1" applyBorder="1" applyAlignment="1">
      <alignment horizontal="center" vertical="center" wrapText="1"/>
    </xf>
    <xf numFmtId="0" fontId="389" fillId="5" borderId="247" xfId="0" applyFont="1" applyFill="1" applyBorder="1" applyAlignment="1">
      <alignment horizontal="center" vertical="center" wrapText="1"/>
    </xf>
    <xf numFmtId="0" fontId="389" fillId="5" borderId="304" xfId="0" applyFont="1" applyFill="1" applyBorder="1" applyAlignment="1">
      <alignment horizontal="center" vertical="center" wrapText="1"/>
    </xf>
    <xf numFmtId="0" fontId="389" fillId="5" borderId="306" xfId="0" applyFont="1" applyFill="1" applyBorder="1" applyAlignment="1">
      <alignment horizontal="center" vertical="center" wrapText="1"/>
    </xf>
    <xf numFmtId="181" fontId="399" fillId="24" borderId="398" xfId="0" applyNumberFormat="1" applyFont="1" applyFill="1" applyBorder="1" applyAlignment="1">
      <alignment horizontal="center" vertical="center" wrapText="1"/>
    </xf>
    <xf numFmtId="181" fontId="399" fillId="24" borderId="399" xfId="0" applyNumberFormat="1" applyFont="1" applyFill="1" applyBorder="1" applyAlignment="1">
      <alignment horizontal="center" vertical="center" wrapText="1"/>
    </xf>
    <xf numFmtId="181" fontId="399" fillId="24" borderId="434" xfId="0" applyNumberFormat="1" applyFont="1" applyFill="1" applyBorder="1" applyAlignment="1">
      <alignment horizontal="center" vertical="center" wrapText="1"/>
    </xf>
    <xf numFmtId="181" fontId="399" fillId="24" borderId="435" xfId="0" applyNumberFormat="1" applyFont="1" applyFill="1" applyBorder="1" applyAlignment="1">
      <alignment horizontal="center" vertical="center" wrapText="1"/>
    </xf>
    <xf numFmtId="176" fontId="389" fillId="5" borderId="40" xfId="0" applyNumberFormat="1" applyFont="1" applyFill="1" applyBorder="1" applyAlignment="1">
      <alignment horizontal="center" vertical="center"/>
    </xf>
    <xf numFmtId="176" fontId="389" fillId="5" borderId="42" xfId="0" applyNumberFormat="1" applyFont="1" applyFill="1" applyBorder="1" applyAlignment="1">
      <alignment horizontal="center" vertical="center"/>
    </xf>
    <xf numFmtId="176" fontId="389" fillId="5" borderId="41" xfId="0" applyNumberFormat="1" applyFont="1" applyFill="1" applyBorder="1" applyAlignment="1">
      <alignment horizontal="center" vertical="center"/>
    </xf>
    <xf numFmtId="176" fontId="389" fillId="5" borderId="43" xfId="0" applyNumberFormat="1" applyFont="1" applyFill="1" applyBorder="1" applyAlignment="1">
      <alignment horizontal="center" vertical="center"/>
    </xf>
    <xf numFmtId="176" fontId="389" fillId="5" borderId="74" xfId="0" applyNumberFormat="1" applyFont="1" applyFill="1" applyBorder="1" applyAlignment="1">
      <alignment horizontal="center" vertical="center"/>
    </xf>
    <xf numFmtId="176" fontId="389" fillId="5" borderId="79" xfId="0" applyNumberFormat="1" applyFont="1" applyFill="1" applyBorder="1" applyAlignment="1">
      <alignment horizontal="center" vertical="center"/>
    </xf>
    <xf numFmtId="176" fontId="8" fillId="5" borderId="71" xfId="0" applyNumberFormat="1" applyFont="1" applyFill="1" applyBorder="1" applyAlignment="1">
      <alignment horizontal="center" vertical="center"/>
    </xf>
    <xf numFmtId="176" fontId="8" fillId="5" borderId="72" xfId="0" applyNumberFormat="1" applyFont="1" applyFill="1" applyBorder="1" applyAlignment="1">
      <alignment horizontal="center" vertical="center"/>
    </xf>
    <xf numFmtId="176" fontId="8" fillId="5" borderId="73" xfId="0" applyNumberFormat="1" applyFont="1" applyFill="1" applyBorder="1" applyAlignment="1">
      <alignment horizontal="center" vertical="center"/>
    </xf>
    <xf numFmtId="176" fontId="15" fillId="5" borderId="63" xfId="0" applyNumberFormat="1" applyFont="1" applyFill="1" applyBorder="1" applyAlignment="1">
      <alignment horizontal="center" vertical="center"/>
    </xf>
    <xf numFmtId="176" fontId="15" fillId="5" borderId="64" xfId="0" applyNumberFormat="1" applyFont="1" applyFill="1" applyBorder="1" applyAlignment="1">
      <alignment horizontal="center" vertical="center"/>
    </xf>
    <xf numFmtId="176" fontId="15" fillId="5" borderId="65" xfId="0" applyNumberFormat="1" applyFont="1" applyFill="1" applyBorder="1" applyAlignment="1">
      <alignment horizontal="center" vertical="center"/>
    </xf>
    <xf numFmtId="176" fontId="25" fillId="0" borderId="13" xfId="0" applyNumberFormat="1" applyFont="1" applyBorder="1" applyAlignment="1">
      <alignment horizontal="center" vertical="center" wrapText="1"/>
    </xf>
    <xf numFmtId="176" fontId="25" fillId="0" borderId="26" xfId="0" applyNumberFormat="1" applyFont="1" applyBorder="1" applyAlignment="1">
      <alignment horizontal="center" vertical="center" wrapText="1"/>
    </xf>
    <xf numFmtId="176" fontId="23" fillId="0" borderId="29" xfId="0" applyNumberFormat="1" applyFont="1" applyBorder="1" applyAlignment="1">
      <alignment horizontal="center" vertical="center"/>
    </xf>
    <xf numFmtId="176" fontId="23" fillId="0" borderId="30" xfId="0" applyNumberFormat="1" applyFont="1" applyBorder="1" applyAlignment="1">
      <alignment horizontal="center" vertical="center"/>
    </xf>
    <xf numFmtId="176" fontId="25" fillId="0" borderId="24" xfId="0" applyNumberFormat="1" applyFont="1" applyBorder="1" applyAlignment="1">
      <alignment horizontal="center" vertical="center" wrapText="1"/>
    </xf>
    <xf numFmtId="176" fontId="25" fillId="0" borderId="29" xfId="0" applyNumberFormat="1" applyFont="1" applyBorder="1" applyAlignment="1">
      <alignment horizontal="center" vertical="center"/>
    </xf>
    <xf numFmtId="176" fontId="25" fillId="0" borderId="30" xfId="0" applyNumberFormat="1" applyFont="1" applyBorder="1" applyAlignment="1">
      <alignment horizontal="center" vertical="center"/>
    </xf>
    <xf numFmtId="14" fontId="8" fillId="7" borderId="21" xfId="0" applyNumberFormat="1" applyFont="1" applyFill="1" applyBorder="1" applyAlignment="1">
      <alignment horizontal="center" vertical="center"/>
    </xf>
    <xf numFmtId="14" fontId="8" fillId="7" borderId="22" xfId="0" applyNumberFormat="1" applyFont="1" applyFill="1" applyBorder="1" applyAlignment="1">
      <alignment horizontal="center" vertical="center"/>
    </xf>
    <xf numFmtId="14" fontId="8" fillId="7" borderId="23" xfId="0" applyNumberFormat="1" applyFont="1" applyFill="1" applyBorder="1" applyAlignment="1">
      <alignment horizontal="center" vertical="center"/>
    </xf>
    <xf numFmtId="14" fontId="389" fillId="5" borderId="21" xfId="0" applyNumberFormat="1" applyFont="1" applyFill="1" applyBorder="1" applyAlignment="1">
      <alignment horizontal="center" vertical="center"/>
    </xf>
    <xf numFmtId="14" fontId="389" fillId="5" borderId="22" xfId="0" applyNumberFormat="1" applyFont="1" applyFill="1" applyBorder="1" applyAlignment="1">
      <alignment horizontal="center" vertical="center"/>
    </xf>
    <xf numFmtId="14" fontId="389" fillId="5" borderId="23" xfId="0" applyNumberFormat="1" applyFont="1" applyFill="1" applyBorder="1" applyAlignment="1">
      <alignment horizontal="center" vertical="center"/>
    </xf>
    <xf numFmtId="176" fontId="391" fillId="5" borderId="292" xfId="0" applyNumberFormat="1" applyFont="1" applyFill="1" applyBorder="1" applyAlignment="1">
      <alignment horizontal="center" vertical="center"/>
    </xf>
    <xf numFmtId="176" fontId="391" fillId="5" borderId="293" xfId="0" applyNumberFormat="1" applyFont="1" applyFill="1" applyBorder="1" applyAlignment="1">
      <alignment horizontal="center" vertical="center"/>
    </xf>
    <xf numFmtId="0" fontId="398" fillId="25" borderId="108" xfId="0" applyFont="1" applyFill="1" applyBorder="1" applyAlignment="1">
      <alignment horizontal="right" vertical="top" wrapText="1"/>
    </xf>
    <xf numFmtId="0" fontId="398" fillId="25" borderId="109" xfId="0" applyFont="1" applyFill="1" applyBorder="1" applyAlignment="1">
      <alignment horizontal="right" vertical="top" wrapText="1"/>
    </xf>
    <xf numFmtId="0" fontId="398" fillId="25" borderId="100" xfId="0" applyFont="1" applyFill="1" applyBorder="1" applyAlignment="1">
      <alignment horizontal="right" vertical="top" wrapText="1"/>
    </xf>
    <xf numFmtId="0" fontId="398" fillId="25" borderId="110" xfId="0" applyFont="1" applyFill="1" applyBorder="1" applyAlignment="1">
      <alignment horizontal="center" vertical="center" wrapText="1"/>
    </xf>
    <xf numFmtId="0" fontId="398" fillId="25" borderId="107" xfId="0" applyFont="1" applyFill="1" applyBorder="1" applyAlignment="1">
      <alignment horizontal="center" vertical="center" wrapText="1"/>
    </xf>
    <xf numFmtId="0" fontId="398" fillId="25" borderId="111" xfId="0" applyFont="1" applyFill="1" applyBorder="1" applyAlignment="1">
      <alignment horizontal="center" vertical="top" wrapText="1"/>
    </xf>
    <xf numFmtId="0" fontId="398" fillId="25" borderId="106" xfId="0" applyFont="1" applyFill="1" applyBorder="1" applyAlignment="1">
      <alignment horizontal="center" vertical="top" wrapText="1"/>
    </xf>
    <xf numFmtId="0" fontId="398" fillId="25" borderId="112" xfId="0" applyFont="1" applyFill="1" applyBorder="1" applyAlignment="1">
      <alignment horizontal="center" vertical="top" wrapText="1"/>
    </xf>
    <xf numFmtId="176" fontId="389" fillId="5" borderId="0" xfId="0" applyNumberFormat="1" applyFont="1" applyFill="1" applyAlignment="1">
      <alignment horizontal="center" vertical="center"/>
    </xf>
    <xf numFmtId="176" fontId="394" fillId="5" borderId="0" xfId="0" applyNumberFormat="1" applyFont="1" applyFill="1" applyAlignment="1">
      <alignment horizontal="center" vertical="center"/>
    </xf>
    <xf numFmtId="176" fontId="389" fillId="5" borderId="243" xfId="0" applyNumberFormat="1" applyFont="1" applyFill="1" applyBorder="1" applyAlignment="1">
      <alignment horizontal="center" vertical="center"/>
    </xf>
    <xf numFmtId="176" fontId="389" fillId="5" borderId="240" xfId="0" applyNumberFormat="1" applyFont="1" applyFill="1" applyBorder="1" applyAlignment="1">
      <alignment horizontal="center" vertical="center"/>
    </xf>
    <xf numFmtId="176" fontId="389" fillId="5" borderId="244" xfId="0" applyNumberFormat="1" applyFont="1" applyFill="1" applyBorder="1" applyAlignment="1">
      <alignment horizontal="center" vertical="center"/>
    </xf>
    <xf numFmtId="176" fontId="389" fillId="29" borderId="243" xfId="0" applyNumberFormat="1" applyFont="1" applyFill="1" applyBorder="1" applyAlignment="1">
      <alignment horizontal="center" vertical="center"/>
    </xf>
    <xf numFmtId="176" fontId="389" fillId="29" borderId="240" xfId="0" applyNumberFormat="1" applyFont="1" applyFill="1" applyBorder="1" applyAlignment="1">
      <alignment horizontal="center" vertical="center"/>
    </xf>
    <xf numFmtId="176" fontId="389" fillId="29" borderId="244" xfId="0" applyNumberFormat="1" applyFont="1" applyFill="1" applyBorder="1" applyAlignment="1">
      <alignment horizontal="center" vertical="center"/>
    </xf>
    <xf numFmtId="176" fontId="397" fillId="5" borderId="292" xfId="0" applyNumberFormat="1" applyFont="1" applyFill="1" applyBorder="1" applyAlignment="1">
      <alignment horizontal="center" vertical="center"/>
    </xf>
    <xf numFmtId="176" fontId="397" fillId="5" borderId="431" xfId="0" applyNumberFormat="1" applyFont="1" applyFill="1" applyBorder="1" applyAlignment="1">
      <alignment horizontal="center" vertical="center"/>
    </xf>
    <xf numFmtId="176" fontId="397" fillId="5" borderId="413" xfId="0" applyNumberFormat="1" applyFont="1" applyFill="1" applyBorder="1" applyAlignment="1">
      <alignment horizontal="center" vertical="center"/>
    </xf>
    <xf numFmtId="176" fontId="394" fillId="5" borderId="243" xfId="0" applyNumberFormat="1" applyFont="1" applyFill="1" applyBorder="1" applyAlignment="1">
      <alignment horizontal="center" vertical="center"/>
    </xf>
    <xf numFmtId="176" fontId="394" fillId="5" borderId="240" xfId="0" applyNumberFormat="1" applyFont="1" applyFill="1" applyBorder="1" applyAlignment="1">
      <alignment horizontal="center" vertical="center"/>
    </xf>
    <xf numFmtId="176" fontId="394" fillId="5" borderId="244" xfId="0" applyNumberFormat="1" applyFont="1" applyFill="1" applyBorder="1" applyAlignment="1">
      <alignment horizontal="center" vertical="center"/>
    </xf>
    <xf numFmtId="176" fontId="389" fillId="5" borderId="241" xfId="0" applyNumberFormat="1" applyFont="1" applyFill="1" applyBorder="1" applyAlignment="1">
      <alignment horizontal="center" vertical="center"/>
    </xf>
    <xf numFmtId="176" fontId="389" fillId="5" borderId="245" xfId="0" applyNumberFormat="1" applyFont="1" applyFill="1" applyBorder="1" applyAlignment="1">
      <alignment horizontal="center" vertical="center"/>
    </xf>
    <xf numFmtId="176" fontId="389" fillId="5" borderId="32" xfId="0" applyNumberFormat="1" applyFont="1" applyFill="1" applyBorder="1" applyAlignment="1">
      <alignment horizontal="center" vertical="center"/>
    </xf>
    <xf numFmtId="176" fontId="389" fillId="5" borderId="35" xfId="0" applyNumberFormat="1" applyFont="1" applyFill="1" applyBorder="1" applyAlignment="1">
      <alignment horizontal="center" vertical="center"/>
    </xf>
    <xf numFmtId="176" fontId="389" fillId="5" borderId="34" xfId="0" applyNumberFormat="1" applyFont="1" applyFill="1" applyBorder="1" applyAlignment="1">
      <alignment horizontal="center" vertical="center"/>
    </xf>
    <xf numFmtId="176" fontId="389" fillId="5" borderId="36" xfId="0" applyNumberFormat="1" applyFont="1" applyFill="1" applyBorder="1" applyAlignment="1">
      <alignment horizontal="center" vertical="center"/>
    </xf>
    <xf numFmtId="176" fontId="389" fillId="5" borderId="33" xfId="0" applyNumberFormat="1" applyFont="1" applyFill="1" applyBorder="1" applyAlignment="1">
      <alignment horizontal="center" vertical="center"/>
    </xf>
    <xf numFmtId="176" fontId="389" fillId="5" borderId="327" xfId="0" applyNumberFormat="1" applyFont="1" applyFill="1" applyBorder="1" applyAlignment="1">
      <alignment horizontal="center" vertical="center"/>
    </xf>
    <xf numFmtId="176" fontId="389" fillId="5" borderId="330" xfId="0" applyNumberFormat="1" applyFont="1" applyFill="1" applyBorder="1" applyAlignment="1">
      <alignment horizontal="center" vertical="center"/>
    </xf>
    <xf numFmtId="176" fontId="389" fillId="5" borderId="328" xfId="0" applyNumberFormat="1" applyFont="1" applyFill="1" applyBorder="1" applyAlignment="1">
      <alignment horizontal="center" vertical="center"/>
    </xf>
    <xf numFmtId="176" fontId="389" fillId="5" borderId="331" xfId="0" applyNumberFormat="1" applyFont="1" applyFill="1" applyBorder="1" applyAlignment="1">
      <alignment horizontal="center" vertical="center"/>
    </xf>
  </cellXfs>
  <cellStyles count="10070">
    <cellStyle name="_x0001_" xfId="182" xr:uid="{00000000-0005-0000-0000-000000000000}"/>
    <cellStyle name="_x0005_" xfId="183" xr:uid="{00000000-0005-0000-0000-000001000000}"/>
    <cellStyle name="_x0014_" xfId="184" xr:uid="{00000000-0005-0000-0000-000002000000}"/>
    <cellStyle name="_x0015_" xfId="185" xr:uid="{00000000-0005-0000-0000-000003000000}"/>
    <cellStyle name="_x001f_" xfId="186" xr:uid="{00000000-0005-0000-0000-000004000000}"/>
    <cellStyle name="-" xfId="187" xr:uid="{00000000-0005-0000-0000-000005000000}"/>
    <cellStyle name="          _x000d__x000a_386grabber=AVGA.3GR_x000d_" xfId="188" xr:uid="{00000000-0005-0000-0000-000006000000}"/>
    <cellStyle name="          _x000d__x000a_386grabber=KSVGA.3GR" xfId="189" xr:uid="{00000000-0005-0000-0000-000007000000}"/>
    <cellStyle name="          _x000d__x000a_386grabber=vga.3gr_x000d__x000a_" xfId="190" xr:uid="{00000000-0005-0000-0000-000008000000}"/>
    <cellStyle name="          _x000d__x000a_shell=progman.exe_x000d__x000a_m" xfId="191" xr:uid="{00000000-0005-0000-0000-000009000000}"/>
    <cellStyle name="_x000a_386grabber=M" xfId="192" xr:uid="{00000000-0005-0000-0000-00000A000000}"/>
    <cellStyle name="_x0015__x000c_??" xfId="193" xr:uid="{00000000-0005-0000-0000-00000B000000}"/>
    <cellStyle name="_x000c_????" xfId="194" xr:uid="{00000000-0005-0000-0000-00000C000000}"/>
    <cellStyle name="#" xfId="195" xr:uid="{00000000-0005-0000-0000-00000D000000}"/>
    <cellStyle name="-#,###" xfId="196" xr:uid="{00000000-0005-0000-0000-00000E000000}"/>
    <cellStyle name="#,##0" xfId="197" xr:uid="{00000000-0005-0000-0000-00000F000000}"/>
    <cellStyle name="#,##0.0" xfId="198" xr:uid="{00000000-0005-0000-0000-000010000000}"/>
    <cellStyle name="#,##0.00" xfId="199" xr:uid="{00000000-0005-0000-0000-000011000000}"/>
    <cellStyle name="#,##0.000" xfId="200" xr:uid="{00000000-0005-0000-0000-000012000000}"/>
    <cellStyle name="#,##0_현대자산운용 201003_중요성기준_최종" xfId="201" xr:uid="{00000000-0005-0000-0000-000013000000}"/>
    <cellStyle name="#_수정사항리스트_0906_현대선물" xfId="202" xr:uid="{00000000-0005-0000-0000-000014000000}"/>
    <cellStyle name="#_정산표-현대선물_200906_ver3" xfId="203" xr:uid="{00000000-0005-0000-0000-000015000000}"/>
    <cellStyle name="$" xfId="204" xr:uid="{00000000-0005-0000-0000-000016000000}"/>
    <cellStyle name="$_09성남" xfId="205" xr:uid="{00000000-0005-0000-0000-000017000000}"/>
    <cellStyle name="$_db진흥" xfId="206" xr:uid="{00000000-0005-0000-0000-000018000000}"/>
    <cellStyle name="$_견적2" xfId="207" xr:uid="{00000000-0005-0000-0000-000019000000}"/>
    <cellStyle name="$_기아" xfId="208" xr:uid="{00000000-0005-0000-0000-00001A000000}"/>
    <cellStyle name="(△콤마)" xfId="209" xr:uid="{00000000-0005-0000-0000-00001B000000}"/>
    <cellStyle name="(백분율)" xfId="210" xr:uid="{00000000-0005-0000-0000-00001C000000}"/>
    <cellStyle name="(콤마)" xfId="211" xr:uid="{00000000-0005-0000-0000-00001D000000}"/>
    <cellStyle name=",7" xfId="212" xr:uid="{00000000-0005-0000-0000-00001E000000}"/>
    <cellStyle name="." xfId="213" xr:uid="{00000000-0005-0000-0000-00001F000000}"/>
    <cellStyle name="_x0002_._x0011__x0002_._x001b__x0002_ _x0015_%_x0018__x0001_" xfId="10" xr:uid="{00000000-0005-0000-0000-000020000000}"/>
    <cellStyle name="_x0002_._x0011__x0002_._x001b__x0002_ _x0015_%_x0018__x0001_ 2" xfId="214" xr:uid="{00000000-0005-0000-0000-000021000000}"/>
    <cellStyle name=".000" xfId="215" xr:uid="{00000000-0005-0000-0000-000022000000}"/>
    <cellStyle name=".000 2" xfId="216" xr:uid="{00000000-0005-0000-0000-000023000000}"/>
    <cellStyle name="?" xfId="217" xr:uid="{00000000-0005-0000-0000-000024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18" xr:uid="{00000000-0005-0000-0000-000025000000}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219" xr:uid="{00000000-0005-0000-0000-000026000000}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 2" xfId="220" xr:uid="{00000000-0005-0000-0000-000027000000}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 3" xfId="221" xr:uid="{00000000-0005-0000-0000-000028000000}"/>
    <cellStyle name="??" xfId="222" xr:uid="{00000000-0005-0000-0000-000029000000}"/>
    <cellStyle name="?? [0]_??" xfId="223" xr:uid="{00000000-0005-0000-0000-00002A000000}"/>
    <cellStyle name="??_x000c_@?_x000d_3?_x0001__x000b_" xfId="224" xr:uid="{00000000-0005-0000-0000-00002B000000}"/>
    <cellStyle name="??_x000c_8'_x000d_+U_x0001_??_x0007__x0001__x0001_" xfId="225" xr:uid="{00000000-0005-0000-0000-00002C000000}"/>
    <cellStyle name="??_x000c_溜_x0012__x000d_肥U_x0001_?_x0006_?_x0007__x0001__x0001_" xfId="226" xr:uid="{00000000-0005-0000-0000-00002D000000}"/>
    <cellStyle name="??&amp;O?" xfId="227" xr:uid="{00000000-0005-0000-0000-00002E000000}"/>
    <cellStyle name="??&amp;O?&amp;H?_x0008__x000f__x0007_?_x0007__x0001__x0001_" xfId="228" xr:uid="{00000000-0005-0000-0000-00002F000000}"/>
    <cellStyle name="??&amp;O?&amp;H?_x000f__x0007_?_x0007__x0001__x0001_" xfId="229" xr:uid="{00000000-0005-0000-0000-000030000000}"/>
    <cellStyle name="??&amp;O?&amp;H?_x0008__x000f__x0007_?_x0007__x0001__x0001_ 2" xfId="230" xr:uid="{00000000-0005-0000-0000-000031000000}"/>
    <cellStyle name="??&amp;O?&amp;H?_x0008__x000f__x0007_?_x0007__x0001__x0001_ 3" xfId="231" xr:uid="{00000000-0005-0000-0000-000032000000}"/>
    <cellStyle name="??&amp;O?&amp;H?_x0008_??_x0007__x0001__x0001_" xfId="232" xr:uid="{00000000-0005-0000-0000-000033000000}"/>
    <cellStyle name="??&amp;O?&amp;H?_x0008_??_x0007__x0001__x0001_ 2" xfId="233" xr:uid="{00000000-0005-0000-0000-000034000000}"/>
    <cellStyle name="??&amp;O?&amp;H?_x0008_??_x0007__x0001__x0001_ 3" xfId="234" xr:uid="{00000000-0005-0000-0000-000035000000}"/>
    <cellStyle name="??&amp;O?&amp;H?_x0008_?_x000d__x0007__x0001__x0001_" xfId="235" xr:uid="{00000000-0005-0000-0000-000036000000}"/>
    <cellStyle name="??&amp;O?&amp;H?_x0008_K_x0007__x001f__x0008__x0007__x0001__x0001_" xfId="236" xr:uid="{00000000-0005-0000-0000-000037000000}"/>
    <cellStyle name="??&amp;O?&amp;H?_x0008_x_x000b_P_x000c__x0007__x0001__x0001_" xfId="237" xr:uid="{00000000-0005-0000-0000-000038000000}"/>
    <cellStyle name="??&amp;O?_2004 스토리지텍" xfId="238" xr:uid="{00000000-0005-0000-0000-000039000000}"/>
    <cellStyle name="??&amp;O?쪯?_x0008__x000f__x0007_?_x0007__x0001__x0001_" xfId="239" xr:uid="{00000000-0005-0000-0000-00003A000000}"/>
    <cellStyle name="??&amp;쏗?뷐9_x0008__x0011__x0007_?_x0007__x0001__x0001_" xfId="240" xr:uid="{00000000-0005-0000-0000-00003B000000}"/>
    <cellStyle name="???­ [0]_´?¿?±?" xfId="241" xr:uid="{00000000-0005-0000-0000-00003C000000}"/>
    <cellStyle name="???? [0]_???? " xfId="242" xr:uid="{00000000-0005-0000-0000-00003D000000}"/>
    <cellStyle name="??????????????" xfId="243" xr:uid="{00000000-0005-0000-0000-00003E000000}"/>
    <cellStyle name="??????????????????????????????" xfId="244" xr:uid="{00000000-0005-0000-0000-00003F000000}"/>
    <cellStyle name="??????????????????????????????????????????" xfId="245" xr:uid="{00000000-0005-0000-0000-000040000000}"/>
    <cellStyle name="??????????????????????????????????????????????????" xfId="246" xr:uid="{00000000-0005-0000-0000-000041000000}"/>
    <cellStyle name="??????????????????????????????????????????????????????" xfId="247" xr:uid="{00000000-0005-0000-0000-000042000000}"/>
    <cellStyle name="??????????????ㅻ?ㄷ?" xfId="248" xr:uid="{00000000-0005-0000-0000-000043000000}"/>
    <cellStyle name="?????_VERA" xfId="249" xr:uid="{00000000-0005-0000-0000-000044000000}"/>
    <cellStyle name="????_???? " xfId="250" xr:uid="{00000000-0005-0000-0000-000045000000}"/>
    <cellStyle name="???_?????? " xfId="251" xr:uid="{00000000-0005-0000-0000-000046000000}"/>
    <cellStyle name="???­_´?¿?±?" xfId="252" xr:uid="{00000000-0005-0000-0000-000047000000}"/>
    <cellStyle name="???Ø_??°???(2¿?) " xfId="253" xr:uid="{00000000-0005-0000-0000-000048000000}"/>
    <cellStyle name="??_  ?  ?  " xfId="254" xr:uid="{00000000-0005-0000-0000-000049000000}"/>
    <cellStyle name="??괜?A" xfId="255" xr:uid="{00000000-0005-0000-0000-00004A000000}"/>
    <cellStyle name="??ㅻ?ㄷ?" xfId="256" xr:uid="{00000000-0005-0000-0000-00004B000000}"/>
    <cellStyle name="?e??A?_laroux_A??I2A?_BS&amp;IncStat_PL_S " xfId="257" xr:uid="{00000000-0005-0000-0000-00004C000000}"/>
    <cellStyle name="?k?Tl익" xfId="258" xr:uid="{00000000-0005-0000-0000-00004D000000}"/>
    <cellStyle name="?ŀ" xfId="259" xr:uid="{00000000-0005-0000-0000-00004E000000}"/>
    <cellStyle name="?ŀ 2" xfId="260" xr:uid="{00000000-0005-0000-0000-00004F000000}"/>
    <cellStyle name="?ŀŀ??ŀŀ??ŀ" xfId="261" xr:uid="{00000000-0005-0000-0000-000050000000}"/>
    <cellStyle name="?ŀŀ??ŀŀ??ŀŀ??ŀŀ??ŀŀ??ŀŀ??ŀŀ??ŀŀ??ŀŀ??ŀ" xfId="262" xr:uid="{00000000-0005-0000-0000-000051000000}"/>
    <cellStyle name="?Þ¸¶ [0]_´?¿?±?" xfId="263" xr:uid="{00000000-0005-0000-0000-000052000000}"/>
    <cellStyle name="?Þ¸¶_´?¿?±?" xfId="264" xr:uid="{00000000-0005-0000-0000-000053000000}"/>
    <cellStyle name="?W?_laroux" xfId="265" xr:uid="{00000000-0005-0000-0000-000054000000}"/>
    <cellStyle name="?렑띙귒궻긪귽긬?깏깛긏" xfId="266" xr:uid="{00000000-0005-0000-0000-000055000000}"/>
    <cellStyle name="?마 [0]_CASH FLOW " xfId="267" xr:uid="{00000000-0005-0000-0000-000056000000}"/>
    <cellStyle name="?마_CASH FLOW " xfId="268" xr:uid="{00000000-0005-0000-0000-000057000000}"/>
    <cellStyle name="?頂_x000c_:?_x000d_3?_x0001_??_x0007__x0001__x0001_" xfId="269" xr:uid="{00000000-0005-0000-0000-000058000000}"/>
    <cellStyle name="?칮E0899intecosch" xfId="270" xr:uid="{00000000-0005-0000-0000-000059000000}"/>
    <cellStyle name="?칮E0899M1RP" xfId="271" xr:uid="{00000000-0005-0000-0000-00005A000000}"/>
    <cellStyle name="?칮E1999Year End Provision" xfId="272" xr:uid="{00000000-0005-0000-0000-00005B000000}"/>
    <cellStyle name="?핺_2Q97 dist.EOM " xfId="273" xr:uid="{00000000-0005-0000-0000-00005C000000}"/>
    <cellStyle name="]_^[꺞_x0008_?" xfId="274" xr:uid="{00000000-0005-0000-0000-00005D000000}"/>
    <cellStyle name="-_  코크렙1호 조서 등-강지웅의 워크시트" xfId="275" xr:uid="{00000000-0005-0000-0000-00005E000000}"/>
    <cellStyle name="-_  코크렙1호 조서 등-강지웅의 워크시트_KMW03(3분기)" xfId="276" xr:uid="{00000000-0005-0000-0000-00005F000000}"/>
    <cellStyle name="-_  코크렙1호 조서 등-강지웅의 워크시트_KMW03기말" xfId="277" xr:uid="{00000000-0005-0000-0000-000060000000}"/>
    <cellStyle name="-_  코크렙1호 조서 등-강지웅의 워크시트_KMW03반기" xfId="278" xr:uid="{00000000-0005-0000-0000-000061000000}"/>
    <cellStyle name="-_  코크렙1호 조서 등-강지웅의 워크시트_KMW03반기_1" xfId="279" xr:uid="{00000000-0005-0000-0000-000062000000}"/>
    <cellStyle name="-_  코크렙1호 조서 등-강지웅의 워크시트_KMW03반기_KMW03기말" xfId="280" xr:uid="{00000000-0005-0000-0000-000063000000}"/>
    <cellStyle name="-_  코크렙1호 조서 등-강지웅의 워크시트_KMW03반기_KMW03반기" xfId="281" xr:uid="{00000000-0005-0000-0000-000064000000}"/>
    <cellStyle name="-_  코크렙1호 조서 등-강지웅의 워크시트_KMW03반기_kmw기말수정사항(민은기)" xfId="282" xr:uid="{00000000-0005-0000-0000-000065000000}"/>
    <cellStyle name="-_  코크렙1호 조서 등-강지웅의 워크시트_KMW03반기_KMW정산표(2004.2.27)" xfId="283" xr:uid="{00000000-0005-0000-0000-000066000000}"/>
    <cellStyle name="-_  코크렙1호 조서 등-강지웅의 워크시트_kmw기말수정사항(민은기)" xfId="284" xr:uid="{00000000-0005-0000-0000-000067000000}"/>
    <cellStyle name="-_  코크렙1호 조서 등-강지웅의 워크시트_KMW정산표(2004.2.27)" xfId="285" xr:uid="{00000000-0005-0000-0000-000068000000}"/>
    <cellStyle name="_(Read-Only) Working Paper - 투자유가증권증감내역의 워크시트" xfId="286" xr:uid="{00000000-0005-0000-0000-000069000000}"/>
    <cellStyle name="_(전사)200008지표" xfId="287" xr:uid="{00000000-0005-0000-0000-00006A000000}"/>
    <cellStyle name="-_(주)Mcnulty_Cashflowstatement_2005" xfId="288" xr:uid="{00000000-0005-0000-0000-00006B000000}"/>
    <cellStyle name="_(주)동부cwi01" xfId="289" xr:uid="{00000000-0005-0000-0000-00006C000000}"/>
    <cellStyle name="-_(주)맥널티 주석사항" xfId="290" xr:uid="{00000000-0005-0000-0000-00006D000000}"/>
    <cellStyle name="__세넥스테크놀로지 반기조서(2002.8.8)" xfId="291" xr:uid="{00000000-0005-0000-0000-00006E000000}"/>
    <cellStyle name="_~4716407" xfId="292" xr:uid="{00000000-0005-0000-0000-00006F000000}"/>
    <cellStyle name="_◈최종퍼시스AS(2003-2q)" xfId="293" xr:uid="{00000000-0005-0000-0000-000070000000}"/>
    <cellStyle name="_0_요약손분" xfId="294" xr:uid="{00000000-0005-0000-0000-000071000000}"/>
    <cellStyle name="_0000 - 대원씨아이" xfId="295" xr:uid="{00000000-0005-0000-0000-000072000000}"/>
    <cellStyle name="_00년 반기지분법" xfId="296" xr:uid="{00000000-0005-0000-0000-000073000000}"/>
    <cellStyle name="_01 LKFS Leadsheet2002반기검토" xfId="297" xr:uid="{00000000-0005-0000-0000-000074000000}"/>
    <cellStyle name="_01기말애드라WP차입금" xfId="298" xr:uid="{00000000-0005-0000-0000-000075000000}"/>
    <cellStyle name="_'02_YE_Bellwave_LS" xfId="299" xr:uid="{00000000-0005-0000-0000-000076000000}"/>
    <cellStyle name="_02SBK_WP" xfId="300" xr:uid="{00000000-0005-0000-0000-000077000000}"/>
    <cellStyle name="_02기말_cwi" xfId="301" xr:uid="{00000000-0005-0000-0000-000078000000}"/>
    <cellStyle name="_02티엔터테인먼트_정산표0402_선수금돌린후" xfId="302" xr:uid="{00000000-0005-0000-0000-000079000000}"/>
    <cellStyle name="_03매출조서" xfId="303" xr:uid="{00000000-0005-0000-0000-00007A000000}"/>
    <cellStyle name="_03자본(에피온)" xfId="304" xr:uid="{00000000-0005-0000-0000-00007B000000}"/>
    <cellStyle name="_040930leadsheet_이연법인세_5" xfId="305" xr:uid="{00000000-0005-0000-0000-00007C000000}"/>
    <cellStyle name="_04반기_디피씨 정산표 0811-final" xfId="306" xr:uid="{00000000-0005-0000-0000-00007D000000}"/>
    <cellStyle name="_06 진행율_회사에 검토요청_030310" xfId="307" xr:uid="{00000000-0005-0000-0000-00007E000000}"/>
    <cellStyle name="_06.선급이자원천징수" xfId="308" xr:uid="{00000000-0005-0000-0000-00007F000000}"/>
    <cellStyle name="_06'국내_총괄" xfId="309" xr:uid="{00000000-0005-0000-0000-000080000000}"/>
    <cellStyle name="_06년감사자료 (3)" xfId="310" xr:uid="{00000000-0005-0000-0000-000081000000}"/>
    <cellStyle name="_06'해외_총괄" xfId="311" xr:uid="{00000000-0005-0000-0000-000082000000}"/>
    <cellStyle name="_07.기당자" xfId="312" xr:uid="{00000000-0005-0000-0000-000083000000}"/>
    <cellStyle name="_1_영상(1109_3)_본사" xfId="313" xr:uid="{00000000-0005-0000-0000-000084000000}"/>
    <cellStyle name="_11 전기 보고서" xfId="314" xr:uid="{00000000-0005-0000-0000-000085000000}"/>
    <cellStyle name="_11.임차보증금" xfId="315" xr:uid="{00000000-0005-0000-0000-000086000000}"/>
    <cellStyle name="_14.미지급금" xfId="316" xr:uid="{00000000-0005-0000-0000-000087000000}"/>
    <cellStyle name="_15.예수금" xfId="317" xr:uid="{00000000-0005-0000-0000-000088000000}"/>
    <cellStyle name="_17.기유부" xfId="318" xr:uid="{00000000-0005-0000-0000-000089000000}"/>
    <cellStyle name="_1분기결산자료_030421" xfId="319" xr:uid="{00000000-0005-0000-0000-00008A000000}"/>
    <cellStyle name="_2 0 0 6   개 발 비 (2)" xfId="320" xr:uid="{00000000-0005-0000-0000-00008B000000}"/>
    <cellStyle name="_2 0 0 6   개 발 비 (4)" xfId="321" xr:uid="{00000000-0005-0000-0000-00008C000000}"/>
    <cellStyle name="_2 0 0 6   금     형" xfId="322" xr:uid="{00000000-0005-0000-0000-00008D000000}"/>
    <cellStyle name="_2 0 0 6   금     형 (2)" xfId="323" xr:uid="{00000000-0005-0000-0000-00008E000000}"/>
    <cellStyle name="_2.조서(대원씨아이)" xfId="324" xr:uid="{00000000-0005-0000-0000-00008F000000}"/>
    <cellStyle name="_2000 eyesvision final worksheet(hka)" xfId="325" xr:uid="{00000000-0005-0000-0000-000090000000}"/>
    <cellStyle name="_2000사업계획" xfId="326" xr:uid="{00000000-0005-0000-0000-000091000000}"/>
    <cellStyle name="_2000사업계획서종합3" xfId="327" xr:uid="{00000000-0005-0000-0000-000092000000}"/>
    <cellStyle name="_200112외단집계표" xfId="328" xr:uid="{00000000-0005-0000-0000-000093000000}"/>
    <cellStyle name="_2001년수립지침" xfId="329" xr:uid="{00000000-0005-0000-0000-000094000000}"/>
    <cellStyle name="_2002 퇴직금 추계액 (Organon)" xfId="330" xr:uid="{00000000-0005-0000-0000-000095000000}"/>
    <cellStyle name="_2003(1Q)_FS&amp;명세서" xfId="331" xr:uid="{00000000-0005-0000-0000-000096000000}"/>
    <cellStyle name="_2003(1Q)_케이씨텍 감사자료" xfId="332" xr:uid="{00000000-0005-0000-0000-000097000000}"/>
    <cellStyle name="_2003(2Q)_Depreciation Table" xfId="333" xr:uid="{00000000-0005-0000-0000-000098000000}"/>
    <cellStyle name="_2003(3Q)_Depreciation Table" xfId="334" xr:uid="{00000000-0005-0000-0000-000099000000}"/>
    <cellStyle name="_2003(4Q)_결산_FS" xfId="335" xr:uid="{00000000-0005-0000-0000-00009A000000}"/>
    <cellStyle name="_2003(4Q)_결산_명세서" xfId="336" xr:uid="{00000000-0005-0000-0000-00009B000000}"/>
    <cellStyle name="_2003(반기)_케이씨텍_FS&amp;명세" xfId="337" xr:uid="{00000000-0005-0000-0000-00009C000000}"/>
    <cellStyle name="_2003_Bad Debt Exp" xfId="338" xr:uid="{00000000-0005-0000-0000-00009D000000}"/>
    <cellStyle name="_2003_디지털월드기말조서(YJH)_0217" xfId="339" xr:uid="{00000000-0005-0000-0000-00009E000000}"/>
    <cellStyle name="_2003_디지털월드기말조서(YJH)_0219" xfId="340" xr:uid="{00000000-0005-0000-0000-00009F000000}"/>
    <cellStyle name="_2003-06월 결산" xfId="341" xr:uid="{00000000-0005-0000-0000-0000A0000000}"/>
    <cellStyle name="_2003-12월 감가상각" xfId="342" xr:uid="{00000000-0005-0000-0000-0000A1000000}"/>
    <cellStyle name="_2003-12월 결산" xfId="343" xr:uid="{00000000-0005-0000-0000-0000A2000000}"/>
    <cellStyle name="_2003계획(총량) 손익계산서 양식" xfId="344" xr:uid="{00000000-0005-0000-0000-0000A3000000}"/>
    <cellStyle name="_2003기말조서-용호" xfId="345" xr:uid="{00000000-0005-0000-0000-0000A4000000}"/>
    <cellStyle name="_2003년 2Q_김항규" xfId="346" xr:uid="{00000000-0005-0000-0000-0000A5000000}"/>
    <cellStyle name="_2003년 4Q결산명세서(본사)" xfId="347" xr:uid="{00000000-0005-0000-0000-0000A6000000}"/>
    <cellStyle name="_2003년 결산보고서" xfId="348" xr:uid="{00000000-0005-0000-0000-0000A7000000}"/>
    <cellStyle name="_2003년1분기매출" xfId="349" xr:uid="{00000000-0005-0000-0000-0000A8000000}"/>
    <cellStyle name="_2004 스토리지텍" xfId="350" xr:uid="{00000000-0005-0000-0000-0000A9000000}"/>
    <cellStyle name="_2004_디지털월드반기조서" xfId="351" xr:uid="{00000000-0005-0000-0000-0000AA000000}"/>
    <cellStyle name="_2004CTR-ULKOREA" xfId="352" xr:uid="{00000000-0005-0000-0000-0000AB000000}"/>
    <cellStyle name="_2004년 법인세 세부 내역" xfId="353" xr:uid="{00000000-0005-0000-0000-0000AC000000}"/>
    <cellStyle name="_2004엠에이티정산표v7(세후)" xfId="354" xr:uid="{00000000-0005-0000-0000-0000AD000000}"/>
    <cellStyle name="_2004코아매직기말조서2(개발비)" xfId="355" xr:uid="{00000000-0005-0000-0000-0000AE000000}"/>
    <cellStyle name="_2004코아매직반기조서-2" xfId="356" xr:uid="{00000000-0005-0000-0000-0000AF000000}"/>
    <cellStyle name="_2005.03계정명세" xfId="357" xr:uid="{00000000-0005-0000-0000-0000B0000000}"/>
    <cellStyle name="_2006 06 상품수불" xfId="358" xr:uid="{00000000-0005-0000-0000-0000B1000000}"/>
    <cellStyle name="_2006 06 정산표 - 감사조정반영-peahen" xfId="359" xr:uid="{00000000-0005-0000-0000-0000B2000000}"/>
    <cellStyle name="_2006 12 사채" xfId="360" xr:uid="{00000000-0005-0000-0000-0000B3000000}"/>
    <cellStyle name="_2006 12 사채 (2)" xfId="361" xr:uid="{00000000-0005-0000-0000-0000B4000000}"/>
    <cellStyle name="_2006 재무제표 VER1.1" xfId="362" xr:uid="{00000000-0005-0000-0000-0000B5000000}"/>
    <cellStyle name="_2006.04.30 CF(E)" xfId="363" xr:uid="{00000000-0005-0000-0000-0000B6000000}"/>
    <cellStyle name="_2006.06 원재료재고" xfId="364" xr:uid="{00000000-0005-0000-0000-0000B7000000}"/>
    <cellStyle name="_2006.06 재고리스트" xfId="365" xr:uid="{00000000-0005-0000-0000-0000B8000000}"/>
    <cellStyle name="_2006.12 정산표ver0.2-은행제출용" xfId="366" xr:uid="{00000000-0005-0000-0000-0000B9000000}"/>
    <cellStyle name="_200608-적립캐쉬_최세영" xfId="367" xr:uid="{00000000-0005-0000-0000-0000BA000000}"/>
    <cellStyle name="_2006년기말정산표_CF(ver2.2_0301)" xfId="368" xr:uid="{00000000-0005-0000-0000-0000BB000000}"/>
    <cellStyle name="_2007년 1분기 정산표-GST" xfId="369" xr:uid="{00000000-0005-0000-0000-0000BC000000}"/>
    <cellStyle name="_2262 수정사항 정산표" xfId="370" xr:uid="{00000000-0005-0000-0000-0000BD000000}"/>
    <cellStyle name="_226유무형자산명세서(3분기)" xfId="371" xr:uid="{00000000-0005-0000-0000-0000BE000000}"/>
    <cellStyle name="_29.임대수익,잡이익" xfId="372" xr:uid="{00000000-0005-0000-0000-0000BF000000}"/>
    <cellStyle name="_2기lead" xfId="373" xr:uid="{00000000-0005-0000-0000-0000C0000000}"/>
    <cellStyle name="_30.잡손실" xfId="374" xr:uid="{00000000-0005-0000-0000-0000C1000000}"/>
    <cellStyle name="_3000-911 예치금 이자수익 TEST" xfId="375" xr:uid="{00000000-0005-0000-0000-0000C2000000}"/>
    <cellStyle name="_3031 이자수익overall test" xfId="376" xr:uid="{00000000-0005-0000-0000-0000C3000000}"/>
    <cellStyle name="_304 감가상각비(유무형자산)" xfId="377" xr:uid="{00000000-0005-0000-0000-0000C4000000}"/>
    <cellStyle name="_32.관계사" xfId="378" xr:uid="{00000000-0005-0000-0000-0000C5000000}"/>
    <cellStyle name="_3200_법인세비용_07" xfId="379" xr:uid="{00000000-0005-0000-0000-0000C6000000}"/>
    <cellStyle name="_3200매출채권" xfId="380" xr:uid="{00000000-0005-0000-0000-0000C7000000}"/>
    <cellStyle name="_3300" xfId="381" xr:uid="{00000000-0005-0000-0000-0000C8000000}"/>
    <cellStyle name="_3400-3022" xfId="382" xr:uid="{00000000-0005-0000-0000-0000C9000000}"/>
    <cellStyle name="_35.정리담보권(유동)" xfId="383" xr:uid="{00000000-0005-0000-0000-0000CA000000}"/>
    <cellStyle name="_3500" xfId="384" xr:uid="{00000000-0005-0000-0000-0000CB000000}"/>
    <cellStyle name="_36.정리채권(유동)" xfId="385" xr:uid="{00000000-0005-0000-0000-0000CC000000}"/>
    <cellStyle name="_3700E_11_TB(다음게임)_0225" xfId="386" xr:uid="{00000000-0005-0000-0000-0000CD000000}"/>
    <cellStyle name="_3701 투자유가증권" xfId="387" xr:uid="{00000000-0005-0000-0000-0000CE000000}"/>
    <cellStyle name="_3900 안정국 2003.02.04" xfId="388" xr:uid="{00000000-0005-0000-0000-0000CF000000}"/>
    <cellStyle name="_3월속보경비" xfId="389" xr:uid="{00000000-0005-0000-0000-0000D0000000}"/>
    <cellStyle name="_41.정리담보권(고정)" xfId="390" xr:uid="{00000000-0005-0000-0000-0000D1000000}"/>
    <cellStyle name="_4100현금및현금등가물(동일05반기)" xfId="391" xr:uid="{00000000-0005-0000-0000-0000D2000000}"/>
    <cellStyle name="_42.정리채권(고정)" xfId="392" xr:uid="{00000000-0005-0000-0000-0000D3000000}"/>
    <cellStyle name="_4기기말5-유동부채" xfId="393" xr:uid="{00000000-0005-0000-0000-0000D4000000}"/>
    <cellStyle name="_4월외화 (1)" xfId="394" xr:uid="{00000000-0005-0000-0000-0000D5000000}"/>
    <cellStyle name="_5_프린팅(1110_1)_구조본" xfId="395" xr:uid="{00000000-0005-0000-0000-0000D6000000}"/>
    <cellStyle name="_5월출고0504 (2)" xfId="396" xr:uid="{00000000-0005-0000-0000-0000D7000000}"/>
    <cellStyle name="_6000-1000영업손익총괄표" xfId="397" xr:uid="{00000000-0005-0000-0000-0000D8000000}"/>
    <cellStyle name="_6300-15021 퇴충OVERALL TEST" xfId="398" xr:uid="{00000000-0005-0000-0000-0000D9000000}"/>
    <cellStyle name="_6300퇴직급여1" xfId="399" xr:uid="{00000000-0005-0000-0000-0000DA000000}"/>
    <cellStyle name="_6월수주0504 (2)" xfId="400" xr:uid="{00000000-0005-0000-0000-0000DB000000}"/>
    <cellStyle name="_6월수주0525 (2)" xfId="401" xr:uid="{00000000-0005-0000-0000-0000DC000000}"/>
    <cellStyle name="_6월수주0602 (2)" xfId="402" xr:uid="{00000000-0005-0000-0000-0000DD000000}"/>
    <cellStyle name="_7110 자본의 워크시트" xfId="403" xr:uid="{00000000-0005-0000-0000-0000DE000000}"/>
    <cellStyle name="_7112 주식매입선택권 재계산시(가정)" xfId="404" xr:uid="{00000000-0005-0000-0000-0000DF000000}"/>
    <cellStyle name="_99 Lead" xfId="405" xr:uid="{00000000-0005-0000-0000-0000E0000000}"/>
    <cellStyle name="_9910-구매업무보고-05" xfId="406" xr:uid="{00000000-0005-0000-0000-0000E1000000}"/>
    <cellStyle name="_9910-구매업무보고-05_1" xfId="407" xr:uid="{00000000-0005-0000-0000-0000E2000000}"/>
    <cellStyle name="_991관리" xfId="408" xr:uid="{00000000-0005-0000-0000-0000E3000000}"/>
    <cellStyle name="_99경리팀" xfId="409" xr:uid="{00000000-0005-0000-0000-0000E4000000}"/>
    <cellStyle name="_99경리팀_1" xfId="410" xr:uid="{00000000-0005-0000-0000-0000E5000000}"/>
    <cellStyle name="_99경리팀_2" xfId="411" xr:uid="{00000000-0005-0000-0000-0000E6000000}"/>
    <cellStyle name="_'99상반기경영개선활동결과(게시용)" xfId="412" xr:uid="{00000000-0005-0000-0000-0000E7000000}"/>
    <cellStyle name="_99특성DB" xfId="413" xr:uid="{00000000-0005-0000-0000-0000E8000000}"/>
    <cellStyle name="_AJE - 세넥스" xfId="414" xr:uid="{00000000-0005-0000-0000-0000E9000000}"/>
    <cellStyle name="_AJE List(CLOSING)-2002-필드철수" xfId="415" xr:uid="{00000000-0005-0000-0000-0000EA000000}"/>
    <cellStyle name="_AJE List_03기말_플레너스2" xfId="416" xr:uid="{00000000-0005-0000-0000-0000EB000000}"/>
    <cellStyle name="_AJE List와 Issue 사항" xfId="417" xr:uid="{00000000-0005-0000-0000-0000EC000000}"/>
    <cellStyle name="_aje(2003.8.02)" xfId="418" xr:uid="{00000000-0005-0000-0000-0000ED000000}"/>
    <cellStyle name="_AJE_반기검토(04)_0721" xfId="419" xr:uid="{00000000-0005-0000-0000-0000EE000000}"/>
    <cellStyle name="_AJE_반기검토(04)_0723" xfId="420" xr:uid="{00000000-0005-0000-0000-0000EF000000}"/>
    <cellStyle name="_Analystical Review_유성07" xfId="421" xr:uid="{00000000-0005-0000-0000-0000F0000000}"/>
    <cellStyle name="_Analytical Review" xfId="422" xr:uid="{00000000-0005-0000-0000-0000F1000000}"/>
    <cellStyle name="_Analytical Review 2" xfId="423" xr:uid="{00000000-0005-0000-0000-0000F2000000}"/>
    <cellStyle name="_Book1" xfId="424" xr:uid="{00000000-0005-0000-0000-0000F3000000}"/>
    <cellStyle name="_Book1 2" xfId="425" xr:uid="{00000000-0005-0000-0000-0000F4000000}"/>
    <cellStyle name="_Book1_NI테크-03기말_jhs(감리1)" xfId="426" xr:uid="{00000000-0005-0000-0000-0000F5000000}"/>
    <cellStyle name="_Book2" xfId="427" xr:uid="{00000000-0005-0000-0000-0000F6000000}"/>
    <cellStyle name="_Book2 Chart 1" xfId="428" xr:uid="{00000000-0005-0000-0000-0000F7000000}"/>
    <cellStyle name="_Book2 Chart 2" xfId="429" xr:uid="{00000000-0005-0000-0000-0000F8000000}"/>
    <cellStyle name="_Book2 Chart 3" xfId="430" xr:uid="{00000000-0005-0000-0000-0000F9000000}"/>
    <cellStyle name="_Book2 Chart 4" xfId="431" xr:uid="{00000000-0005-0000-0000-0000FA000000}"/>
    <cellStyle name="_Book2 Chart 5" xfId="432" xr:uid="{00000000-0005-0000-0000-0000FB000000}"/>
    <cellStyle name="_Book2 Chart 6" xfId="433" xr:uid="{00000000-0005-0000-0000-0000FC000000}"/>
    <cellStyle name="_Book2 Chart 7" xfId="434" xr:uid="{00000000-0005-0000-0000-0000FD000000}"/>
    <cellStyle name="_Book2 Chart 8" xfId="435" xr:uid="{00000000-0005-0000-0000-0000FE000000}"/>
    <cellStyle name="_Book2 Chart 9" xfId="436" xr:uid="{00000000-0005-0000-0000-0000FF000000}"/>
    <cellStyle name="_BUS단가및COMP가조정" xfId="437" xr:uid="{00000000-0005-0000-0000-000000010000}"/>
    <cellStyle name="_BUS단가및COMP가조정_WACC" xfId="438" xr:uid="{00000000-0005-0000-0000-000001010000}"/>
    <cellStyle name="_BUS단가및COMP가조정_대차대조표" xfId="439" xr:uid="{00000000-0005-0000-0000-000002010000}"/>
    <cellStyle name="_CASH117" xfId="440" xr:uid="{00000000-0005-0000-0000-000003010000}"/>
    <cellStyle name="_CF040630_반기_0804_3" xfId="441" xr:uid="{00000000-0005-0000-0000-000004010000}"/>
    <cellStyle name="_cfsrealfinal" xfId="442" xr:uid="{00000000-0005-0000-0000-000005010000}"/>
    <cellStyle name="_CF-근화제약-03기말_ver5_건자수정후" xfId="443" xr:uid="{00000000-0005-0000-0000-000006010000}"/>
    <cellStyle name="_CJ04기말" xfId="444" xr:uid="{00000000-0005-0000-0000-000007010000}"/>
    <cellStyle name="_CJInternet_정산표_0130" xfId="445" xr:uid="{00000000-0005-0000-0000-000008010000}"/>
    <cellStyle name="_Column1" xfId="446" xr:uid="{00000000-0005-0000-0000-000009010000}"/>
    <cellStyle name="_Column1_2002 Plan-Les" xfId="447" xr:uid="{00000000-0005-0000-0000-00000A010000}"/>
    <cellStyle name="_Column1_2003 Actual-Les" xfId="448" xr:uid="{00000000-0005-0000-0000-00000B010000}"/>
    <cellStyle name="_Column1_2003 Plan-Les" xfId="449" xr:uid="{00000000-0005-0000-0000-00000C010000}"/>
    <cellStyle name="_Column1_2004 Actual-Les" xfId="450" xr:uid="{00000000-0005-0000-0000-00000D010000}"/>
    <cellStyle name="_Column1_Book1" xfId="451" xr:uid="{00000000-0005-0000-0000-00000E010000}"/>
    <cellStyle name="_Column2" xfId="452" xr:uid="{00000000-0005-0000-0000-00000F010000}"/>
    <cellStyle name="_Column3" xfId="453" xr:uid="{00000000-0005-0000-0000-000010010000}"/>
    <cellStyle name="_Column4" xfId="454" xr:uid="{00000000-0005-0000-0000-000011010000}"/>
    <cellStyle name="_Column5" xfId="455" xr:uid="{00000000-0005-0000-0000-000012010000}"/>
    <cellStyle name="_Column6" xfId="456" xr:uid="{00000000-0005-0000-0000-000013010000}"/>
    <cellStyle name="_Column7" xfId="457" xr:uid="{00000000-0005-0000-0000-000014010000}"/>
    <cellStyle name="_cssh0206" xfId="458" xr:uid="{00000000-0005-0000-0000-000015010000}"/>
    <cellStyle name="_CWI(반기)2002" xfId="459" xr:uid="{00000000-0005-0000-0000-000016010000}"/>
    <cellStyle name="_CWI(반기)2002-최악의경우" xfId="460" xr:uid="{00000000-0005-0000-0000-000017010000}"/>
    <cellStyle name="_Data" xfId="461" xr:uid="{00000000-0005-0000-0000-000018010000}"/>
    <cellStyle name="_Data_2002 Plan-Les" xfId="462" xr:uid="{00000000-0005-0000-0000-000019010000}"/>
    <cellStyle name="_Data_2003 Actual-Les" xfId="463" xr:uid="{00000000-0005-0000-0000-00001A010000}"/>
    <cellStyle name="_Data_2003 Plan-Les" xfId="464" xr:uid="{00000000-0005-0000-0000-00001B010000}"/>
    <cellStyle name="_Data_2004 Actual-Les" xfId="465" xr:uid="{00000000-0005-0000-0000-00001C010000}"/>
    <cellStyle name="_Data_Book1" xfId="466" xr:uid="{00000000-0005-0000-0000-00001D010000}"/>
    <cellStyle name="_Data_년간전망(5월실적반영)" xfId="467" xr:uid="{00000000-0005-0000-0000-00001E010000}"/>
    <cellStyle name="_Daum_subsidiaries검토양식_다음게임-1026" xfId="468" xr:uid="{00000000-0005-0000-0000-00001F010000}"/>
    <cellStyle name="_Daum캐쉬 월별잔액_061009_최세영" xfId="469" xr:uid="{00000000-0005-0000-0000-000020010000}"/>
    <cellStyle name="_dimon" xfId="470" xr:uid="{00000000-0005-0000-0000-000021010000}"/>
    <cellStyle name="_DUE00802_FS" xfId="471" xr:uid="{00000000-0005-0000-0000-000022010000}"/>
    <cellStyle name="_foxz" xfId="472" xr:uid="{00000000-0005-0000-0000-000023010000}"/>
    <cellStyle name="_foxz_경비계획" xfId="473" xr:uid="{00000000-0005-0000-0000-000024010000}"/>
    <cellStyle name="_foxz_경비계획_WACC" xfId="474" xr:uid="{00000000-0005-0000-0000-000025010000}"/>
    <cellStyle name="_foxz_경비계획_대차대조표" xfId="475" xr:uid="{00000000-0005-0000-0000-000026010000}"/>
    <cellStyle name="_foxz_현대자산운용 201003_중요성기준_최종" xfId="476" xr:uid="{00000000-0005-0000-0000-000027010000}"/>
    <cellStyle name="_G(판매)PAD(인프라웨어_2003)" xfId="477" xr:uid="{00000000-0005-0000-0000-000028010000}"/>
    <cellStyle name="_General조서_MAT04_1013_이연법인세 반영" xfId="478" xr:uid="{00000000-0005-0000-0000-000029010000}"/>
    <cellStyle name="_GlobalMFG_ARJList(확정)" xfId="479" xr:uid="{00000000-0005-0000-0000-00002A010000}"/>
    <cellStyle name="_Global손익(0209)" xfId="480" xr:uid="{00000000-0005-0000-0000-00002B010000}"/>
    <cellStyle name="_Grace정산표_08_0303" xfId="481" xr:uid="{00000000-0005-0000-0000-00002C010000}"/>
    <cellStyle name="_Hanchag_2004반기_scs_20040726" xfId="482" xr:uid="{00000000-0005-0000-0000-00002D010000}"/>
    <cellStyle name="_Hanchang_PL_0801" xfId="483" xr:uid="{00000000-0005-0000-0000-00002E010000}"/>
    <cellStyle name="_Header" xfId="484" xr:uid="{00000000-0005-0000-0000-00002F010000}"/>
    <cellStyle name="_Header_00연계실적(GPM-GFAS)" xfId="485" xr:uid="{00000000-0005-0000-0000-000030010000}"/>
    <cellStyle name="_Header_00연계실적(GPM-GFAS)3" xfId="486" xr:uid="{00000000-0005-0000-0000-000031010000}"/>
    <cellStyle name="_Header_4월집계" xfId="487" xr:uid="{00000000-0005-0000-0000-000032010000}"/>
    <cellStyle name="_Header_CON_SP_GPM" xfId="488" xr:uid="{00000000-0005-0000-0000-000033010000}"/>
    <cellStyle name="_IDdigital정산표(최종)" xfId="489" xr:uid="{00000000-0005-0000-0000-000034010000}"/>
    <cellStyle name="_inventory2" xfId="490" xr:uid="{00000000-0005-0000-0000-000035010000}"/>
    <cellStyle name="_IR해중" xfId="491" xr:uid="{00000000-0005-0000-0000-000036010000}"/>
    <cellStyle name="_IS&amp;CF_Report form" xfId="492" xr:uid="{00000000-0005-0000-0000-000037010000}"/>
    <cellStyle name="_JA" xfId="493" xr:uid="{00000000-0005-0000-0000-000038010000}"/>
    <cellStyle name="_JYPE for Daum(Issue Memo)" xfId="494" xr:uid="{00000000-0005-0000-0000-000039010000}"/>
    <cellStyle name="_KC(1).Tech_정산표_0512" xfId="495" xr:uid="{00000000-0005-0000-0000-00003A010000}"/>
    <cellStyle name="_kdvd경비" xfId="496" xr:uid="{00000000-0005-0000-0000-00003B010000}"/>
    <cellStyle name="-_KITCO분석조서" xfId="497" xr:uid="{00000000-0005-0000-0000-00003C010000}"/>
    <cellStyle name="-_KITCO분석조서_(주)Mcnulty_Cashflowstatement_2005" xfId="498" xr:uid="{00000000-0005-0000-0000-00003D010000}"/>
    <cellStyle name="-_KITCO분석조서_(주)맥널티 주석사항" xfId="499" xr:uid="{00000000-0005-0000-0000-00003E010000}"/>
    <cellStyle name="-_KITCO분석조서_PJ Electric_자본변동표" xfId="500" xr:uid="{00000000-0005-0000-0000-00003F010000}"/>
    <cellStyle name="-_KITCO분석조서_법인세비용" xfId="501" xr:uid="{00000000-0005-0000-0000-000040010000}"/>
    <cellStyle name="-_KITCO분석조서_법인세비용_(주)Mcnulty_Cashflowstatement_2005" xfId="502" xr:uid="{00000000-0005-0000-0000-000041010000}"/>
    <cellStyle name="-_KITCO분석조서_법인세비용_(주)맥널티 주석사항" xfId="503" xr:uid="{00000000-0005-0000-0000-000042010000}"/>
    <cellStyle name="_kjh만서기업 기말감사 정산표(2004.02.04)_closing" xfId="504" xr:uid="{00000000-0005-0000-0000-000043010000}"/>
    <cellStyle name="-_KMW03(3분기)" xfId="505" xr:uid="{00000000-0005-0000-0000-000044010000}"/>
    <cellStyle name="-_KMW03기말" xfId="506" xr:uid="{00000000-0005-0000-0000-000045010000}"/>
    <cellStyle name="-_KMW03반기" xfId="507" xr:uid="{00000000-0005-0000-0000-000046010000}"/>
    <cellStyle name="-_KMW03반기_1" xfId="508" xr:uid="{00000000-0005-0000-0000-000047010000}"/>
    <cellStyle name="-_KMW03반기_KMW03기말" xfId="509" xr:uid="{00000000-0005-0000-0000-000048010000}"/>
    <cellStyle name="-_KMW03반기_KMW03반기" xfId="510" xr:uid="{00000000-0005-0000-0000-000049010000}"/>
    <cellStyle name="-_KMW03반기_kmw기말수정사항(민은기)" xfId="511" xr:uid="{00000000-0005-0000-0000-00004A010000}"/>
    <cellStyle name="-_KMW03반기_KMW정산표(2004.2.27)" xfId="512" xr:uid="{00000000-0005-0000-0000-00004B010000}"/>
    <cellStyle name="-_kmw기말수정사항(민은기)" xfId="513" xr:uid="{00000000-0005-0000-0000-00004C010000}"/>
    <cellStyle name="-_KMW정산표(2004.2.27)" xfId="514" xr:uid="{00000000-0005-0000-0000-00004D010000}"/>
    <cellStyle name="_Korea AR 112604" xfId="515" xr:uid="{00000000-0005-0000-0000-00004E010000}"/>
    <cellStyle name="_leadsheet(스파클)" xfId="516" xr:uid="{00000000-0005-0000-0000-00004F010000}"/>
    <cellStyle name="_Lover" xfId="517" xr:uid="{00000000-0005-0000-0000-000050010000}"/>
    <cellStyle name="_LS of P.K.S(04-10-31)" xfId="518" xr:uid="{00000000-0005-0000-0000-000051010000}"/>
    <cellStyle name="_LS-근화제약03기말-JYT" xfId="519" xr:uid="{00000000-0005-0000-0000-000052010000}"/>
    <cellStyle name="_LS-아이텍-04기말_0127" xfId="520" xr:uid="{00000000-0005-0000-0000-000053010000}"/>
    <cellStyle name="_M_투자" xfId="521" xr:uid="{00000000-0005-0000-0000-000054010000}"/>
    <cellStyle name="_Materiality200501Q-daehan" xfId="522" xr:uid="{00000000-0005-0000-0000-000055010000}"/>
    <cellStyle name="_MC table수출(070115)" xfId="523" xr:uid="{00000000-0005-0000-0000-000056010000}"/>
    <cellStyle name="_minutes of meetings of directors and shareholders03" xfId="524" xr:uid="{00000000-0005-0000-0000-000057010000}"/>
    <cellStyle name="_MOK99" xfId="525" xr:uid="{00000000-0005-0000-0000-000058010000}"/>
    <cellStyle name="_NI테크-03기말_jhs(감리)" xfId="526" xr:uid="{00000000-0005-0000-0000-000059010000}"/>
    <cellStyle name="_NI테크-03기말_jhs(감리1)" xfId="527" xr:uid="{00000000-0005-0000-0000-00005A010000}"/>
    <cellStyle name="_nSIuLYX432mIp4aeNz3U4f9Sr" xfId="528" xr:uid="{00000000-0005-0000-0000-00005B010000}"/>
    <cellStyle name="-_PJ Electric_자본변동표" xfId="529" xr:uid="{00000000-0005-0000-0000-00005C010000}"/>
    <cellStyle name="_PQT" xfId="530" xr:uid="{00000000-0005-0000-0000-00005D010000}"/>
    <cellStyle name="_PQT_1" xfId="531" xr:uid="{00000000-0005-0000-0000-00005E010000}"/>
    <cellStyle name="_PQT_현대자산운용 201003_중요성기준_최종" xfId="532" xr:uid="{00000000-0005-0000-0000-00005F010000}"/>
    <cellStyle name="_PREDI AJE-V1" xfId="533" xr:uid="{00000000-0005-0000-0000-000060010000}"/>
    <cellStyle name="_Profit sharing computation" xfId="534" xr:uid="{00000000-0005-0000-0000-000061010000}"/>
    <cellStyle name="_Profit sharing for Mr. Shin" xfId="535" xr:uid="{00000000-0005-0000-0000-000062010000}"/>
    <cellStyle name="_ProtexScoreSheet_2001" xfId="536" xr:uid="{00000000-0005-0000-0000-000063010000}"/>
    <cellStyle name="_Real 2003 Korea TP 1231" xfId="537" xr:uid="{00000000-0005-0000-0000-000064010000}"/>
    <cellStyle name="_RHD (2)" xfId="538" xr:uid="{00000000-0005-0000-0000-000065010000}"/>
    <cellStyle name="_RHD (2)_1" xfId="539" xr:uid="{00000000-0005-0000-0000-000066010000}"/>
    <cellStyle name="_Rhodia2003(lsh)" xfId="540" xr:uid="{00000000-0005-0000-0000-000067010000}"/>
    <cellStyle name="_Row1" xfId="541" xr:uid="{00000000-0005-0000-0000-000068010000}"/>
    <cellStyle name="_Row1_2002 Plan-Les" xfId="542" xr:uid="{00000000-0005-0000-0000-000069010000}"/>
    <cellStyle name="_Row1_2003 Actual-Les" xfId="543" xr:uid="{00000000-0005-0000-0000-00006A010000}"/>
    <cellStyle name="_Row1_2003 Plan-Les" xfId="544" xr:uid="{00000000-0005-0000-0000-00006B010000}"/>
    <cellStyle name="_Row1_2004 Actual-Les" xfId="545" xr:uid="{00000000-0005-0000-0000-00006C010000}"/>
    <cellStyle name="_Row1_Book1" xfId="546" xr:uid="{00000000-0005-0000-0000-00006D010000}"/>
    <cellStyle name="_Row2" xfId="547" xr:uid="{00000000-0005-0000-0000-00006E010000}"/>
    <cellStyle name="_Row3" xfId="548" xr:uid="{00000000-0005-0000-0000-00006F010000}"/>
    <cellStyle name="_Row4" xfId="549" xr:uid="{00000000-0005-0000-0000-000070010000}"/>
    <cellStyle name="_Row5" xfId="550" xr:uid="{00000000-0005-0000-0000-000071010000}"/>
    <cellStyle name="_Row6" xfId="551" xr:uid="{00000000-0005-0000-0000-000072010000}"/>
    <cellStyle name="_Row7" xfId="552" xr:uid="{00000000-0005-0000-0000-000073010000}"/>
    <cellStyle name="_sac2001_6지분법" xfId="553" xr:uid="{00000000-0005-0000-0000-000074010000}"/>
    <cellStyle name="_Sales(유성)_YE_YDE" xfId="554" xr:uid="{00000000-0005-0000-0000-000075010000}"/>
    <cellStyle name="_SBK_FY02_분할검토_수정사항등" xfId="555" xr:uid="{00000000-0005-0000-0000-000076010000}"/>
    <cellStyle name="_SBK지분법('01_기말 최종)" xfId="556" xr:uid="{00000000-0005-0000-0000-000077010000}"/>
    <cellStyle name="_SCFS1q98" xfId="557" xr:uid="{00000000-0005-0000-0000-000078010000}"/>
    <cellStyle name="_scfs-1q99final-hongkong" xfId="558" xr:uid="{00000000-0005-0000-0000-000079010000}"/>
    <cellStyle name="_scfs-699" xfId="559" xr:uid="{00000000-0005-0000-0000-00007A010000}"/>
    <cellStyle name="_SCM" xfId="560" xr:uid="{00000000-0005-0000-0000-00007B010000}"/>
    <cellStyle name="_Scoresheet" xfId="561" xr:uid="{00000000-0005-0000-0000-00007C010000}"/>
    <cellStyle name="_scoresheet(오픈비즈0227)" xfId="562" xr:uid="{00000000-0005-0000-0000-00007D010000}"/>
    <cellStyle name="_Scoresheet_1" xfId="563" xr:uid="{00000000-0005-0000-0000-00007E010000}"/>
    <cellStyle name="_Scoresheet_신안전자0721" xfId="564" xr:uid="{00000000-0005-0000-0000-00007F010000}"/>
    <cellStyle name="_Scoresheet-화우-030212" xfId="565" xr:uid="{00000000-0005-0000-0000-000080010000}"/>
    <cellStyle name="_Sheet7" xfId="566" xr:uid="{00000000-0005-0000-0000-000081010000}"/>
    <cellStyle name="_SIA 5500-1 매출총괄표" xfId="567" xr:uid="{00000000-0005-0000-0000-000082010000}"/>
    <cellStyle name="_SM상호저축은행정산표(2005-1Q)" xfId="568" xr:uid="{00000000-0005-0000-0000-000083010000}"/>
    <cellStyle name="_SM상호저축은행정산표(2005-1Q)_Book1" xfId="569" xr:uid="{00000000-0005-0000-0000-000084010000}"/>
    <cellStyle name="_SM상호저축은행정산표(2005-1Q)_SM상호저축은행수정사항(2005-3Q)-0414" xfId="570" xr:uid="{00000000-0005-0000-0000-000085010000}"/>
    <cellStyle name="_SM상호저축은행정산표(2005-1Q)_SM상호저축은행정산표(2005-2Q)-0127" xfId="571" xr:uid="{00000000-0005-0000-0000-000086010000}"/>
    <cellStyle name="_SM상호저축은행정산표(2005-1Q)_누적현금흐름" xfId="572" xr:uid="{00000000-0005-0000-0000-000087010000}"/>
    <cellStyle name="_SM상호저축은행정산표(2005-1Q)_대신증권 각주" xfId="573" xr:uid="{00000000-0005-0000-0000-000088010000}"/>
    <cellStyle name="_SM상호저축은행정산표(2005-1Q)_대신증권 정산표2Q-ver0" xfId="574" xr:uid="{00000000-0005-0000-0000-000089010000}"/>
    <cellStyle name="_SM상호저축은행정산표(2005-1Q)_대신증권 정산표2Q-ver4" xfId="575" xr:uid="{00000000-0005-0000-0000-00008A010000}"/>
    <cellStyle name="_SM상호저축은행정산표(2005-1Q)_대신증권 정산표2Q-ver5" xfId="576" xr:uid="{00000000-0005-0000-0000-00008B010000}"/>
    <cellStyle name="_SM상호저축은행정산표(2005-1Q)_대신증권 정산표3Q-ver1.0" xfId="577" xr:uid="{00000000-0005-0000-0000-00008C010000}"/>
    <cellStyle name="_SM상호저축은행정산표(2005-1Q)_보고용PL" xfId="578" xr:uid="{00000000-0005-0000-0000-00008D010000}"/>
    <cellStyle name="_SM상호저축은행정산표(2005-1Q)_현금흐름표(보고용)" xfId="579" xr:uid="{00000000-0005-0000-0000-00008E010000}"/>
    <cellStyle name="_SM상호저축은행정산표(2005-1Q)_현금흐름표(보고용)_0417" xfId="580" xr:uid="{00000000-0005-0000-0000-00008F010000}"/>
    <cellStyle name="_TB(NWM)_1231" xfId="581" xr:uid="{00000000-0005-0000-0000-000090010000}"/>
    <cellStyle name="_TB(Tourexpress)_0226" xfId="582" xr:uid="{00000000-0005-0000-0000-000091010000}"/>
    <cellStyle name="_TB(Tourexpress)_1231(이연법인세반영)" xfId="583" xr:uid="{00000000-0005-0000-0000-000092010000}"/>
    <cellStyle name="_TB(나무04)_0305(국문용)" xfId="584" xr:uid="{00000000-0005-0000-0000-000093010000}"/>
    <cellStyle name="_TB(오이뮤직)_1224(이연법인세반영)" xfId="585" xr:uid="{00000000-0005-0000-0000-000094010000}"/>
    <cellStyle name="_TB(플럭서스)_1230(이연법인세반영KGAAPonly)최종_소프트웨어수정" xfId="586" xr:uid="{00000000-0005-0000-0000-000095010000}"/>
    <cellStyle name="_TB2003(13)-수정" xfId="587" xr:uid="{00000000-0005-0000-0000-000096010000}"/>
    <cellStyle name="_TB2003(14)" xfId="588" xr:uid="{00000000-0005-0000-0000-000097010000}"/>
    <cellStyle name="_TB2003(final ARP_K-GAAP)" xfId="589" xr:uid="{00000000-0005-0000-0000-000098010000}"/>
    <cellStyle name="_TVIK정산표0114.Ver1" xfId="590" xr:uid="{00000000-0005-0000-0000-000099010000}"/>
    <cellStyle name="_unit cost table" xfId="591" xr:uid="{00000000-0005-0000-0000-00009A010000}"/>
    <cellStyle name="_V3 - 02총괄표(기말)" xfId="592" xr:uid="{00000000-0005-0000-0000-00009B010000}"/>
    <cellStyle name="_WACC" xfId="593" xr:uid="{00000000-0005-0000-0000-00009C010000}"/>
    <cellStyle name="_WP4500_법인세조서" xfId="594" xr:uid="{00000000-0005-0000-0000-00009D010000}"/>
    <cellStyle name="_WP5500_내부회계관리제도" xfId="595" xr:uid="{00000000-0005-0000-0000-00009E010000}"/>
    <cellStyle name="_WP-반기(7300)조서-안정국" xfId="596" xr:uid="{00000000-0005-0000-0000-00009F010000}"/>
    <cellStyle name="_WP-증권전산2002_안정국" xfId="597" xr:uid="{00000000-0005-0000-0000-0000A0010000}"/>
    <cellStyle name="_WP-코아매직전환사채계산-1" xfId="598" xr:uid="{00000000-0005-0000-0000-0000A1010000}"/>
    <cellStyle name="_Write off-inventory" xfId="599" xr:uid="{00000000-0005-0000-0000-0000A2010000}"/>
    <cellStyle name="_Zegna_br interim02 wp" xfId="600" xr:uid="{00000000-0005-0000-0000-0000A3010000}"/>
    <cellStyle name="_감가상각명세서(03.01~03.12)" xfId="601" xr:uid="{00000000-0005-0000-0000-0000A4010000}"/>
    <cellStyle name="_감가상각비수정사항계산내역" xfId="602" xr:uid="{00000000-0005-0000-0000-0000A5010000}"/>
    <cellStyle name="_감사지적사항수정안_개별_오류수정_030306" xfId="603" xr:uid="{00000000-0005-0000-0000-0000A6010000}"/>
    <cellStyle name="_갑지양식" xfId="604" xr:uid="{00000000-0005-0000-0000-0000A7010000}"/>
    <cellStyle name="_개발비" xfId="605" xr:uid="{00000000-0005-0000-0000-0000A8010000}"/>
    <cellStyle name="_게임계약" xfId="606" xr:uid="{00000000-0005-0000-0000-0000A9010000}"/>
    <cellStyle name="_견적서갑지양식" xfId="607" xr:uid="{00000000-0005-0000-0000-0000AA010000}"/>
    <cellStyle name="_결산명세서_CJI_04년3Q" xfId="608" xr:uid="{00000000-0005-0000-0000-0000AB010000}"/>
    <cellStyle name="_결산명세서_CJI_2004" xfId="609" xr:uid="{00000000-0005-0000-0000-0000AC010000}"/>
    <cellStyle name="_경북 AJE List(필드철수)" xfId="610" xr:uid="{00000000-0005-0000-0000-0000AD010000}"/>
    <cellStyle name="_경비 년간예상양식" xfId="611" xr:uid="{00000000-0005-0000-0000-0000AE010000}"/>
    <cellStyle name="_경비실적" xfId="612" xr:uid="{00000000-0005-0000-0000-0000AF010000}"/>
    <cellStyle name="_경영회의(1027)_계수" xfId="613" xr:uid="{00000000-0005-0000-0000-0000B0010000}"/>
    <cellStyle name="_경영회의(1027)_계수(수정1103)" xfId="614" xr:uid="{00000000-0005-0000-0000-0000B1010000}"/>
    <cellStyle name="_경인방송정산표-(0303)" xfId="615" xr:uid="{00000000-0005-0000-0000-0000B2010000}"/>
    <cellStyle name="_경주" xfId="616" xr:uid="{00000000-0005-0000-0000-0000B3010000}"/>
    <cellStyle name="_계속기업가정에 대한 검토(04)" xfId="617" xr:uid="{00000000-0005-0000-0000-0000B4010000}"/>
    <cellStyle name="_계속기업가정의검토" xfId="618" xr:uid="{00000000-0005-0000-0000-0000B5010000}"/>
    <cellStyle name="_계수별첨" xfId="619" xr:uid="{00000000-0005-0000-0000-0000B6010000}"/>
    <cellStyle name="_계정별잔액명세서" xfId="620" xr:uid="{00000000-0005-0000-0000-0000B7010000}"/>
    <cellStyle name="_고려-수원미네시티(작업)" xfId="621" xr:uid="{00000000-0005-0000-0000-0000B8010000}"/>
    <cellStyle name="_고정자산대장" xfId="622" xr:uid="{00000000-0005-0000-0000-0000B9010000}"/>
    <cellStyle name="_공통경비 개발비배분(04.06)" xfId="623" xr:uid="{00000000-0005-0000-0000-0000BA010000}"/>
    <cellStyle name="_공통경비 개발비배분(04.12)" xfId="624" xr:uid="{00000000-0005-0000-0000-0000BB010000}"/>
    <cellStyle name="_관계사간거래_다음(연결확정분)_1219" xfId="625" xr:uid="{00000000-0005-0000-0000-0000BC010000}"/>
    <cellStyle name="_관계사간거래_다음(연결확정분)_1221_박성준" xfId="626" xr:uid="{00000000-0005-0000-0000-0000BD010000}"/>
    <cellStyle name="_구매(매입)-한화국토-WP" xfId="627" xr:uid="{00000000-0005-0000-0000-0000BE010000}"/>
    <cellStyle name="_금형" xfId="628" xr:uid="{00000000-0005-0000-0000-0000BF010000}"/>
    <cellStyle name="_급여외" xfId="629" xr:uid="{00000000-0005-0000-0000-0000C0010000}"/>
    <cellStyle name="_기말 법인세 및 자본0109" xfId="630" xr:uid="{00000000-0005-0000-0000-0000C1010000}"/>
    <cellStyle name="_기말감사계획(JYPE)" xfId="631" xr:uid="{00000000-0005-0000-0000-0000C2010000}"/>
    <cellStyle name="_기말조서(케이벤치-안상철)" xfId="632" xr:uid="{00000000-0005-0000-0000-0000C3010000}"/>
    <cellStyle name="_기타유동자산" xfId="633" xr:uid="{00000000-0005-0000-0000-0000C4010000}"/>
    <cellStyle name="_기타의투자자산" xfId="634" xr:uid="{00000000-0005-0000-0000-0000C5010000}"/>
    <cellStyle name="_기타자산_04기말" xfId="635" xr:uid="{00000000-0005-0000-0000-0000C6010000}"/>
    <cellStyle name="_김동언조서" xfId="636" xr:uid="{00000000-0005-0000-0000-0000C7010000}"/>
    <cellStyle name="_남양2003정산표20040325V1_법인세반영후" xfId="637" xr:uid="{00000000-0005-0000-0000-0000C8010000}"/>
    <cellStyle name="_네트웍스_02결산서" xfId="638" xr:uid="{00000000-0005-0000-0000-0000C9010000}"/>
    <cellStyle name="_넷마블(최종수정사항)" xfId="639" xr:uid="{00000000-0005-0000-0000-0000CA010000}"/>
    <cellStyle name="_년도별총원가" xfId="640" xr:uid="{00000000-0005-0000-0000-0000CB010000}"/>
    <cellStyle name="_다윈텍정산표(04년반기)_20040716jh" xfId="641" xr:uid="{00000000-0005-0000-0000-0000CC010000}"/>
    <cellStyle name="_대신증권 정산표(FY2007-2Q)-final" xfId="642" xr:uid="{00000000-0005-0000-0000-0000CD010000}"/>
    <cellStyle name="_대웅화학_2002_SSk" xfId="643" xr:uid="{00000000-0005-0000-0000-0000CE010000}"/>
    <cellStyle name="_대원 Scoresheet(법인세반영전)" xfId="644" xr:uid="{00000000-0005-0000-0000-0000CF010000}"/>
    <cellStyle name="_대원씨아이 반기조서(2002.8.5)" xfId="645" xr:uid="{00000000-0005-0000-0000-0000D0010000}"/>
    <cellStyle name="_대원씨아이 정산표(2002.8.5)" xfId="646" xr:uid="{00000000-0005-0000-0000-0000D1010000}"/>
    <cellStyle name="_대차대조표" xfId="647" xr:uid="{00000000-0005-0000-0000-0000D2010000}"/>
    <cellStyle name="_도봉강북_02결산서" xfId="648" xr:uid="{00000000-0005-0000-0000-0000D3010000}"/>
    <cellStyle name="_동국베트남" xfId="649" xr:uid="{00000000-0005-0000-0000-0000D4010000}"/>
    <cellStyle name="_드림미르 조서 통합0203" xfId="650" xr:uid="{00000000-0005-0000-0000-0000D5010000}"/>
    <cellStyle name="_드림미르정산표0209_hsj" xfId="651" xr:uid="{00000000-0005-0000-0000-0000D6010000}"/>
    <cellStyle name="_디지털월드(사전적분석적절차)" xfId="652" xr:uid="{00000000-0005-0000-0000-0000D7010000}"/>
    <cellStyle name="_디피씨 2004 AJE 집계표(0204)_WrapUp" xfId="653" xr:uid="{00000000-0005-0000-0000-0000D8010000}"/>
    <cellStyle name="_디피씨 2004 AJE 집계표(0211)(최종)" xfId="654" xr:uid="{00000000-0005-0000-0000-0000D9010000}"/>
    <cellStyle name="_디피씨_기말4" xfId="655" xr:uid="{00000000-0005-0000-0000-0000DA010000}"/>
    <cellStyle name="_리스" xfId="656" xr:uid="{00000000-0005-0000-0000-0000DB010000}"/>
    <cellStyle name="_만서기업 AJE List(2002.1.31)" xfId="657" xr:uid="{00000000-0005-0000-0000-0000DC010000}"/>
    <cellStyle name="_만서기업 AJE List(2002.1.31)_01" xfId="658" xr:uid="{00000000-0005-0000-0000-0000DD010000}"/>
    <cellStyle name="_만서기업 현금흐름표(2002.2.15)" xfId="659" xr:uid="{00000000-0005-0000-0000-0000DE010000}"/>
    <cellStyle name="_매도가능증권(04반기)" xfId="660" xr:uid="{00000000-0005-0000-0000-0000DF010000}"/>
    <cellStyle name="_매입채무 및 매출원가조서(아이시스테크놀러지_2001)" xfId="661" xr:uid="{00000000-0005-0000-0000-0000E0010000}"/>
    <cellStyle name="_매출ver1" xfId="662" xr:uid="{00000000-0005-0000-0000-0000E1010000}"/>
    <cellStyle name="_매출채권" xfId="663" xr:uid="{00000000-0005-0000-0000-0000E2010000}"/>
    <cellStyle name="_매출채권_03기말" xfId="664" xr:uid="{00000000-0005-0000-0000-0000E3010000}"/>
    <cellStyle name="_매출할인(대손충당금)" xfId="665" xr:uid="{00000000-0005-0000-0000-0000E4010000}"/>
    <cellStyle name="_매출할인(대손충당금)_수정사항04_중앙백신 by ica" xfId="666" xr:uid="{00000000-0005-0000-0000-0000E5010000}"/>
    <cellStyle name="_명세서(2003." xfId="667" xr:uid="{00000000-0005-0000-0000-0000E6010000}"/>
    <cellStyle name="_모인소프트 Score sheet_0304" xfId="668" xr:uid="{00000000-0005-0000-0000-0000E7010000}"/>
    <cellStyle name="_무형자산_04기말" xfId="669" xr:uid="{00000000-0005-0000-0000-0000E8010000}"/>
    <cellStyle name="_미디어이연법인세-다시" xfId="670" xr:uid="{00000000-0005-0000-0000-0000E9010000}"/>
    <cellStyle name="_미루데이타03기말_정산표0323" xfId="671" xr:uid="{00000000-0005-0000-0000-0000EA010000}"/>
    <cellStyle name="_미수금대손" xfId="672" xr:uid="{00000000-0005-0000-0000-0000EB010000}"/>
    <cellStyle name="_미수정사항요약표(현대)" xfId="673" xr:uid="{00000000-0005-0000-0000-0000EC010000}"/>
    <cellStyle name="_미수정사항요약표(현대증권)" xfId="674" xr:uid="{00000000-0005-0000-0000-0000ED010000}"/>
    <cellStyle name="_미지급비용,선급비용 큐릭스네트웍스" xfId="675" xr:uid="{00000000-0005-0000-0000-0000EE010000}"/>
    <cellStyle name="_바른전자03기말정산표_ver2" xfId="676" xr:uid="{00000000-0005-0000-0000-0000EF010000}"/>
    <cellStyle name="_반기조서-안정국 0825 ①" xfId="677" xr:uid="{00000000-0005-0000-0000-0000F0010000}"/>
    <cellStyle name="_법인세 검증" xfId="678" xr:uid="{00000000-0005-0000-0000-0000F1010000}"/>
    <cellStyle name="_법인세 비용0114" xfId="679" xr:uid="{00000000-0005-0000-0000-0000F2010000}"/>
    <cellStyle name="-_법인세비용" xfId="680" xr:uid="{00000000-0005-0000-0000-0000F3010000}"/>
    <cellStyle name="-_법인세비용_(주)Mcnulty_Cashflowstatement_2005" xfId="681" xr:uid="{00000000-0005-0000-0000-0000F4010000}"/>
    <cellStyle name="-_법인세비용_(주)맥널티 주석사항" xfId="682" xr:uid="{00000000-0005-0000-0000-0000F5010000}"/>
    <cellStyle name="_별첨(계획서및실적서양식)" xfId="683" xr:uid="{00000000-0005-0000-0000-0000F6010000}"/>
    <cellStyle name="_별첨(계획서및실적서양식)_1" xfId="684" xr:uid="{00000000-0005-0000-0000-0000F7010000}"/>
    <cellStyle name="_별첨(계획서및실적서양식)_1_SM상호저축은행정산표(2005-1Q)" xfId="685" xr:uid="{00000000-0005-0000-0000-0000F8010000}"/>
    <cellStyle name="_별첨(계획서및실적서양식)_1_SM상호저축은행정산표(2005-1Q)_Book1" xfId="686" xr:uid="{00000000-0005-0000-0000-0000F9010000}"/>
    <cellStyle name="_별첨(계획서및실적서양식)_1_SM상호저축은행정산표(2005-1Q)_SM상호저축은행수정사항(2005-3Q)-0414" xfId="687" xr:uid="{00000000-0005-0000-0000-0000FA010000}"/>
    <cellStyle name="_별첨(계획서및실적서양식)_1_SM상호저축은행정산표(2005-1Q)_SM상호저축은행정산표(2005-2Q)-0127" xfId="688" xr:uid="{00000000-0005-0000-0000-0000FB010000}"/>
    <cellStyle name="_별첨(계획서및실적서양식)_1_SM상호저축은행정산표(2005-1Q)_누적현금흐름" xfId="689" xr:uid="{00000000-0005-0000-0000-0000FC010000}"/>
    <cellStyle name="_별첨(계획서및실적서양식)_1_SM상호저축은행정산표(2005-1Q)_대신증권 각주" xfId="690" xr:uid="{00000000-0005-0000-0000-0000FD010000}"/>
    <cellStyle name="_별첨(계획서및실적서양식)_1_SM상호저축은행정산표(2005-1Q)_대신증권 정산표2Q-ver0" xfId="691" xr:uid="{00000000-0005-0000-0000-0000FE010000}"/>
    <cellStyle name="_별첨(계획서및실적서양식)_1_SM상호저축은행정산표(2005-1Q)_대신증권 정산표2Q-ver4" xfId="692" xr:uid="{00000000-0005-0000-0000-0000FF010000}"/>
    <cellStyle name="_별첨(계획서및실적서양식)_1_SM상호저축은행정산표(2005-1Q)_대신증권 정산표2Q-ver5" xfId="693" xr:uid="{00000000-0005-0000-0000-000000020000}"/>
    <cellStyle name="_별첨(계획서및실적서양식)_1_SM상호저축은행정산표(2005-1Q)_대신증권 정산표3Q-ver1.0" xfId="694" xr:uid="{00000000-0005-0000-0000-000001020000}"/>
    <cellStyle name="_별첨(계획서및실적서양식)_1_SM상호저축은행정산표(2005-1Q)_보고용PL" xfId="695" xr:uid="{00000000-0005-0000-0000-000002020000}"/>
    <cellStyle name="_별첨(계획서및실적서양식)_1_SM상호저축은행정산표(2005-1Q)_현금흐름표(보고용)" xfId="696" xr:uid="{00000000-0005-0000-0000-000003020000}"/>
    <cellStyle name="_별첨(계획서및실적서양식)_1_SM상호저축은행정산표(2005-1Q)_현금흐름표(보고용)_0417" xfId="697" xr:uid="{00000000-0005-0000-0000-000004020000}"/>
    <cellStyle name="_보고01_3" xfId="698" xr:uid="{00000000-0005-0000-0000-000005020000}"/>
    <cellStyle name="_보고용서전_1" xfId="699" xr:uid="{00000000-0005-0000-0000-000006020000}"/>
    <cellStyle name="_복사본 2006 12 정산표ver0.1" xfId="700" xr:uid="{00000000-0005-0000-0000-000007020000}"/>
    <cellStyle name="_부산케이블 AJE List(2002.2.23)" xfId="701" xr:uid="{00000000-0005-0000-0000-000008020000}"/>
    <cellStyle name="_부속자료-사업부 집계표(D총괄)3" xfId="702" xr:uid="{00000000-0005-0000-0000-000009020000}"/>
    <cellStyle name="_분기조서(hds)" xfId="703" xr:uid="{00000000-0005-0000-0000-00000A020000}"/>
    <cellStyle name="_사계기준재료" xfId="704" xr:uid="{00000000-0005-0000-0000-00000B020000}"/>
    <cellStyle name="_사계기준재료_WACC" xfId="705" xr:uid="{00000000-0005-0000-0000-00000C020000}"/>
    <cellStyle name="_사계기준재료_대차대조표" xfId="706" xr:uid="{00000000-0005-0000-0000-00000D020000}"/>
    <cellStyle name="_사본 - 2002-12" xfId="707" xr:uid="{00000000-0005-0000-0000-00000E020000}"/>
    <cellStyle name="_삼영중간" xfId="708" xr:uid="{00000000-0005-0000-0000-00000F020000}"/>
    <cellStyle name="_상품수불부10월말(최종)" xfId="709" xr:uid="{00000000-0005-0000-0000-000010020000}"/>
    <cellStyle name="_상품수불부10월말(최종)_2004.12계정명세" xfId="710" xr:uid="{00000000-0005-0000-0000-000011020000}"/>
    <cellStyle name="_상품수불부10월말(최종)_2004.12계정명세_정산표_동일고무벨트2006_AR" xfId="711" xr:uid="{00000000-0005-0000-0000-000012020000}"/>
    <cellStyle name="_상품수불부10월말(최종)_정산표_동일고무벨트2006_AR" xfId="712" xr:uid="{00000000-0005-0000-0000-000013020000}"/>
    <cellStyle name="_생판93~00" xfId="713" xr:uid="{00000000-0005-0000-0000-000014020000}"/>
    <cellStyle name="_생판99년간예상" xfId="714" xr:uid="{00000000-0005-0000-0000-000015020000}"/>
    <cellStyle name="_샤시 (2)" xfId="715" xr:uid="{00000000-0005-0000-0000-000016020000}"/>
    <cellStyle name="_샤시 (2)_1" xfId="716" xr:uid="{00000000-0005-0000-0000-000017020000}"/>
    <cellStyle name="_샤시 (2)_2" xfId="717" xr:uid="{00000000-0005-0000-0000-000018020000}"/>
    <cellStyle name="_샤시 (2)_2_현대자산운용 201003_중요성기준_최종" xfId="718" xr:uid="{00000000-0005-0000-0000-000019020000}"/>
    <cellStyle name="_서울미라마02FS" xfId="719" xr:uid="{00000000-0005-0000-0000-00001A020000}"/>
    <cellStyle name="_세넥스테크 반기검토조서(2003.7.29)" xfId="720" xr:uid="{00000000-0005-0000-0000-00001B020000}"/>
    <cellStyle name="_세넥스테크 영업권검토조서(2003.7.30)" xfId="721" xr:uid="{00000000-0005-0000-0000-00001C020000}"/>
    <cellStyle name="_세액계산(20040106)" xfId="722" xr:uid="{00000000-0005-0000-0000-00001D020000}"/>
    <cellStyle name="_세중모비즈 주석" xfId="723" xr:uid="{00000000-0005-0000-0000-00001E020000}"/>
    <cellStyle name="_세중현금흐름표(2004)0217(감액손실반영후)" xfId="724" xr:uid="{00000000-0005-0000-0000-00001F020000}"/>
    <cellStyle name="_소코드1" xfId="725" xr:uid="{00000000-0005-0000-0000-000020020000}"/>
    <cellStyle name="_손익Simulation(0930)" xfId="726" xr:uid="{00000000-0005-0000-0000-000021020000}"/>
    <cellStyle name="_송현실행내역" xfId="727" xr:uid="{00000000-0005-0000-0000-000022020000}"/>
    <cellStyle name="_수익성분석." xfId="728" xr:uid="{00000000-0005-0000-0000-000023020000}"/>
    <cellStyle name="_수정분개요약표(에피온)-CLOSING(윤정화)" xfId="729" xr:uid="{00000000-0005-0000-0000-000024020000}"/>
    <cellStyle name="_수정사항 및 중요사항 보고_동일파텍v4" xfId="730" xr:uid="{00000000-0005-0000-0000-000025020000}"/>
    <cellStyle name="_수정사항요약_최종" xfId="731" xr:uid="{00000000-0005-0000-0000-000026020000}"/>
    <cellStyle name="_수정사항요약_최종_1" xfId="732" xr:uid="{00000000-0005-0000-0000-000027020000}"/>
    <cellStyle name="_수정사항집계표(2004_3분기_하이스틸)" xfId="733" xr:uid="{00000000-0005-0000-0000-000028020000}"/>
    <cellStyle name="_수정사항집계표(2004_하이스틸)02-19" xfId="734" xr:uid="{00000000-0005-0000-0000-000029020000}"/>
    <cellStyle name="_수정사항집계표(남양아스콘)030221_법인세반영전" xfId="735" xr:uid="{00000000-0005-0000-0000-00002A020000}"/>
    <cellStyle name="_수정사항집계표2.28" xfId="736" xr:uid="{00000000-0005-0000-0000-00002B020000}"/>
    <cellStyle name="_스토리지텍-2004년법인세" xfId="737" xr:uid="{00000000-0005-0000-0000-00002C020000}"/>
    <cellStyle name="_스톡옵션-이정" xfId="738" xr:uid="{00000000-0005-0000-0000-00002D020000}"/>
    <cellStyle name="_신세계아이앤씨 2004자본" xfId="739" xr:uid="{00000000-0005-0000-0000-00002E020000}"/>
    <cellStyle name="_신안전자정산표0723" xfId="740" xr:uid="{00000000-0005-0000-0000-00002F020000}"/>
    <cellStyle name="_실적" xfId="741" xr:uid="{00000000-0005-0000-0000-000030020000}"/>
    <cellStyle name="_실적보고5" xfId="742" xr:uid="{00000000-0005-0000-0000-000031020000}"/>
    <cellStyle name="_쌍용자동차_02_반기" xfId="743" xr:uid="{00000000-0005-0000-0000-000032020000}"/>
    <cellStyle name="_쌍용자동차_현금흐름표_02" xfId="744" xr:uid="{00000000-0005-0000-0000-000033020000}"/>
    <cellStyle name="_쌍용차02 현금흐름표_kth " xfId="745" xr:uid="{00000000-0005-0000-0000-000034020000}"/>
    <cellStyle name="_써니벨테크 AJE List(2002.3.23)" xfId="746" xr:uid="{00000000-0005-0000-0000-000035020000}"/>
    <cellStyle name="_써니벨테크 현금흐름표(2002.4.4)" xfId="747" xr:uid="{00000000-0005-0000-0000-000036020000}"/>
    <cellStyle name="_씨팔마지막" xfId="748" xr:uid="{00000000-0005-0000-0000-000037020000}"/>
    <cellStyle name="_아이디디지털02기말_WP(ASC)" xfId="749" xr:uid="{00000000-0005-0000-0000-000038020000}"/>
    <cellStyle name="_아이시스네트 정산표_20020301_2_이연법인세 조정의 백업" xfId="750" xr:uid="{00000000-0005-0000-0000-000039020000}"/>
    <cellStyle name="_아이즈_03반기_유형자산" xfId="751" xr:uid="{00000000-0005-0000-0000-00003A020000}"/>
    <cellStyle name="_아이템베이정산표(2004기말)_0123_1" xfId="752" xr:uid="{00000000-0005-0000-0000-00003B020000}"/>
    <cellStyle name="_아주금속_02_기말_WP_SC" xfId="753" xr:uid="{00000000-0005-0000-0000-00003C020000}"/>
    <cellStyle name="_아주금속-02수정집계표(0222)" xfId="754" xr:uid="{00000000-0005-0000-0000-00003D020000}"/>
    <cellStyle name="_아케이드 수불부" xfId="755" xr:uid="{00000000-0005-0000-0000-00003E020000}"/>
    <cellStyle name="_아케이드매출 및 유형자산" xfId="756" xr:uid="{00000000-0005-0000-0000-00003F020000}"/>
    <cellStyle name="_양식" xfId="757" xr:uid="{00000000-0005-0000-0000-000040020000}"/>
    <cellStyle name="_양식_1" xfId="758" xr:uid="{00000000-0005-0000-0000-000041020000}"/>
    <cellStyle name="_양식_2" xfId="759" xr:uid="{00000000-0005-0000-0000-000042020000}"/>
    <cellStyle name="_양식_SM상호저축은행정산표(2005-1Q)" xfId="760" xr:uid="{00000000-0005-0000-0000-000043020000}"/>
    <cellStyle name="_양식_SM상호저축은행정산표(2005-1Q)_Book1" xfId="761" xr:uid="{00000000-0005-0000-0000-000044020000}"/>
    <cellStyle name="_양식_SM상호저축은행정산표(2005-1Q)_SM상호저축은행수정사항(2005-3Q)-0414" xfId="762" xr:uid="{00000000-0005-0000-0000-000045020000}"/>
    <cellStyle name="_양식_SM상호저축은행정산표(2005-1Q)_SM상호저축은행정산표(2005-2Q)-0127" xfId="763" xr:uid="{00000000-0005-0000-0000-000046020000}"/>
    <cellStyle name="_양식_SM상호저축은행정산표(2005-1Q)_누적현금흐름" xfId="764" xr:uid="{00000000-0005-0000-0000-000047020000}"/>
    <cellStyle name="_양식_SM상호저축은행정산표(2005-1Q)_대신증권 각주" xfId="765" xr:uid="{00000000-0005-0000-0000-000048020000}"/>
    <cellStyle name="_양식_SM상호저축은행정산표(2005-1Q)_대신증권 정산표2Q-ver0" xfId="766" xr:uid="{00000000-0005-0000-0000-000049020000}"/>
    <cellStyle name="_양식_SM상호저축은행정산표(2005-1Q)_대신증권 정산표2Q-ver4" xfId="767" xr:uid="{00000000-0005-0000-0000-00004A020000}"/>
    <cellStyle name="_양식_SM상호저축은행정산표(2005-1Q)_대신증권 정산표2Q-ver5" xfId="768" xr:uid="{00000000-0005-0000-0000-00004B020000}"/>
    <cellStyle name="_양식_SM상호저축은행정산표(2005-1Q)_대신증권 정산표3Q-ver1.0" xfId="769" xr:uid="{00000000-0005-0000-0000-00004C020000}"/>
    <cellStyle name="_양식_SM상호저축은행정산표(2005-1Q)_보고용PL" xfId="770" xr:uid="{00000000-0005-0000-0000-00004D020000}"/>
    <cellStyle name="_양식_SM상호저축은행정산표(2005-1Q)_현금흐름표(보고용)" xfId="771" xr:uid="{00000000-0005-0000-0000-00004E020000}"/>
    <cellStyle name="_양식_SM상호저축은행정산표(2005-1Q)_현금흐름표(보고용)_0417" xfId="772" xr:uid="{00000000-0005-0000-0000-00004F020000}"/>
    <cellStyle name="_어봉환" xfId="773" xr:uid="{00000000-0005-0000-0000-000050020000}"/>
    <cellStyle name="_업계평균이자율" xfId="774" xr:uid="{00000000-0005-0000-0000-000051020000}"/>
    <cellStyle name="_업무보고8월" xfId="775" xr:uid="{00000000-0005-0000-0000-000052020000}"/>
    <cellStyle name="_에카매출조서(홍)-2003.1.13" xfId="776" xr:uid="{00000000-0005-0000-0000-000053020000}"/>
    <cellStyle name="_엑셈정산표0204" xfId="777" xr:uid="{00000000-0005-0000-0000-000054020000}"/>
    <cellStyle name="_엘지화재소프트웨어" xfId="778" xr:uid="{00000000-0005-0000-0000-000055020000}"/>
    <cellStyle name="_엘케이에프에스 기말조서_hes(2002.4.24)" xfId="779" xr:uid="{00000000-0005-0000-0000-000056020000}"/>
    <cellStyle name="_연결총괄분개_US GAAP전환_다시쪼깨다_14" xfId="780" xr:uid="{00000000-0005-0000-0000-000057020000}"/>
    <cellStyle name="_영업202" xfId="781" xr:uid="{00000000-0005-0000-0000-000058020000}"/>
    <cellStyle name="_영업손익검토조서(대한화재)" xfId="782" xr:uid="{00000000-0005-0000-0000-000059020000}"/>
    <cellStyle name="_영업외손익" xfId="783" xr:uid="{00000000-0005-0000-0000-00005A020000}"/>
    <cellStyle name="_영업외손익 LS" xfId="784" xr:uid="{00000000-0005-0000-0000-00005B020000}"/>
    <cellStyle name="_영업외수지집계-1025" xfId="785" xr:uid="{00000000-0005-0000-0000-00005C020000}"/>
    <cellStyle name="_예비적 ARP" xfId="786" xr:uid="{00000000-0005-0000-0000-00005D020000}"/>
    <cellStyle name="_예상12속" xfId="787" xr:uid="{00000000-0005-0000-0000-00005E020000}"/>
    <cellStyle name="_오이뮤직_20030930_완성자료(3)" xfId="788" xr:uid="{00000000-0005-0000-0000-00005F020000}"/>
    <cellStyle name="_오이뮤직_20030930_현금흐름표" xfId="789" xr:uid="{00000000-0005-0000-0000-000060020000}"/>
    <cellStyle name="_오픈비즈기말조서0226" xfId="790" xr:uid="{00000000-0005-0000-0000-000061020000}"/>
    <cellStyle name="_오픈솔루션01매출WP" xfId="791" xr:uid="{00000000-0005-0000-0000-000062020000}"/>
    <cellStyle name="_외화" xfId="792" xr:uid="{00000000-0005-0000-0000-000063020000}"/>
    <cellStyle name="_요약BS" xfId="793" xr:uid="{00000000-0005-0000-0000-000064020000}"/>
    <cellStyle name="_요청자료1" xfId="794" xr:uid="{00000000-0005-0000-0000-000065020000}"/>
    <cellStyle name="_요청자료1_수정사항04_중앙백신 by ica" xfId="795" xr:uid="{00000000-0005-0000-0000-000066020000}"/>
    <cellStyle name="_요청자료양식_Tour express" xfId="796" xr:uid="{00000000-0005-0000-0000-000067020000}"/>
    <cellStyle name="_원가배분" xfId="797" xr:uid="{00000000-0005-0000-0000-000068020000}"/>
    <cellStyle name="_월별제조원가(전기대비)" xfId="798" xr:uid="{00000000-0005-0000-0000-000069020000}"/>
    <cellStyle name="_유무형자산및상각비명세서(0403_0412)" xfId="799" xr:uid="{00000000-0005-0000-0000-00006A020000}"/>
    <cellStyle name="_유첨3(서식)" xfId="800" xr:uid="{00000000-0005-0000-0000-00006B020000}"/>
    <cellStyle name="_유첨3(서식)_1" xfId="801" xr:uid="{00000000-0005-0000-0000-00006C020000}"/>
    <cellStyle name="_유첨3(서식)_SM상호저축은행정산표(2005-1Q)" xfId="802" xr:uid="{00000000-0005-0000-0000-00006D020000}"/>
    <cellStyle name="_유첨3(서식)_SM상호저축은행정산표(2005-1Q)_Book1" xfId="803" xr:uid="{00000000-0005-0000-0000-00006E020000}"/>
    <cellStyle name="_유첨3(서식)_SM상호저축은행정산표(2005-1Q)_SM상호저축은행수정사항(2005-3Q)-0414" xfId="804" xr:uid="{00000000-0005-0000-0000-00006F020000}"/>
    <cellStyle name="_유첨3(서식)_SM상호저축은행정산표(2005-1Q)_SM상호저축은행정산표(2005-2Q)-0127" xfId="805" xr:uid="{00000000-0005-0000-0000-000070020000}"/>
    <cellStyle name="_유첨3(서식)_SM상호저축은행정산표(2005-1Q)_누적현금흐름" xfId="806" xr:uid="{00000000-0005-0000-0000-000071020000}"/>
    <cellStyle name="_유첨3(서식)_SM상호저축은행정산표(2005-1Q)_대신증권 각주" xfId="807" xr:uid="{00000000-0005-0000-0000-000072020000}"/>
    <cellStyle name="_유첨3(서식)_SM상호저축은행정산표(2005-1Q)_대신증권 정산표2Q-ver0" xfId="808" xr:uid="{00000000-0005-0000-0000-000073020000}"/>
    <cellStyle name="_유첨3(서식)_SM상호저축은행정산표(2005-1Q)_대신증권 정산표2Q-ver4" xfId="809" xr:uid="{00000000-0005-0000-0000-000074020000}"/>
    <cellStyle name="_유첨3(서식)_SM상호저축은행정산표(2005-1Q)_대신증권 정산표2Q-ver5" xfId="810" xr:uid="{00000000-0005-0000-0000-000075020000}"/>
    <cellStyle name="_유첨3(서식)_SM상호저축은행정산표(2005-1Q)_대신증권 정산표3Q-ver1.0" xfId="811" xr:uid="{00000000-0005-0000-0000-000076020000}"/>
    <cellStyle name="_유첨3(서식)_SM상호저축은행정산표(2005-1Q)_보고용PL" xfId="812" xr:uid="{00000000-0005-0000-0000-000077020000}"/>
    <cellStyle name="_유첨3(서식)_SM상호저축은행정산표(2005-1Q)_현금흐름표(보고용)" xfId="813" xr:uid="{00000000-0005-0000-0000-000078020000}"/>
    <cellStyle name="_유첨3(서식)_SM상호저축은행정산표(2005-1Q)_현금흐름표(보고용)_0417" xfId="814" xr:uid="{00000000-0005-0000-0000-000079020000}"/>
    <cellStyle name="_유텔정산표(040310_V1)" xfId="815" xr:uid="{00000000-0005-0000-0000-00007A020000}"/>
    <cellStyle name="_유형자산 총괄표" xfId="816" xr:uid="{00000000-0005-0000-0000-00007B020000}"/>
    <cellStyle name="_유효기간평가대상품목" xfId="817" xr:uid="{00000000-0005-0000-0000-00007C020000}"/>
    <cellStyle name="_유효기간평가대상품목_수정사항04_중앙백신 by ica" xfId="818" xr:uid="{00000000-0005-0000-0000-00007D020000}"/>
    <cellStyle name="_음반별판매및제조수량." xfId="819" xr:uid="{00000000-0005-0000-0000-00007E020000}"/>
    <cellStyle name="_음반별판매및제조수량.(1)" xfId="820" xr:uid="{00000000-0005-0000-0000-00007F020000}"/>
    <cellStyle name="_이노-2003반기조서(조)" xfId="821" xr:uid="{00000000-0005-0000-0000-000080020000}"/>
    <cellStyle name="_이모션반기조서0804" xfId="822" xr:uid="{00000000-0005-0000-0000-000081020000}"/>
    <cellStyle name="_이사회의사록(03_3사분기_인선)" xfId="823" xr:uid="{00000000-0005-0000-0000-000082020000}"/>
    <cellStyle name="_이사회의사록의검토" xfId="824" xr:uid="{00000000-0005-0000-0000-000083020000}"/>
    <cellStyle name="_이연법인세" xfId="825" xr:uid="{00000000-0005-0000-0000-000084020000}"/>
    <cellStyle name="_이연법인세(041014))" xfId="826" xr:uid="{00000000-0005-0000-0000-000085020000}"/>
    <cellStyle name="_이연법인세(추납액반영)" xfId="827" xr:uid="{00000000-0005-0000-0000-000086020000}"/>
    <cellStyle name="_자기주식(유통주식)" xfId="828" xr:uid="{00000000-0005-0000-0000-000087020000}"/>
    <cellStyle name="_자본반기조서" xfId="829" xr:uid="{00000000-0005-0000-0000-000088020000}"/>
    <cellStyle name="_작업내역(전기,통신)" xfId="830" xr:uid="{00000000-0005-0000-0000-000089020000}"/>
    <cellStyle name="_재고자산(20040331)" xfId="831" xr:uid="{00000000-0005-0000-0000-00008A020000}"/>
    <cellStyle name="_재고자산LS(프린팅)" xfId="832" xr:uid="{00000000-0005-0000-0000-00008B020000}"/>
    <cellStyle name="_재고자산단가자료(from강순창대리)" xfId="833" xr:uid="{00000000-0005-0000-0000-00008C020000}"/>
    <cellStyle name="_재고자산명세서(1)" xfId="834" xr:uid="{00000000-0005-0000-0000-00008D020000}"/>
    <cellStyle name="_재고자산명세서(1)_2004.12계정명세" xfId="835" xr:uid="{00000000-0005-0000-0000-00008E020000}"/>
    <cellStyle name="_재고자산명세서(1)_2004.12계정명세_정산표_동일고무벨트2006_AR" xfId="836" xr:uid="{00000000-0005-0000-0000-00008F020000}"/>
    <cellStyle name="_재고자산명세서(1)_정산표_동일고무벨트2006_AR" xfId="837" xr:uid="{00000000-0005-0000-0000-000090020000}"/>
    <cellStyle name="_재고현황" xfId="838" xr:uid="{00000000-0005-0000-0000-000091020000}"/>
    <cellStyle name="_재무비율계산표" xfId="839" xr:uid="{00000000-0005-0000-0000-000092020000}"/>
    <cellStyle name="_재무제표" xfId="840" xr:uid="{00000000-0005-0000-0000-000093020000}"/>
    <cellStyle name="_재무제표(1분기)" xfId="841" xr:uid="{00000000-0005-0000-0000-000094020000}"/>
    <cellStyle name="_재무제표_엑셀" xfId="842" xr:uid="{00000000-0005-0000-0000-000095020000}"/>
    <cellStyle name="_재무제표확정" xfId="843" xr:uid="{00000000-0005-0000-0000-000096020000}"/>
    <cellStyle name="_전환사채" xfId="844" xr:uid="{00000000-0005-0000-0000-000097020000}"/>
    <cellStyle name="_정국창 수정분개" xfId="845" xr:uid="{00000000-0005-0000-0000-000098020000}"/>
    <cellStyle name="_정리-V2" xfId="846" xr:uid="{00000000-0005-0000-0000-000099020000}"/>
    <cellStyle name="_정산표" xfId="847" xr:uid="{00000000-0005-0000-0000-00009A020000}"/>
    <cellStyle name="_정산표 (03)-최종-KNH" xfId="848" xr:uid="{00000000-0005-0000-0000-00009B020000}"/>
    <cellStyle name="_정산표 Template" xfId="849" xr:uid="{00000000-0005-0000-0000-00009C020000}"/>
    <cellStyle name="_정산표 및 수정분개" xfId="850" xr:uid="{00000000-0005-0000-0000-00009D020000}"/>
    <cellStyle name="_정산표(글로벌아이엔씨2002_0307)_ksw" xfId="851" xr:uid="{00000000-0005-0000-0000-00009E020000}"/>
    <cellStyle name="_정산표(낙스넷2002_030227)_황정식ssn" xfId="852" xr:uid="{00000000-0005-0000-0000-00009F020000}"/>
    <cellStyle name="_정산표(로디아02)" xfId="853" xr:uid="{00000000-0005-0000-0000-0000A0020000}"/>
    <cellStyle name="_정산표(바이오톡스텍)0129" xfId="854" xr:uid="{00000000-0005-0000-0000-0000A1020000}"/>
    <cellStyle name="_정산표(중부도시가스)_040218" xfId="855" xr:uid="{00000000-0005-0000-0000-0000A2020000}"/>
    <cellStyle name="_정산표_현대선물_0425" xfId="856" xr:uid="{00000000-0005-0000-0000-0000A3020000}"/>
    <cellStyle name="_정산표_현대선물_0512" xfId="857" xr:uid="{00000000-0005-0000-0000-0000A4020000}"/>
    <cellStyle name="_정산표0309_daum_0923" xfId="858" xr:uid="{00000000-0005-0000-0000-0000A5020000}"/>
    <cellStyle name="_정산표0803" xfId="859" xr:uid="{00000000-0005-0000-0000-0000A6020000}"/>
    <cellStyle name="_정산표0805_법인세부분추가" xfId="860" xr:uid="{00000000-0005-0000-0000-0000A7020000}"/>
    <cellStyle name="_정산표및현금흐름표(아쉐뜨 030220)원재료수정미반영-khk" xfId="861" xr:uid="{00000000-0005-0000-0000-0000A8020000}"/>
    <cellStyle name="_정산표-현대선물_200906_ver5.3" xfId="862" xr:uid="{00000000-0005-0000-0000-0000A9020000}"/>
    <cellStyle name="_제33기 6월 결산" xfId="863" xr:uid="{00000000-0005-0000-0000-0000AA020000}"/>
    <cellStyle name="_제니아크v1" xfId="864" xr:uid="{00000000-0005-0000-0000-0000AB020000}"/>
    <cellStyle name="_제조원가명세서" xfId="865" xr:uid="{00000000-0005-0000-0000-0000AC020000}"/>
    <cellStyle name="_제출양식-투자,인력,경비" xfId="866" xr:uid="{00000000-0005-0000-0000-0000AD020000}"/>
    <cellStyle name="_주간보고" xfId="867" xr:uid="{00000000-0005-0000-0000-0000AE020000}"/>
    <cellStyle name="_주식매입선택권" xfId="868" xr:uid="{00000000-0005-0000-0000-0000AF020000}"/>
    <cellStyle name="_주요경영지표" xfId="869" xr:uid="{00000000-0005-0000-0000-0000B0020000}"/>
    <cellStyle name="_주요경영지표(엑셈)" xfId="870" xr:uid="{00000000-0005-0000-0000-0000B1020000}"/>
    <cellStyle name="_주요경영지표(피델릭스)" xfId="871" xr:uid="{00000000-0005-0000-0000-0000B2020000}"/>
    <cellStyle name="_주임종장기대여금" xfId="872" xr:uid="{00000000-0005-0000-0000-0000B3020000}"/>
    <cellStyle name="_주임종장기대여금_적수" xfId="873" xr:uid="{00000000-0005-0000-0000-0000B4020000}"/>
    <cellStyle name="_중간감사" xfId="874" xr:uid="{00000000-0005-0000-0000-0000B5020000}"/>
    <cellStyle name="_중간예납" xfId="875" xr:uid="{00000000-0005-0000-0000-0000B6020000}"/>
    <cellStyle name="_중부02AS-최종(지급수수료대체)" xfId="876" xr:uid="{00000000-0005-0000-0000-0000B7020000}"/>
    <cellStyle name="_중앙백신 2004 3q_ 현금흐름표" xfId="877" xr:uid="{00000000-0005-0000-0000-0000B8020000}"/>
    <cellStyle name="_중요성" xfId="878" xr:uid="{00000000-0005-0000-0000-0000B9020000}"/>
    <cellStyle name="_중요성기준" xfId="879" xr:uid="{00000000-0005-0000-0000-0000BA020000}"/>
    <cellStyle name="_증권전산정산표-2003.2.3" xfId="880" xr:uid="{00000000-0005-0000-0000-0000BB020000}"/>
    <cellStyle name="_증안기금(3분기)" xfId="881" xr:uid="{00000000-0005-0000-0000-0000BC020000}"/>
    <cellStyle name="_지구촌02CJH" xfId="882" xr:uid="{00000000-0005-0000-0000-0000BD020000}"/>
    <cellStyle name="_지분법3사" xfId="883" xr:uid="{00000000-0005-0000-0000-0000BE020000}"/>
    <cellStyle name="_지분법-베트남(V2)" xfId="884" xr:uid="{00000000-0005-0000-0000-0000BF020000}"/>
    <cellStyle name="_지분법분석3Q" xfId="885" xr:uid="{00000000-0005-0000-0000-0000C0020000}"/>
    <cellStyle name="_지분법실적" xfId="886" xr:uid="{00000000-0005-0000-0000-0000C1020000}"/>
    <cellStyle name="_지분법양식" xfId="887" xr:uid="{00000000-0005-0000-0000-0000C2020000}"/>
    <cellStyle name="_지분법최종" xfId="888" xr:uid="{00000000-0005-0000-0000-0000C3020000}"/>
    <cellStyle name="_지역별(1227)" xfId="889" xr:uid="{00000000-0005-0000-0000-0000C4020000}"/>
    <cellStyle name="_지오텔정산표_06YE_0228" xfId="890" xr:uid="{00000000-0005-0000-0000-0000C5020000}"/>
    <cellStyle name="_지정과제2차심의list" xfId="891" xr:uid="{00000000-0005-0000-0000-0000C6020000}"/>
    <cellStyle name="_지정과제2차심의list_1" xfId="892" xr:uid="{00000000-0005-0000-0000-0000C7020000}"/>
    <cellStyle name="_지정과제2차심의list_2" xfId="893" xr:uid="{00000000-0005-0000-0000-0000C8020000}"/>
    <cellStyle name="_지정과제2차심의list_2_SM상호저축은행정산표(2005-1Q)" xfId="894" xr:uid="{00000000-0005-0000-0000-0000C9020000}"/>
    <cellStyle name="_지정과제2차심의list_2_SM상호저축은행정산표(2005-1Q)_Book1" xfId="895" xr:uid="{00000000-0005-0000-0000-0000CA020000}"/>
    <cellStyle name="_지정과제2차심의list_2_SM상호저축은행정산표(2005-1Q)_SM상호저축은행수정사항(2005-3Q)-0414" xfId="896" xr:uid="{00000000-0005-0000-0000-0000CB020000}"/>
    <cellStyle name="_지정과제2차심의list_2_SM상호저축은행정산표(2005-1Q)_SM상호저축은행정산표(2005-2Q)-0127" xfId="897" xr:uid="{00000000-0005-0000-0000-0000CC020000}"/>
    <cellStyle name="_지정과제2차심의list_2_SM상호저축은행정산표(2005-1Q)_누적현금흐름" xfId="898" xr:uid="{00000000-0005-0000-0000-0000CD020000}"/>
    <cellStyle name="_지정과제2차심의list_2_SM상호저축은행정산표(2005-1Q)_대신증권 각주" xfId="899" xr:uid="{00000000-0005-0000-0000-0000CE020000}"/>
    <cellStyle name="_지정과제2차심의list_2_SM상호저축은행정산표(2005-1Q)_대신증권 정산표2Q-ver0" xfId="900" xr:uid="{00000000-0005-0000-0000-0000CF020000}"/>
    <cellStyle name="_지정과제2차심의list_2_SM상호저축은행정산표(2005-1Q)_대신증권 정산표2Q-ver4" xfId="901" xr:uid="{00000000-0005-0000-0000-0000D0020000}"/>
    <cellStyle name="_지정과제2차심의list_2_SM상호저축은행정산표(2005-1Q)_대신증권 정산표2Q-ver5" xfId="902" xr:uid="{00000000-0005-0000-0000-0000D1020000}"/>
    <cellStyle name="_지정과제2차심의list_2_SM상호저축은행정산표(2005-1Q)_대신증권 정산표3Q-ver1.0" xfId="903" xr:uid="{00000000-0005-0000-0000-0000D2020000}"/>
    <cellStyle name="_지정과제2차심의list_2_SM상호저축은행정산표(2005-1Q)_보고용PL" xfId="904" xr:uid="{00000000-0005-0000-0000-0000D3020000}"/>
    <cellStyle name="_지정과제2차심의list_2_SM상호저축은행정산표(2005-1Q)_현금흐름표(보고용)" xfId="905" xr:uid="{00000000-0005-0000-0000-0000D4020000}"/>
    <cellStyle name="_지정과제2차심의list_2_SM상호저축은행정산표(2005-1Q)_현금흐름표(보고용)_0417" xfId="906" xr:uid="{00000000-0005-0000-0000-0000D5020000}"/>
    <cellStyle name="_지정과제2차심의결과" xfId="907" xr:uid="{00000000-0005-0000-0000-0000D6020000}"/>
    <cellStyle name="_지정과제2차심의결과(금액조정후최종)" xfId="908" xr:uid="{00000000-0005-0000-0000-0000D7020000}"/>
    <cellStyle name="_지정과제2차심의결과(금액조정후최종)_1" xfId="909" xr:uid="{00000000-0005-0000-0000-0000D8020000}"/>
    <cellStyle name="_지정과제2차심의결과(금액조정후최종)_SM상호저축은행정산표(2005-1Q)" xfId="910" xr:uid="{00000000-0005-0000-0000-0000D9020000}"/>
    <cellStyle name="_지정과제2차심의결과(금액조정후최종)_SM상호저축은행정산표(2005-1Q)_Book1" xfId="911" xr:uid="{00000000-0005-0000-0000-0000DA020000}"/>
    <cellStyle name="_지정과제2차심의결과(금액조정후최종)_SM상호저축은행정산표(2005-1Q)_SM상호저축은행수정사항(2005-3Q)-0414" xfId="912" xr:uid="{00000000-0005-0000-0000-0000DB020000}"/>
    <cellStyle name="_지정과제2차심의결과(금액조정후최종)_SM상호저축은행정산표(2005-1Q)_SM상호저축은행정산표(2005-2Q)-0127" xfId="913" xr:uid="{00000000-0005-0000-0000-0000DC020000}"/>
    <cellStyle name="_지정과제2차심의결과(금액조정후최종)_SM상호저축은행정산표(2005-1Q)_누적현금흐름" xfId="914" xr:uid="{00000000-0005-0000-0000-0000DD020000}"/>
    <cellStyle name="_지정과제2차심의결과(금액조정후최종)_SM상호저축은행정산표(2005-1Q)_대신증권 각주" xfId="915" xr:uid="{00000000-0005-0000-0000-0000DE020000}"/>
    <cellStyle name="_지정과제2차심의결과(금액조정후최종)_SM상호저축은행정산표(2005-1Q)_대신증권 정산표2Q-ver0" xfId="916" xr:uid="{00000000-0005-0000-0000-0000DF020000}"/>
    <cellStyle name="_지정과제2차심의결과(금액조정후최종)_SM상호저축은행정산표(2005-1Q)_대신증권 정산표2Q-ver4" xfId="917" xr:uid="{00000000-0005-0000-0000-0000E0020000}"/>
    <cellStyle name="_지정과제2차심의결과(금액조정후최종)_SM상호저축은행정산표(2005-1Q)_대신증권 정산표2Q-ver5" xfId="918" xr:uid="{00000000-0005-0000-0000-0000E1020000}"/>
    <cellStyle name="_지정과제2차심의결과(금액조정후최종)_SM상호저축은행정산표(2005-1Q)_대신증권 정산표3Q-ver1.0" xfId="919" xr:uid="{00000000-0005-0000-0000-0000E2020000}"/>
    <cellStyle name="_지정과제2차심의결과(금액조정후최종)_SM상호저축은행정산표(2005-1Q)_보고용PL" xfId="920" xr:uid="{00000000-0005-0000-0000-0000E3020000}"/>
    <cellStyle name="_지정과제2차심의결과(금액조정후최종)_SM상호저축은행정산표(2005-1Q)_현금흐름표(보고용)" xfId="921" xr:uid="{00000000-0005-0000-0000-0000E4020000}"/>
    <cellStyle name="_지정과제2차심의결과(금액조정후최종)_SM상호저축은행정산표(2005-1Q)_현금흐름표(보고용)_0417" xfId="922" xr:uid="{00000000-0005-0000-0000-0000E5020000}"/>
    <cellStyle name="_지정과제2차심의결과_1" xfId="923" xr:uid="{00000000-0005-0000-0000-0000E6020000}"/>
    <cellStyle name="_지정과제2차심의결과_SM상호저축은행정산표(2005-1Q)" xfId="924" xr:uid="{00000000-0005-0000-0000-0000E7020000}"/>
    <cellStyle name="_지정과제2차심의결과_SM상호저축은행정산표(2005-1Q)_Book1" xfId="925" xr:uid="{00000000-0005-0000-0000-0000E8020000}"/>
    <cellStyle name="_지정과제2차심의결과_SM상호저축은행정산표(2005-1Q)_SM상호저축은행수정사항(2005-3Q)-0414" xfId="926" xr:uid="{00000000-0005-0000-0000-0000E9020000}"/>
    <cellStyle name="_지정과제2차심의결과_SM상호저축은행정산표(2005-1Q)_SM상호저축은행정산표(2005-2Q)-0127" xfId="927" xr:uid="{00000000-0005-0000-0000-0000EA020000}"/>
    <cellStyle name="_지정과제2차심의결과_SM상호저축은행정산표(2005-1Q)_누적현금흐름" xfId="928" xr:uid="{00000000-0005-0000-0000-0000EB020000}"/>
    <cellStyle name="_지정과제2차심의결과_SM상호저축은행정산표(2005-1Q)_대신증권 각주" xfId="929" xr:uid="{00000000-0005-0000-0000-0000EC020000}"/>
    <cellStyle name="_지정과제2차심의결과_SM상호저축은행정산표(2005-1Q)_대신증권 정산표2Q-ver0" xfId="930" xr:uid="{00000000-0005-0000-0000-0000ED020000}"/>
    <cellStyle name="_지정과제2차심의결과_SM상호저축은행정산표(2005-1Q)_대신증권 정산표2Q-ver4" xfId="931" xr:uid="{00000000-0005-0000-0000-0000EE020000}"/>
    <cellStyle name="_지정과제2차심의결과_SM상호저축은행정산표(2005-1Q)_대신증권 정산표2Q-ver5" xfId="932" xr:uid="{00000000-0005-0000-0000-0000EF020000}"/>
    <cellStyle name="_지정과제2차심의결과_SM상호저축은행정산표(2005-1Q)_대신증권 정산표3Q-ver1.0" xfId="933" xr:uid="{00000000-0005-0000-0000-0000F0020000}"/>
    <cellStyle name="_지정과제2차심의결과_SM상호저축은행정산표(2005-1Q)_보고용PL" xfId="934" xr:uid="{00000000-0005-0000-0000-0000F1020000}"/>
    <cellStyle name="_지정과제2차심의결과_SM상호저축은행정산표(2005-1Q)_현금흐름표(보고용)" xfId="935" xr:uid="{00000000-0005-0000-0000-0000F2020000}"/>
    <cellStyle name="_지정과제2차심의결과_SM상호저축은행정산표(2005-1Q)_현금흐름표(보고용)_0417" xfId="936" xr:uid="{00000000-0005-0000-0000-0000F3020000}"/>
    <cellStyle name="_지티웹정산표0211" xfId="937" xr:uid="{00000000-0005-0000-0000-0000F4020000}"/>
    <cellStyle name="_집중관리(981231)" xfId="938" xr:uid="{00000000-0005-0000-0000-0000F5020000}"/>
    <cellStyle name="_집중관리(981231)_1" xfId="939" xr:uid="{00000000-0005-0000-0000-0000F6020000}"/>
    <cellStyle name="_집중관리(981231)_1_SM상호저축은행정산표(2005-1Q)" xfId="940" xr:uid="{00000000-0005-0000-0000-0000F7020000}"/>
    <cellStyle name="_집중관리(981231)_1_SM상호저축은행정산표(2005-1Q)_Book1" xfId="941" xr:uid="{00000000-0005-0000-0000-0000F8020000}"/>
    <cellStyle name="_집중관리(981231)_1_SM상호저축은행정산표(2005-1Q)_SM상호저축은행수정사항(2005-3Q)-0414" xfId="942" xr:uid="{00000000-0005-0000-0000-0000F9020000}"/>
    <cellStyle name="_집중관리(981231)_1_SM상호저축은행정산표(2005-1Q)_SM상호저축은행정산표(2005-2Q)-0127" xfId="943" xr:uid="{00000000-0005-0000-0000-0000FA020000}"/>
    <cellStyle name="_집중관리(981231)_1_SM상호저축은행정산표(2005-1Q)_누적현금흐름" xfId="944" xr:uid="{00000000-0005-0000-0000-0000FB020000}"/>
    <cellStyle name="_집중관리(981231)_1_SM상호저축은행정산표(2005-1Q)_대신증권 각주" xfId="945" xr:uid="{00000000-0005-0000-0000-0000FC020000}"/>
    <cellStyle name="_집중관리(981231)_1_SM상호저축은행정산표(2005-1Q)_대신증권 정산표2Q-ver0" xfId="946" xr:uid="{00000000-0005-0000-0000-0000FD020000}"/>
    <cellStyle name="_집중관리(981231)_1_SM상호저축은행정산표(2005-1Q)_대신증권 정산표2Q-ver4" xfId="947" xr:uid="{00000000-0005-0000-0000-0000FE020000}"/>
    <cellStyle name="_집중관리(981231)_1_SM상호저축은행정산표(2005-1Q)_대신증권 정산표2Q-ver5" xfId="948" xr:uid="{00000000-0005-0000-0000-0000FF020000}"/>
    <cellStyle name="_집중관리(981231)_1_SM상호저축은행정산표(2005-1Q)_대신증권 정산표3Q-ver1.0" xfId="949" xr:uid="{00000000-0005-0000-0000-000000030000}"/>
    <cellStyle name="_집중관리(981231)_1_SM상호저축은행정산표(2005-1Q)_보고용PL" xfId="950" xr:uid="{00000000-0005-0000-0000-000001030000}"/>
    <cellStyle name="_집중관리(981231)_1_SM상호저축은행정산표(2005-1Q)_현금흐름표(보고용)" xfId="951" xr:uid="{00000000-0005-0000-0000-000002030000}"/>
    <cellStyle name="_집중관리(981231)_1_SM상호저축은행정산표(2005-1Q)_현금흐름표(보고용)_0417" xfId="952" xr:uid="{00000000-0005-0000-0000-000003030000}"/>
    <cellStyle name="_집중관리(지정과제및 양식)" xfId="953" xr:uid="{00000000-0005-0000-0000-000004030000}"/>
    <cellStyle name="_집중관리(지정과제및 양식)_1" xfId="954" xr:uid="{00000000-0005-0000-0000-000005030000}"/>
    <cellStyle name="_집중관리(지정과제및 양식)_SM상호저축은행정산표(2005-1Q)" xfId="955" xr:uid="{00000000-0005-0000-0000-000006030000}"/>
    <cellStyle name="_집중관리(지정과제및 양식)_SM상호저축은행정산표(2005-1Q)_Book1" xfId="956" xr:uid="{00000000-0005-0000-0000-000007030000}"/>
    <cellStyle name="_집중관리(지정과제및 양식)_SM상호저축은행정산표(2005-1Q)_SM상호저축은행수정사항(2005-3Q)-0414" xfId="957" xr:uid="{00000000-0005-0000-0000-000008030000}"/>
    <cellStyle name="_집중관리(지정과제및 양식)_SM상호저축은행정산표(2005-1Q)_SM상호저축은행정산표(2005-2Q)-0127" xfId="958" xr:uid="{00000000-0005-0000-0000-000009030000}"/>
    <cellStyle name="_집중관리(지정과제및 양식)_SM상호저축은행정산표(2005-1Q)_누적현금흐름" xfId="959" xr:uid="{00000000-0005-0000-0000-00000A030000}"/>
    <cellStyle name="_집중관리(지정과제및 양식)_SM상호저축은행정산표(2005-1Q)_대신증권 각주" xfId="960" xr:uid="{00000000-0005-0000-0000-00000B030000}"/>
    <cellStyle name="_집중관리(지정과제및 양식)_SM상호저축은행정산표(2005-1Q)_대신증권 정산표2Q-ver0" xfId="961" xr:uid="{00000000-0005-0000-0000-00000C030000}"/>
    <cellStyle name="_집중관리(지정과제및 양식)_SM상호저축은행정산표(2005-1Q)_대신증권 정산표2Q-ver4" xfId="962" xr:uid="{00000000-0005-0000-0000-00000D030000}"/>
    <cellStyle name="_집중관리(지정과제및 양식)_SM상호저축은행정산표(2005-1Q)_대신증권 정산표2Q-ver5" xfId="963" xr:uid="{00000000-0005-0000-0000-00000E030000}"/>
    <cellStyle name="_집중관리(지정과제및 양식)_SM상호저축은행정산표(2005-1Q)_대신증권 정산표3Q-ver1.0" xfId="964" xr:uid="{00000000-0005-0000-0000-00000F030000}"/>
    <cellStyle name="_집중관리(지정과제및 양식)_SM상호저축은행정산표(2005-1Q)_보고용PL" xfId="965" xr:uid="{00000000-0005-0000-0000-000010030000}"/>
    <cellStyle name="_집중관리(지정과제및 양식)_SM상호저축은행정산표(2005-1Q)_현금흐름표(보고용)" xfId="966" xr:uid="{00000000-0005-0000-0000-000011030000}"/>
    <cellStyle name="_집중관리(지정과제및 양식)_SM상호저축은행정산표(2005-1Q)_현금흐름표(보고용)_0417" xfId="967" xr:uid="{00000000-0005-0000-0000-000012030000}"/>
    <cellStyle name="_차입금" xfId="968" xr:uid="{00000000-0005-0000-0000-000013030000}"/>
    <cellStyle name="_차입금퇴충" xfId="969" xr:uid="{00000000-0005-0000-0000-000014030000}"/>
    <cellStyle name="_차체 (2)" xfId="970" xr:uid="{00000000-0005-0000-0000-000015030000}"/>
    <cellStyle name="_차체 (2)_1" xfId="971" xr:uid="{00000000-0005-0000-0000-000016030000}"/>
    <cellStyle name="_차체 (2)_1_현대자산운용 201003_중요성기준_최종" xfId="972" xr:uid="{00000000-0005-0000-0000-000017030000}"/>
    <cellStyle name="_참고지표" xfId="973" xr:uid="{00000000-0005-0000-0000-000018030000}"/>
    <cellStyle name="_총괄집계표(인력,투자,기타)-1026" xfId="974" xr:uid="{00000000-0005-0000-0000-000019030000}"/>
    <cellStyle name="_출연료촬영작성양식(20021231)" xfId="975" xr:uid="{00000000-0005-0000-0000-00001A030000}"/>
    <cellStyle name="_출연료촬영작성양식(20021231)의 2" xfId="976" xr:uid="{00000000-0005-0000-0000-00001B030000}"/>
    <cellStyle name="_케이씨텍 2002 기말_김항규4_AJE합산)최종송부" xfId="977" xr:uid="{00000000-0005-0000-0000-00001C030000}"/>
    <cellStyle name="_케이씨텍_2003(3Q)_결산명세서" xfId="978" xr:uid="{00000000-0005-0000-0000-00001D030000}"/>
    <cellStyle name="_케이씨텍_2003기말(SSK)" xfId="979" xr:uid="{00000000-0005-0000-0000-00001E030000}"/>
    <cellStyle name="_케이씨텍_현금및현금등가물_03_기말" xfId="980" xr:uid="{00000000-0005-0000-0000-00001F030000}"/>
    <cellStyle name="_케이씨텍02반기(권규한)" xfId="981" xr:uid="{00000000-0005-0000-0000-000020030000}"/>
    <cellStyle name="_코아매직 2002년 기말감사조서" xfId="982" xr:uid="{00000000-0005-0000-0000-000021030000}"/>
    <cellStyle name="_코아매직정산표&amp;CF(2003.2.6_hsj)" xfId="983" xr:uid="{00000000-0005-0000-0000-000022030000}"/>
    <cellStyle name="_코아매직현금흐름표0822-1" xfId="984" xr:uid="{00000000-0005-0000-0000-000023030000}"/>
    <cellStyle name="_코아코아" xfId="985" xr:uid="{00000000-0005-0000-0000-000024030000}"/>
    <cellStyle name="_코아코아02" xfId="986" xr:uid="{00000000-0005-0000-0000-000025030000}"/>
    <cellStyle name="_큐릭스_02결산서" xfId="987" xr:uid="{00000000-0005-0000-0000-000026030000}"/>
    <cellStyle name="_큐릭스_02기말" xfId="988" xr:uid="{00000000-0005-0000-0000-000027030000}"/>
    <cellStyle name="_클로징정리한파일" xfId="989" xr:uid="{00000000-0005-0000-0000-000028030000}"/>
    <cellStyle name="_퇴직급여충당금" xfId="990" xr:uid="{00000000-0005-0000-0000-000029030000}"/>
    <cellStyle name="_투어_20030930_현금흐름표" xfId="991" xr:uid="{00000000-0005-0000-0000-00002A030000}"/>
    <cellStyle name="_투어_기말조서_정승진" xfId="992" xr:uid="{00000000-0005-0000-0000-00002B030000}"/>
    <cellStyle name="_투자전망(0320)" xfId="993" xr:uid="{00000000-0005-0000-0000-00002C030000}"/>
    <cellStyle name="_티엔터(80%)" xfId="994" xr:uid="{00000000-0005-0000-0000-00002D030000}"/>
    <cellStyle name="_판관,제조경비" xfId="995" xr:uid="{00000000-0005-0000-0000-00002E030000}"/>
    <cellStyle name="_판관비 LS" xfId="996" xr:uid="{00000000-0005-0000-0000-00002F030000}"/>
    <cellStyle name="_퍼시스-반기검토조서" xfId="997" xr:uid="{00000000-0005-0000-0000-000030030000}"/>
    <cellStyle name="_평가손실설정근거(3분기)" xfId="998" xr:uid="{00000000-0005-0000-0000-000031030000}"/>
    <cellStyle name="_포인칩스정산김서식" xfId="999" xr:uid="{00000000-0005-0000-0000-000032030000}"/>
    <cellStyle name="_포인칩스정산표0110" xfId="1000" xr:uid="{00000000-0005-0000-0000-000033030000}"/>
    <cellStyle name="_포항실행견적내역" xfId="1001" xr:uid="{00000000-0005-0000-0000-000034030000}"/>
    <cellStyle name="_프라임04반기" xfId="1002" xr:uid="{00000000-0005-0000-0000-000035030000}"/>
    <cellStyle name="_프라임-정산표040729" xfId="1003" xr:uid="{00000000-0005-0000-0000-000036030000}"/>
    <cellStyle name="_하이스틸04_반기_정산표_0812_최종" xfId="1004" xr:uid="{00000000-0005-0000-0000-000037030000}"/>
    <cellStyle name="_한경비피조서0216" xfId="1005" xr:uid="{00000000-0005-0000-0000-000038030000}"/>
    <cellStyle name="_한누리04 정산표4월30일" xfId="1006" xr:uid="{00000000-0005-0000-0000-000039030000}"/>
    <cellStyle name="-_한세전자02반기분석조서" xfId="1007" xr:uid="{00000000-0005-0000-0000-00003A030000}"/>
    <cellStyle name="-_한세전자02반기분석조서_(주)Mcnulty_Cashflowstatement_2005" xfId="1008" xr:uid="{00000000-0005-0000-0000-00003B030000}"/>
    <cellStyle name="-_한세전자02반기분석조서_(주)맥널티 주석사항" xfId="1009" xr:uid="{00000000-0005-0000-0000-00003C030000}"/>
    <cellStyle name="-_한세전자02반기분석조서_PJ Electric_자본변동표" xfId="1010" xr:uid="{00000000-0005-0000-0000-00003D030000}"/>
    <cellStyle name="-_한세전자02반기분석조서_법인세비용" xfId="1011" xr:uid="{00000000-0005-0000-0000-00003E030000}"/>
    <cellStyle name="-_한세전자02반기분석조서_법인세비용_(주)Mcnulty_Cashflowstatement_2005" xfId="1012" xr:uid="{00000000-0005-0000-0000-00003F030000}"/>
    <cellStyle name="-_한세전자02반기분석조서_법인세비용_(주)맥널티 주석사항" xfId="1013" xr:uid="{00000000-0005-0000-0000-000040030000}"/>
    <cellStyle name="_한주케미칼 채권채무재조정2003.12" xfId="1014" xr:uid="{00000000-0005-0000-0000-000041030000}"/>
    <cellStyle name="_현금과예금-3Q-new" xfId="1015" xr:uid="{00000000-0005-0000-0000-000042030000}"/>
    <cellStyle name="_현금등" xfId="1016" xr:uid="{00000000-0005-0000-0000-000043030000}"/>
    <cellStyle name="_현금및현금등가물(수정)" xfId="1017" xr:uid="{00000000-0005-0000-0000-000044030000}"/>
    <cellStyle name="_현금흐름표 교육자료 021129" xfId="1018" xr:uid="{00000000-0005-0000-0000-000045030000}"/>
    <cellStyle name="_현금흐름표-Template" xfId="1019" xr:uid="{00000000-0005-0000-0000-000046030000}"/>
    <cellStyle name="_현금흐름표두번째" xfId="1020" xr:uid="{00000000-0005-0000-0000-000047030000}"/>
    <cellStyle name="_현금흐름표최종" xfId="1021" xr:uid="{00000000-0005-0000-0000-000048030000}"/>
    <cellStyle name="_현대기업금융최종수정정산표" xfId="1022" xr:uid="{00000000-0005-0000-0000-000049030000}"/>
    <cellStyle name="_협의회부속양식_최종" xfId="1023" xr:uid="{00000000-0005-0000-0000-00004A030000}"/>
    <cellStyle name="_화우정산표20040319-2" xfId="1024" xr:uid="{00000000-0005-0000-0000-00004B030000}"/>
    <cellStyle name="|: 데이터를 읽는 중 ..." xfId="1025" xr:uid="{00000000-0005-0000-0000-00004C030000}"/>
    <cellStyle name="’E‰Y [0.00]_laroux" xfId="1026" xr:uid="{00000000-0005-0000-0000-00004D030000}"/>
    <cellStyle name="’E‰Y_laroux" xfId="1027" xr:uid="{00000000-0005-0000-0000-00004E030000}"/>
    <cellStyle name="¤@?e_laroux" xfId="1028" xr:uid="{00000000-0005-0000-0000-00004F030000}"/>
    <cellStyle name="¤d¤A|i[0]_laroux" xfId="1029" xr:uid="{00000000-0005-0000-0000-000050030000}"/>
    <cellStyle name="¤d¤A|i_laroux" xfId="1030" xr:uid="{00000000-0005-0000-0000-000051030000}"/>
    <cellStyle name="≫o±O[0]_≫a×U " xfId="1031" xr:uid="{00000000-0005-0000-0000-000052030000}"/>
    <cellStyle name="≫o±O_≫a×U " xfId="1032" xr:uid="{00000000-0005-0000-0000-000053030000}"/>
    <cellStyle name="⥜준_제강원가최종_1" xfId="1033" xr:uid="{00000000-0005-0000-0000-000054030000}"/>
    <cellStyle name="△백분율" xfId="1034" xr:uid="{00000000-0005-0000-0000-000055030000}"/>
    <cellStyle name="△콤마" xfId="1035" xr:uid="{00000000-0005-0000-0000-000056030000}"/>
    <cellStyle name="•W_Book3" xfId="1036" xr:uid="{00000000-0005-0000-0000-000057030000}"/>
    <cellStyle name="᠀ŀ" xfId="1037" xr:uid="{00000000-0005-0000-0000-000058030000}"/>
    <cellStyle name="᠀ŀŀ䅀᠀ŀŀ䅀᠀ŀ" xfId="1038" xr:uid="{00000000-0005-0000-0000-000059030000}"/>
    <cellStyle name="᠀ŀŀ䅀᠀ŀŀ䅀᠀ŀŀ䅀᠀ŀŀ䅀᠀ŀŀ䅀᠀ŀŀ䅀᠀ŀŀ䅀᠀ŀŀ䅀᠀ŀŀ䅀᠀ŀ" xfId="1039" xr:uid="{00000000-0005-0000-0000-00005A030000}"/>
    <cellStyle name="æøè [0.00" xfId="1040" xr:uid="{00000000-0005-0000-0000-00005B030000}"/>
    <cellStyle name="æØè [0.00]_PRODUCT DETAIL Q1" xfId="1041" xr:uid="{00000000-0005-0000-0000-00005C030000}"/>
    <cellStyle name="æøè_produ" xfId="1042" xr:uid="{00000000-0005-0000-0000-00005D030000}"/>
    <cellStyle name="êý [0.00]_pr" xfId="1043" xr:uid="{00000000-0005-0000-0000-00005E030000}"/>
    <cellStyle name="êý_product d" xfId="1044" xr:uid="{00000000-0005-0000-0000-00005F030000}"/>
    <cellStyle name="W?_BOOKSHIP" xfId="1045" xr:uid="{00000000-0005-0000-0000-000060030000}"/>
    <cellStyle name="W_BOOKSHIP" xfId="1046" xr:uid="{00000000-0005-0000-0000-000061030000}"/>
    <cellStyle name="0" xfId="1047" xr:uid="{00000000-0005-0000-0000-000062030000}"/>
    <cellStyle name="0%" xfId="1048" xr:uid="{00000000-0005-0000-0000-000063030000}"/>
    <cellStyle name="0,0_x000d__x000a_NA_x000d__x000a_" xfId="173" xr:uid="{00000000-0005-0000-0000-000064030000}"/>
    <cellStyle name="0,0_x000d__x000a_NA_x000d__x000a_ 2" xfId="1049" xr:uid="{00000000-0005-0000-0000-000065030000}"/>
    <cellStyle name="0,0_x000d__x000a_NA_x000d__x000a_ 3" xfId="1050" xr:uid="{00000000-0005-0000-0000-000066030000}"/>
    <cellStyle name="0.0" xfId="1051" xr:uid="{00000000-0005-0000-0000-000067030000}"/>
    <cellStyle name="0.0%" xfId="1052" xr:uid="{00000000-0005-0000-0000-000068030000}"/>
    <cellStyle name="0.0_수정사항리스트_0906_현대선물" xfId="1053" xr:uid="{00000000-0005-0000-0000-000069030000}"/>
    <cellStyle name="0.00" xfId="1054" xr:uid="{00000000-0005-0000-0000-00006A030000}"/>
    <cellStyle name="0.00%" xfId="1055" xr:uid="{00000000-0005-0000-0000-00006B030000}"/>
    <cellStyle name="0.000%" xfId="1056" xr:uid="{00000000-0005-0000-0000-00006C030000}"/>
    <cellStyle name="0.0000%" xfId="1057" xr:uid="{00000000-0005-0000-0000-00006D030000}"/>
    <cellStyle name="¾E°CE¸°e¹yAI" xfId="1058" xr:uid="{00000000-0005-0000-0000-00006E030000}"/>
    <cellStyle name="1" xfId="1059" xr:uid="{00000000-0005-0000-0000-00006F030000}"/>
    <cellStyle name="1_1127PHM (2)" xfId="1060" xr:uid="{00000000-0005-0000-0000-000070030000}"/>
    <cellStyle name="1_1127PHM (4)" xfId="1061" xr:uid="{00000000-0005-0000-0000-000071030000}"/>
    <cellStyle name="1_2000PN지침" xfId="1062" xr:uid="{00000000-0005-0000-0000-000072030000}"/>
    <cellStyle name="1_918PHM (2)" xfId="1063" xr:uid="{00000000-0005-0000-0000-000073030000}"/>
    <cellStyle name="1_97년PI333종합" xfId="1064" xr:uid="{00000000-0005-0000-0000-000074030000}"/>
    <cellStyle name="1_CRD판매 (2)" xfId="1065" xr:uid="{00000000-0005-0000-0000-000075030000}"/>
    <cellStyle name="1_MC&amp;다변화" xfId="1066" xr:uid="{00000000-0005-0000-0000-000076030000}"/>
    <cellStyle name="1_다변화SAMPLE" xfId="1067" xr:uid="{00000000-0005-0000-0000-000077030000}"/>
    <cellStyle name="100" xfId="1068" xr:uid="{00000000-0005-0000-0000-000078030000}"/>
    <cellStyle name="12" xfId="1069" xr:uid="{00000000-0005-0000-0000-000079030000}"/>
    <cellStyle name="-156300" xfId="1070" xr:uid="{00000000-0005-0000-0000-00007A030000}"/>
    <cellStyle name="16" xfId="1071" xr:uid="{00000000-0005-0000-0000-00007B030000}"/>
    <cellStyle name="19990216" xfId="1072" xr:uid="{00000000-0005-0000-0000-00007C030000}"/>
    <cellStyle name="¹éºðà²" xfId="1073" xr:uid="{00000000-0005-0000-0000-00007D030000}"/>
    <cellStyle name="¹eºÐA²_±aA¸" xfId="1074" xr:uid="{00000000-0005-0000-0000-00007E030000}"/>
    <cellStyle name="1월" xfId="1075" xr:uid="{00000000-0005-0000-0000-00007F030000}"/>
    <cellStyle name="1월 2" xfId="1076" xr:uid="{00000000-0005-0000-0000-000080030000}"/>
    <cellStyle name="20% - Accent1" xfId="1077" xr:uid="{00000000-0005-0000-0000-000081030000}"/>
    <cellStyle name="20% - Accent1 2" xfId="1078" xr:uid="{00000000-0005-0000-0000-000082030000}"/>
    <cellStyle name="20% - Accent2" xfId="1079" xr:uid="{00000000-0005-0000-0000-000083030000}"/>
    <cellStyle name="20% - Accent2 2" xfId="1080" xr:uid="{00000000-0005-0000-0000-000084030000}"/>
    <cellStyle name="20% - Accent3" xfId="1081" xr:uid="{00000000-0005-0000-0000-000085030000}"/>
    <cellStyle name="20% - Accent3 2" xfId="1082" xr:uid="{00000000-0005-0000-0000-000086030000}"/>
    <cellStyle name="20% - Accent4" xfId="1083" xr:uid="{00000000-0005-0000-0000-000087030000}"/>
    <cellStyle name="20% - Accent4 2" xfId="1084" xr:uid="{00000000-0005-0000-0000-000088030000}"/>
    <cellStyle name="20% - Accent5" xfId="1085" xr:uid="{00000000-0005-0000-0000-000089030000}"/>
    <cellStyle name="20% - Accent5 2" xfId="1086" xr:uid="{00000000-0005-0000-0000-00008A030000}"/>
    <cellStyle name="20% - Accent6" xfId="1087" xr:uid="{00000000-0005-0000-0000-00008B030000}"/>
    <cellStyle name="20% - Accent6 2" xfId="1088" xr:uid="{00000000-0005-0000-0000-00008C030000}"/>
    <cellStyle name="20% - 강조색1 10" xfId="1089" xr:uid="{00000000-0005-0000-0000-00008D030000}"/>
    <cellStyle name="20% - 강조색1 11" xfId="1090" xr:uid="{00000000-0005-0000-0000-00008E030000}"/>
    <cellStyle name="20% - 강조색1 12" xfId="1091" xr:uid="{00000000-0005-0000-0000-00008F030000}"/>
    <cellStyle name="20% - 강조색1 13" xfId="1092" xr:uid="{00000000-0005-0000-0000-000090030000}"/>
    <cellStyle name="20% - 강조색1 14" xfId="1093" xr:uid="{00000000-0005-0000-0000-000091030000}"/>
    <cellStyle name="20% - 강조색1 14 2" xfId="1094" xr:uid="{00000000-0005-0000-0000-000092030000}"/>
    <cellStyle name="20% - 강조색1 14 3" xfId="1095" xr:uid="{00000000-0005-0000-0000-000093030000}"/>
    <cellStyle name="20% - 강조색1 15" xfId="1096" xr:uid="{00000000-0005-0000-0000-000094030000}"/>
    <cellStyle name="20% - 강조색1 15 2" xfId="1097" xr:uid="{00000000-0005-0000-0000-000095030000}"/>
    <cellStyle name="20% - 강조색1 15 3" xfId="1098" xr:uid="{00000000-0005-0000-0000-000096030000}"/>
    <cellStyle name="20% - 강조색1 16" xfId="1099" xr:uid="{00000000-0005-0000-0000-000097030000}"/>
    <cellStyle name="20% - 강조색1 16 2" xfId="1100" xr:uid="{00000000-0005-0000-0000-000098030000}"/>
    <cellStyle name="20% - 강조색1 16 3" xfId="1101" xr:uid="{00000000-0005-0000-0000-000099030000}"/>
    <cellStyle name="20% - 강조색1 17" xfId="1102" xr:uid="{00000000-0005-0000-0000-00009A030000}"/>
    <cellStyle name="20% - 강조색1 17 2" xfId="1103" xr:uid="{00000000-0005-0000-0000-00009B030000}"/>
    <cellStyle name="20% - 강조색1 17 3" xfId="1104" xr:uid="{00000000-0005-0000-0000-00009C030000}"/>
    <cellStyle name="20% - 강조색1 18" xfId="1105" xr:uid="{00000000-0005-0000-0000-00009D030000}"/>
    <cellStyle name="20% - 강조색1 18 2" xfId="1106" xr:uid="{00000000-0005-0000-0000-00009E030000}"/>
    <cellStyle name="20% - 강조색1 18 3" xfId="1107" xr:uid="{00000000-0005-0000-0000-00009F030000}"/>
    <cellStyle name="20% - 강조색1 19" xfId="1108" xr:uid="{00000000-0005-0000-0000-0000A0030000}"/>
    <cellStyle name="20% - 강조색1 19 2" xfId="1109" xr:uid="{00000000-0005-0000-0000-0000A1030000}"/>
    <cellStyle name="20% - 강조색1 19 3" xfId="1110" xr:uid="{00000000-0005-0000-0000-0000A2030000}"/>
    <cellStyle name="20% - 강조색1 2" xfId="1111" xr:uid="{00000000-0005-0000-0000-0000A3030000}"/>
    <cellStyle name="20% - 강조색1 2 10" xfId="1112" xr:uid="{00000000-0005-0000-0000-0000A4030000}"/>
    <cellStyle name="20% - 강조색1 2 11" xfId="1113" xr:uid="{00000000-0005-0000-0000-0000A5030000}"/>
    <cellStyle name="20% - 강조색1 2 12" xfId="1114" xr:uid="{00000000-0005-0000-0000-0000A6030000}"/>
    <cellStyle name="20% - 강조색1 2 13" xfId="1115" xr:uid="{00000000-0005-0000-0000-0000A7030000}"/>
    <cellStyle name="20% - 강조색1 2 14" xfId="1116" xr:uid="{00000000-0005-0000-0000-0000A8030000}"/>
    <cellStyle name="20% - 강조색1 2 15" xfId="1117" xr:uid="{00000000-0005-0000-0000-0000A9030000}"/>
    <cellStyle name="20% - 강조색1 2 16" xfId="1118" xr:uid="{00000000-0005-0000-0000-0000AA030000}"/>
    <cellStyle name="20% - 강조색1 2 17" xfId="1119" xr:uid="{00000000-0005-0000-0000-0000AB030000}"/>
    <cellStyle name="20% - 강조색1 2 18" xfId="1120" xr:uid="{00000000-0005-0000-0000-0000AC030000}"/>
    <cellStyle name="20% - 강조색1 2 19" xfId="1121" xr:uid="{00000000-0005-0000-0000-0000AD030000}"/>
    <cellStyle name="20% - 강조색1 2 2" xfId="1122" xr:uid="{00000000-0005-0000-0000-0000AE030000}"/>
    <cellStyle name="20% - 강조색1 2 20" xfId="1123" xr:uid="{00000000-0005-0000-0000-0000AF030000}"/>
    <cellStyle name="20% - 강조색1 2 21" xfId="1124" xr:uid="{00000000-0005-0000-0000-0000B0030000}"/>
    <cellStyle name="20% - 강조색1 2 22" xfId="1125" xr:uid="{00000000-0005-0000-0000-0000B1030000}"/>
    <cellStyle name="20% - 강조색1 2 23" xfId="1126" xr:uid="{00000000-0005-0000-0000-0000B2030000}"/>
    <cellStyle name="20% - 강조색1 2 24" xfId="1127" xr:uid="{00000000-0005-0000-0000-0000B3030000}"/>
    <cellStyle name="20% - 강조색1 2 25" xfId="1128" xr:uid="{00000000-0005-0000-0000-0000B4030000}"/>
    <cellStyle name="20% - 강조색1 2 26" xfId="1129" xr:uid="{00000000-0005-0000-0000-0000B5030000}"/>
    <cellStyle name="20% - 강조색1 2 27" xfId="1130" xr:uid="{00000000-0005-0000-0000-0000B6030000}"/>
    <cellStyle name="20% - 강조색1 2 28" xfId="1131" xr:uid="{00000000-0005-0000-0000-0000B7030000}"/>
    <cellStyle name="20% - 강조색1 2 29" xfId="1132" xr:uid="{00000000-0005-0000-0000-0000B8030000}"/>
    <cellStyle name="20% - 강조색1 2 3" xfId="1133" xr:uid="{00000000-0005-0000-0000-0000B9030000}"/>
    <cellStyle name="20% - 강조색1 2 30" xfId="1134" xr:uid="{00000000-0005-0000-0000-0000BA030000}"/>
    <cellStyle name="20% - 강조색1 2 31" xfId="1135" xr:uid="{00000000-0005-0000-0000-0000BB030000}"/>
    <cellStyle name="20% - 강조색1 2 32" xfId="1136" xr:uid="{00000000-0005-0000-0000-0000BC030000}"/>
    <cellStyle name="20% - 강조색1 2 33" xfId="1137" xr:uid="{00000000-0005-0000-0000-0000BD030000}"/>
    <cellStyle name="20% - 강조색1 2 34" xfId="1138" xr:uid="{00000000-0005-0000-0000-0000BE030000}"/>
    <cellStyle name="20% - 강조색1 2 35" xfId="1139" xr:uid="{00000000-0005-0000-0000-0000BF030000}"/>
    <cellStyle name="20% - 강조색1 2 36" xfId="1140" xr:uid="{00000000-0005-0000-0000-0000C0030000}"/>
    <cellStyle name="20% - 강조색1 2 37" xfId="1141" xr:uid="{00000000-0005-0000-0000-0000C1030000}"/>
    <cellStyle name="20% - 강조색1 2 38" xfId="1142" xr:uid="{00000000-0005-0000-0000-0000C2030000}"/>
    <cellStyle name="20% - 강조색1 2 39" xfId="1143" xr:uid="{00000000-0005-0000-0000-0000C3030000}"/>
    <cellStyle name="20% - 강조색1 2 4" xfId="1144" xr:uid="{00000000-0005-0000-0000-0000C4030000}"/>
    <cellStyle name="20% - 강조색1 2 5" xfId="1145" xr:uid="{00000000-0005-0000-0000-0000C5030000}"/>
    <cellStyle name="20% - 강조색1 2 6" xfId="1146" xr:uid="{00000000-0005-0000-0000-0000C6030000}"/>
    <cellStyle name="20% - 강조색1 2 7" xfId="1147" xr:uid="{00000000-0005-0000-0000-0000C7030000}"/>
    <cellStyle name="20% - 강조색1 2 8" xfId="1148" xr:uid="{00000000-0005-0000-0000-0000C8030000}"/>
    <cellStyle name="20% - 강조색1 2 9" xfId="1149" xr:uid="{00000000-0005-0000-0000-0000C9030000}"/>
    <cellStyle name="20% - 강조색1 20" xfId="1150" xr:uid="{00000000-0005-0000-0000-0000CA030000}"/>
    <cellStyle name="20% - 강조색1 21" xfId="1151" xr:uid="{00000000-0005-0000-0000-0000CB030000}"/>
    <cellStyle name="20% - 강조색1 22" xfId="1152" xr:uid="{00000000-0005-0000-0000-0000CC030000}"/>
    <cellStyle name="20% - 강조색1 23" xfId="1153" xr:uid="{00000000-0005-0000-0000-0000CD030000}"/>
    <cellStyle name="20% - 강조색1 24" xfId="1154" xr:uid="{00000000-0005-0000-0000-0000CE030000}"/>
    <cellStyle name="20% - 강조색1 25" xfId="1155" xr:uid="{00000000-0005-0000-0000-0000CF030000}"/>
    <cellStyle name="20% - 강조색1 26" xfId="1156" xr:uid="{00000000-0005-0000-0000-0000D0030000}"/>
    <cellStyle name="20% - 강조색1 27" xfId="1157" xr:uid="{00000000-0005-0000-0000-0000D1030000}"/>
    <cellStyle name="20% - 강조색1 27 2" xfId="1158" xr:uid="{00000000-0005-0000-0000-0000D2030000}"/>
    <cellStyle name="20% - 강조색1 28" xfId="1159" xr:uid="{00000000-0005-0000-0000-0000D3030000}"/>
    <cellStyle name="20% - 강조색1 29" xfId="1160" xr:uid="{00000000-0005-0000-0000-0000D4030000}"/>
    <cellStyle name="20% - 강조색1 3" xfId="1161" xr:uid="{00000000-0005-0000-0000-0000D5030000}"/>
    <cellStyle name="20% - 강조색1 3 2" xfId="1162" xr:uid="{00000000-0005-0000-0000-0000D6030000}"/>
    <cellStyle name="20% - 강조색1 3 3" xfId="1163" xr:uid="{00000000-0005-0000-0000-0000D7030000}"/>
    <cellStyle name="20% - 강조색1 3 4" xfId="1164" xr:uid="{00000000-0005-0000-0000-0000D8030000}"/>
    <cellStyle name="20% - 강조색1 30" xfId="1165" xr:uid="{00000000-0005-0000-0000-0000D9030000}"/>
    <cellStyle name="20% - 강조색1 31" xfId="1166" xr:uid="{00000000-0005-0000-0000-0000DA030000}"/>
    <cellStyle name="20% - 강조색1 32" xfId="1167" xr:uid="{00000000-0005-0000-0000-0000DB030000}"/>
    <cellStyle name="20% - 강조색1 33" xfId="1168" xr:uid="{00000000-0005-0000-0000-0000DC030000}"/>
    <cellStyle name="20% - 강조색1 34" xfId="1169" xr:uid="{00000000-0005-0000-0000-0000DD030000}"/>
    <cellStyle name="20% - 강조색1 35" xfId="1170" xr:uid="{00000000-0005-0000-0000-0000DE030000}"/>
    <cellStyle name="20% - 강조색1 35 2" xfId="1171" xr:uid="{00000000-0005-0000-0000-0000DF030000}"/>
    <cellStyle name="20% - 강조색1 35 2 2" xfId="1172" xr:uid="{00000000-0005-0000-0000-0000E0030000}"/>
    <cellStyle name="20% - 강조색1 35 2 3" xfId="1173" xr:uid="{00000000-0005-0000-0000-0000E1030000}"/>
    <cellStyle name="20% - 강조색1 35 3" xfId="1174" xr:uid="{00000000-0005-0000-0000-0000E2030000}"/>
    <cellStyle name="20% - 강조색1 35 4" xfId="1175" xr:uid="{00000000-0005-0000-0000-0000E3030000}"/>
    <cellStyle name="20% - 강조색1 36" xfId="1176" xr:uid="{00000000-0005-0000-0000-0000E4030000}"/>
    <cellStyle name="20% - 강조색1 36 2" xfId="1177" xr:uid="{00000000-0005-0000-0000-0000E5030000}"/>
    <cellStyle name="20% - 강조색1 36 2 2" xfId="1178" xr:uid="{00000000-0005-0000-0000-0000E6030000}"/>
    <cellStyle name="20% - 강조색1 36 2 3" xfId="1179" xr:uid="{00000000-0005-0000-0000-0000E7030000}"/>
    <cellStyle name="20% - 강조색1 36 3" xfId="1180" xr:uid="{00000000-0005-0000-0000-0000E8030000}"/>
    <cellStyle name="20% - 강조색1 36 4" xfId="1181" xr:uid="{00000000-0005-0000-0000-0000E9030000}"/>
    <cellStyle name="20% - 강조색1 37" xfId="1182" xr:uid="{00000000-0005-0000-0000-0000EA030000}"/>
    <cellStyle name="20% - 강조색1 37 2" xfId="1183" xr:uid="{00000000-0005-0000-0000-0000EB030000}"/>
    <cellStyle name="20% - 강조색1 37 3" xfId="1184" xr:uid="{00000000-0005-0000-0000-0000EC030000}"/>
    <cellStyle name="20% - 강조색1 37 4" xfId="1185" xr:uid="{00000000-0005-0000-0000-0000ED030000}"/>
    <cellStyle name="20% - 강조색1 38" xfId="1186" xr:uid="{00000000-0005-0000-0000-0000EE030000}"/>
    <cellStyle name="20% - 강조색1 39" xfId="1187" xr:uid="{00000000-0005-0000-0000-0000EF030000}"/>
    <cellStyle name="20% - 강조색1 4" xfId="1188" xr:uid="{00000000-0005-0000-0000-0000F0030000}"/>
    <cellStyle name="20% - 강조색1 4 2" xfId="1189" xr:uid="{00000000-0005-0000-0000-0000F1030000}"/>
    <cellStyle name="20% - 강조색1 4 3" xfId="1190" xr:uid="{00000000-0005-0000-0000-0000F2030000}"/>
    <cellStyle name="20% - 강조색1 4 4" xfId="1191" xr:uid="{00000000-0005-0000-0000-0000F3030000}"/>
    <cellStyle name="20% - 강조색1 40" xfId="1192" xr:uid="{00000000-0005-0000-0000-0000F4030000}"/>
    <cellStyle name="20% - 강조색1 41" xfId="1193" xr:uid="{00000000-0005-0000-0000-0000F5030000}"/>
    <cellStyle name="20% - 강조색1 42" xfId="1194" xr:uid="{00000000-0005-0000-0000-0000F6030000}"/>
    <cellStyle name="20% - 강조색1 43" xfId="1195" xr:uid="{00000000-0005-0000-0000-0000F7030000}"/>
    <cellStyle name="20% - 강조색1 44" xfId="1196" xr:uid="{00000000-0005-0000-0000-0000F8030000}"/>
    <cellStyle name="20% - 강조색1 44 2" xfId="1197" xr:uid="{00000000-0005-0000-0000-0000F9030000}"/>
    <cellStyle name="20% - 강조색1 44 3" xfId="1198" xr:uid="{00000000-0005-0000-0000-0000FA030000}"/>
    <cellStyle name="20% - 강조색1 45" xfId="1199" xr:uid="{00000000-0005-0000-0000-0000FB030000}"/>
    <cellStyle name="20% - 강조색1 45 2" xfId="1200" xr:uid="{00000000-0005-0000-0000-0000FC030000}"/>
    <cellStyle name="20% - 강조색1 45 3" xfId="1201" xr:uid="{00000000-0005-0000-0000-0000FD030000}"/>
    <cellStyle name="20% - 강조색1 46" xfId="1202" xr:uid="{00000000-0005-0000-0000-0000FE030000}"/>
    <cellStyle name="20% - 강조색1 47" xfId="1203" xr:uid="{00000000-0005-0000-0000-0000FF030000}"/>
    <cellStyle name="20% - 강조색1 48" xfId="1204" xr:uid="{00000000-0005-0000-0000-000000040000}"/>
    <cellStyle name="20% - 강조색1 49" xfId="1205" xr:uid="{00000000-0005-0000-0000-000001040000}"/>
    <cellStyle name="20% - 강조색1 5" xfId="1206" xr:uid="{00000000-0005-0000-0000-000002040000}"/>
    <cellStyle name="20% - 강조색1 5 2" xfId="1207" xr:uid="{00000000-0005-0000-0000-000003040000}"/>
    <cellStyle name="20% - 강조색1 5 3" xfId="1208" xr:uid="{00000000-0005-0000-0000-000004040000}"/>
    <cellStyle name="20% - 강조색1 5 4" xfId="1209" xr:uid="{00000000-0005-0000-0000-000005040000}"/>
    <cellStyle name="20% - 강조색1 50" xfId="1210" xr:uid="{00000000-0005-0000-0000-000006040000}"/>
    <cellStyle name="20% - 강조색1 51" xfId="1211" xr:uid="{00000000-0005-0000-0000-000007040000}"/>
    <cellStyle name="20% - 강조색1 52" xfId="1212" xr:uid="{00000000-0005-0000-0000-000008040000}"/>
    <cellStyle name="20% - 강조색1 53" xfId="1213" xr:uid="{00000000-0005-0000-0000-000009040000}"/>
    <cellStyle name="20% - 강조색1 54" xfId="1214" xr:uid="{00000000-0005-0000-0000-00000A040000}"/>
    <cellStyle name="20% - 강조색1 55" xfId="1215" xr:uid="{00000000-0005-0000-0000-00000B040000}"/>
    <cellStyle name="20% - 강조색1 6" xfId="1216" xr:uid="{00000000-0005-0000-0000-00000C040000}"/>
    <cellStyle name="20% - 강조색1 6 2" xfId="1217" xr:uid="{00000000-0005-0000-0000-00000D040000}"/>
    <cellStyle name="20% - 강조색1 6 3" xfId="1218" xr:uid="{00000000-0005-0000-0000-00000E040000}"/>
    <cellStyle name="20% - 강조색1 6 4" xfId="1219" xr:uid="{00000000-0005-0000-0000-00000F040000}"/>
    <cellStyle name="20% - 강조색1 7" xfId="1220" xr:uid="{00000000-0005-0000-0000-000010040000}"/>
    <cellStyle name="20% - 강조색1 7 2" xfId="1221" xr:uid="{00000000-0005-0000-0000-000011040000}"/>
    <cellStyle name="20% - 강조색1 7 3" xfId="1222" xr:uid="{00000000-0005-0000-0000-000012040000}"/>
    <cellStyle name="20% - 강조색1 7 4" xfId="1223" xr:uid="{00000000-0005-0000-0000-000013040000}"/>
    <cellStyle name="20% - 강조색1 8" xfId="1224" xr:uid="{00000000-0005-0000-0000-000014040000}"/>
    <cellStyle name="20% - 강조색1 9" xfId="1225" xr:uid="{00000000-0005-0000-0000-000015040000}"/>
    <cellStyle name="20% - 강조색2 10" xfId="1226" xr:uid="{00000000-0005-0000-0000-000016040000}"/>
    <cellStyle name="20% - 강조색2 11" xfId="1227" xr:uid="{00000000-0005-0000-0000-000017040000}"/>
    <cellStyle name="20% - 강조색2 12" xfId="1228" xr:uid="{00000000-0005-0000-0000-000018040000}"/>
    <cellStyle name="20% - 강조색2 13" xfId="1229" xr:uid="{00000000-0005-0000-0000-000019040000}"/>
    <cellStyle name="20% - 강조색2 14" xfId="1230" xr:uid="{00000000-0005-0000-0000-00001A040000}"/>
    <cellStyle name="20% - 강조색2 14 2" xfId="1231" xr:uid="{00000000-0005-0000-0000-00001B040000}"/>
    <cellStyle name="20% - 강조색2 14 3" xfId="1232" xr:uid="{00000000-0005-0000-0000-00001C040000}"/>
    <cellStyle name="20% - 강조색2 15" xfId="1233" xr:uid="{00000000-0005-0000-0000-00001D040000}"/>
    <cellStyle name="20% - 강조색2 15 2" xfId="1234" xr:uid="{00000000-0005-0000-0000-00001E040000}"/>
    <cellStyle name="20% - 강조색2 15 3" xfId="1235" xr:uid="{00000000-0005-0000-0000-00001F040000}"/>
    <cellStyle name="20% - 강조색2 16" xfId="1236" xr:uid="{00000000-0005-0000-0000-000020040000}"/>
    <cellStyle name="20% - 강조색2 16 2" xfId="1237" xr:uid="{00000000-0005-0000-0000-000021040000}"/>
    <cellStyle name="20% - 강조색2 16 3" xfId="1238" xr:uid="{00000000-0005-0000-0000-000022040000}"/>
    <cellStyle name="20% - 강조색2 17" xfId="1239" xr:uid="{00000000-0005-0000-0000-000023040000}"/>
    <cellStyle name="20% - 강조색2 17 2" xfId="1240" xr:uid="{00000000-0005-0000-0000-000024040000}"/>
    <cellStyle name="20% - 강조색2 17 3" xfId="1241" xr:uid="{00000000-0005-0000-0000-000025040000}"/>
    <cellStyle name="20% - 강조색2 18" xfId="1242" xr:uid="{00000000-0005-0000-0000-000026040000}"/>
    <cellStyle name="20% - 강조색2 18 2" xfId="1243" xr:uid="{00000000-0005-0000-0000-000027040000}"/>
    <cellStyle name="20% - 강조색2 18 3" xfId="1244" xr:uid="{00000000-0005-0000-0000-000028040000}"/>
    <cellStyle name="20% - 강조색2 19" xfId="1245" xr:uid="{00000000-0005-0000-0000-000029040000}"/>
    <cellStyle name="20% - 강조색2 19 2" xfId="1246" xr:uid="{00000000-0005-0000-0000-00002A040000}"/>
    <cellStyle name="20% - 강조색2 19 3" xfId="1247" xr:uid="{00000000-0005-0000-0000-00002B040000}"/>
    <cellStyle name="20% - 강조색2 2" xfId="1248" xr:uid="{00000000-0005-0000-0000-00002C040000}"/>
    <cellStyle name="20% - 강조색2 2 10" xfId="1249" xr:uid="{00000000-0005-0000-0000-00002D040000}"/>
    <cellStyle name="20% - 강조색2 2 11" xfId="1250" xr:uid="{00000000-0005-0000-0000-00002E040000}"/>
    <cellStyle name="20% - 강조색2 2 12" xfId="1251" xr:uid="{00000000-0005-0000-0000-00002F040000}"/>
    <cellStyle name="20% - 강조색2 2 13" xfId="1252" xr:uid="{00000000-0005-0000-0000-000030040000}"/>
    <cellStyle name="20% - 강조색2 2 14" xfId="1253" xr:uid="{00000000-0005-0000-0000-000031040000}"/>
    <cellStyle name="20% - 강조색2 2 15" xfId="1254" xr:uid="{00000000-0005-0000-0000-000032040000}"/>
    <cellStyle name="20% - 강조색2 2 16" xfId="1255" xr:uid="{00000000-0005-0000-0000-000033040000}"/>
    <cellStyle name="20% - 강조색2 2 17" xfId="1256" xr:uid="{00000000-0005-0000-0000-000034040000}"/>
    <cellStyle name="20% - 강조색2 2 18" xfId="1257" xr:uid="{00000000-0005-0000-0000-000035040000}"/>
    <cellStyle name="20% - 강조색2 2 19" xfId="1258" xr:uid="{00000000-0005-0000-0000-000036040000}"/>
    <cellStyle name="20% - 강조색2 2 2" xfId="1259" xr:uid="{00000000-0005-0000-0000-000037040000}"/>
    <cellStyle name="20% - 강조색2 2 20" xfId="1260" xr:uid="{00000000-0005-0000-0000-000038040000}"/>
    <cellStyle name="20% - 강조색2 2 21" xfId="1261" xr:uid="{00000000-0005-0000-0000-000039040000}"/>
    <cellStyle name="20% - 강조색2 2 22" xfId="1262" xr:uid="{00000000-0005-0000-0000-00003A040000}"/>
    <cellStyle name="20% - 강조색2 2 23" xfId="1263" xr:uid="{00000000-0005-0000-0000-00003B040000}"/>
    <cellStyle name="20% - 강조색2 2 24" xfId="1264" xr:uid="{00000000-0005-0000-0000-00003C040000}"/>
    <cellStyle name="20% - 강조색2 2 25" xfId="1265" xr:uid="{00000000-0005-0000-0000-00003D040000}"/>
    <cellStyle name="20% - 강조색2 2 26" xfId="1266" xr:uid="{00000000-0005-0000-0000-00003E040000}"/>
    <cellStyle name="20% - 강조색2 2 27" xfId="1267" xr:uid="{00000000-0005-0000-0000-00003F040000}"/>
    <cellStyle name="20% - 강조색2 2 28" xfId="1268" xr:uid="{00000000-0005-0000-0000-000040040000}"/>
    <cellStyle name="20% - 강조색2 2 29" xfId="1269" xr:uid="{00000000-0005-0000-0000-000041040000}"/>
    <cellStyle name="20% - 강조색2 2 3" xfId="1270" xr:uid="{00000000-0005-0000-0000-000042040000}"/>
    <cellStyle name="20% - 강조색2 2 30" xfId="1271" xr:uid="{00000000-0005-0000-0000-000043040000}"/>
    <cellStyle name="20% - 강조색2 2 31" xfId="1272" xr:uid="{00000000-0005-0000-0000-000044040000}"/>
    <cellStyle name="20% - 강조색2 2 32" xfId="1273" xr:uid="{00000000-0005-0000-0000-000045040000}"/>
    <cellStyle name="20% - 강조색2 2 33" xfId="1274" xr:uid="{00000000-0005-0000-0000-000046040000}"/>
    <cellStyle name="20% - 강조색2 2 34" xfId="1275" xr:uid="{00000000-0005-0000-0000-000047040000}"/>
    <cellStyle name="20% - 강조색2 2 35" xfId="1276" xr:uid="{00000000-0005-0000-0000-000048040000}"/>
    <cellStyle name="20% - 강조색2 2 36" xfId="1277" xr:uid="{00000000-0005-0000-0000-000049040000}"/>
    <cellStyle name="20% - 강조색2 2 37" xfId="1278" xr:uid="{00000000-0005-0000-0000-00004A040000}"/>
    <cellStyle name="20% - 강조색2 2 38" xfId="1279" xr:uid="{00000000-0005-0000-0000-00004B040000}"/>
    <cellStyle name="20% - 강조색2 2 39" xfId="1280" xr:uid="{00000000-0005-0000-0000-00004C040000}"/>
    <cellStyle name="20% - 강조색2 2 4" xfId="1281" xr:uid="{00000000-0005-0000-0000-00004D040000}"/>
    <cellStyle name="20% - 강조색2 2 5" xfId="1282" xr:uid="{00000000-0005-0000-0000-00004E040000}"/>
    <cellStyle name="20% - 강조색2 2 6" xfId="1283" xr:uid="{00000000-0005-0000-0000-00004F040000}"/>
    <cellStyle name="20% - 강조색2 2 7" xfId="1284" xr:uid="{00000000-0005-0000-0000-000050040000}"/>
    <cellStyle name="20% - 강조색2 2 8" xfId="1285" xr:uid="{00000000-0005-0000-0000-000051040000}"/>
    <cellStyle name="20% - 강조색2 2 9" xfId="1286" xr:uid="{00000000-0005-0000-0000-000052040000}"/>
    <cellStyle name="20% - 강조색2 20" xfId="1287" xr:uid="{00000000-0005-0000-0000-000053040000}"/>
    <cellStyle name="20% - 강조색2 21" xfId="1288" xr:uid="{00000000-0005-0000-0000-000054040000}"/>
    <cellStyle name="20% - 강조색2 22" xfId="1289" xr:uid="{00000000-0005-0000-0000-000055040000}"/>
    <cellStyle name="20% - 강조색2 23" xfId="1290" xr:uid="{00000000-0005-0000-0000-000056040000}"/>
    <cellStyle name="20% - 강조색2 24" xfId="1291" xr:uid="{00000000-0005-0000-0000-000057040000}"/>
    <cellStyle name="20% - 강조색2 25" xfId="1292" xr:uid="{00000000-0005-0000-0000-000058040000}"/>
    <cellStyle name="20% - 강조색2 26" xfId="1293" xr:uid="{00000000-0005-0000-0000-000059040000}"/>
    <cellStyle name="20% - 강조색2 27" xfId="1294" xr:uid="{00000000-0005-0000-0000-00005A040000}"/>
    <cellStyle name="20% - 강조색2 27 2" xfId="1295" xr:uid="{00000000-0005-0000-0000-00005B040000}"/>
    <cellStyle name="20% - 강조색2 28" xfId="1296" xr:uid="{00000000-0005-0000-0000-00005C040000}"/>
    <cellStyle name="20% - 강조색2 29" xfId="1297" xr:uid="{00000000-0005-0000-0000-00005D040000}"/>
    <cellStyle name="20% - 강조색2 3" xfId="1298" xr:uid="{00000000-0005-0000-0000-00005E040000}"/>
    <cellStyle name="20% - 강조색2 3 2" xfId="1299" xr:uid="{00000000-0005-0000-0000-00005F040000}"/>
    <cellStyle name="20% - 강조색2 3 3" xfId="1300" xr:uid="{00000000-0005-0000-0000-000060040000}"/>
    <cellStyle name="20% - 강조색2 3 4" xfId="1301" xr:uid="{00000000-0005-0000-0000-000061040000}"/>
    <cellStyle name="20% - 강조색2 30" xfId="1302" xr:uid="{00000000-0005-0000-0000-000062040000}"/>
    <cellStyle name="20% - 강조색2 31" xfId="1303" xr:uid="{00000000-0005-0000-0000-000063040000}"/>
    <cellStyle name="20% - 강조색2 32" xfId="1304" xr:uid="{00000000-0005-0000-0000-000064040000}"/>
    <cellStyle name="20% - 강조색2 33" xfId="1305" xr:uid="{00000000-0005-0000-0000-000065040000}"/>
    <cellStyle name="20% - 강조색2 34" xfId="1306" xr:uid="{00000000-0005-0000-0000-000066040000}"/>
    <cellStyle name="20% - 강조색2 35" xfId="1307" xr:uid="{00000000-0005-0000-0000-000067040000}"/>
    <cellStyle name="20% - 강조색2 35 2" xfId="1308" xr:uid="{00000000-0005-0000-0000-000068040000}"/>
    <cellStyle name="20% - 강조색2 35 2 2" xfId="1309" xr:uid="{00000000-0005-0000-0000-000069040000}"/>
    <cellStyle name="20% - 강조색2 35 2 3" xfId="1310" xr:uid="{00000000-0005-0000-0000-00006A040000}"/>
    <cellStyle name="20% - 강조색2 35 3" xfId="1311" xr:uid="{00000000-0005-0000-0000-00006B040000}"/>
    <cellStyle name="20% - 강조색2 35 4" xfId="1312" xr:uid="{00000000-0005-0000-0000-00006C040000}"/>
    <cellStyle name="20% - 강조색2 36" xfId="1313" xr:uid="{00000000-0005-0000-0000-00006D040000}"/>
    <cellStyle name="20% - 강조색2 36 2" xfId="1314" xr:uid="{00000000-0005-0000-0000-00006E040000}"/>
    <cellStyle name="20% - 강조색2 36 2 2" xfId="1315" xr:uid="{00000000-0005-0000-0000-00006F040000}"/>
    <cellStyle name="20% - 강조색2 36 2 3" xfId="1316" xr:uid="{00000000-0005-0000-0000-000070040000}"/>
    <cellStyle name="20% - 강조색2 36 3" xfId="1317" xr:uid="{00000000-0005-0000-0000-000071040000}"/>
    <cellStyle name="20% - 강조색2 36 4" xfId="1318" xr:uid="{00000000-0005-0000-0000-000072040000}"/>
    <cellStyle name="20% - 강조색2 37" xfId="1319" xr:uid="{00000000-0005-0000-0000-000073040000}"/>
    <cellStyle name="20% - 강조색2 37 2" xfId="1320" xr:uid="{00000000-0005-0000-0000-000074040000}"/>
    <cellStyle name="20% - 강조색2 37 3" xfId="1321" xr:uid="{00000000-0005-0000-0000-000075040000}"/>
    <cellStyle name="20% - 강조색2 37 4" xfId="1322" xr:uid="{00000000-0005-0000-0000-000076040000}"/>
    <cellStyle name="20% - 강조색2 38" xfId="1323" xr:uid="{00000000-0005-0000-0000-000077040000}"/>
    <cellStyle name="20% - 강조색2 39" xfId="1324" xr:uid="{00000000-0005-0000-0000-000078040000}"/>
    <cellStyle name="20% - 강조색2 4" xfId="1325" xr:uid="{00000000-0005-0000-0000-000079040000}"/>
    <cellStyle name="20% - 강조색2 4 2" xfId="1326" xr:uid="{00000000-0005-0000-0000-00007A040000}"/>
    <cellStyle name="20% - 강조색2 4 3" xfId="1327" xr:uid="{00000000-0005-0000-0000-00007B040000}"/>
    <cellStyle name="20% - 강조색2 4 4" xfId="1328" xr:uid="{00000000-0005-0000-0000-00007C040000}"/>
    <cellStyle name="20% - 강조색2 40" xfId="1329" xr:uid="{00000000-0005-0000-0000-00007D040000}"/>
    <cellStyle name="20% - 강조색2 41" xfId="1330" xr:uid="{00000000-0005-0000-0000-00007E040000}"/>
    <cellStyle name="20% - 강조색2 42" xfId="1331" xr:uid="{00000000-0005-0000-0000-00007F040000}"/>
    <cellStyle name="20% - 강조색2 43" xfId="1332" xr:uid="{00000000-0005-0000-0000-000080040000}"/>
    <cellStyle name="20% - 강조색2 44" xfId="1333" xr:uid="{00000000-0005-0000-0000-000081040000}"/>
    <cellStyle name="20% - 강조색2 44 2" xfId="1334" xr:uid="{00000000-0005-0000-0000-000082040000}"/>
    <cellStyle name="20% - 강조색2 44 3" xfId="1335" xr:uid="{00000000-0005-0000-0000-000083040000}"/>
    <cellStyle name="20% - 강조색2 45" xfId="1336" xr:uid="{00000000-0005-0000-0000-000084040000}"/>
    <cellStyle name="20% - 강조색2 45 2" xfId="1337" xr:uid="{00000000-0005-0000-0000-000085040000}"/>
    <cellStyle name="20% - 강조색2 45 3" xfId="1338" xr:uid="{00000000-0005-0000-0000-000086040000}"/>
    <cellStyle name="20% - 강조색2 46" xfId="1339" xr:uid="{00000000-0005-0000-0000-000087040000}"/>
    <cellStyle name="20% - 강조색2 47" xfId="1340" xr:uid="{00000000-0005-0000-0000-000088040000}"/>
    <cellStyle name="20% - 강조색2 48" xfId="1341" xr:uid="{00000000-0005-0000-0000-000089040000}"/>
    <cellStyle name="20% - 강조색2 49" xfId="1342" xr:uid="{00000000-0005-0000-0000-00008A040000}"/>
    <cellStyle name="20% - 강조색2 5" xfId="1343" xr:uid="{00000000-0005-0000-0000-00008B040000}"/>
    <cellStyle name="20% - 강조색2 5 2" xfId="1344" xr:uid="{00000000-0005-0000-0000-00008C040000}"/>
    <cellStyle name="20% - 강조색2 5 3" xfId="1345" xr:uid="{00000000-0005-0000-0000-00008D040000}"/>
    <cellStyle name="20% - 강조색2 5 4" xfId="1346" xr:uid="{00000000-0005-0000-0000-00008E040000}"/>
    <cellStyle name="20% - 강조색2 50" xfId="1347" xr:uid="{00000000-0005-0000-0000-00008F040000}"/>
    <cellStyle name="20% - 강조색2 51" xfId="1348" xr:uid="{00000000-0005-0000-0000-000090040000}"/>
    <cellStyle name="20% - 강조색2 52" xfId="1349" xr:uid="{00000000-0005-0000-0000-000091040000}"/>
    <cellStyle name="20% - 강조색2 53" xfId="1350" xr:uid="{00000000-0005-0000-0000-000092040000}"/>
    <cellStyle name="20% - 강조색2 54" xfId="1351" xr:uid="{00000000-0005-0000-0000-000093040000}"/>
    <cellStyle name="20% - 강조색2 55" xfId="1352" xr:uid="{00000000-0005-0000-0000-000094040000}"/>
    <cellStyle name="20% - 강조색2 6" xfId="1353" xr:uid="{00000000-0005-0000-0000-000095040000}"/>
    <cellStyle name="20% - 강조색2 6 2" xfId="1354" xr:uid="{00000000-0005-0000-0000-000096040000}"/>
    <cellStyle name="20% - 강조색2 6 3" xfId="1355" xr:uid="{00000000-0005-0000-0000-000097040000}"/>
    <cellStyle name="20% - 강조색2 6 4" xfId="1356" xr:uid="{00000000-0005-0000-0000-000098040000}"/>
    <cellStyle name="20% - 강조색2 7" xfId="1357" xr:uid="{00000000-0005-0000-0000-000099040000}"/>
    <cellStyle name="20% - 강조색2 7 2" xfId="1358" xr:uid="{00000000-0005-0000-0000-00009A040000}"/>
    <cellStyle name="20% - 강조색2 7 3" xfId="1359" xr:uid="{00000000-0005-0000-0000-00009B040000}"/>
    <cellStyle name="20% - 강조색2 7 4" xfId="1360" xr:uid="{00000000-0005-0000-0000-00009C040000}"/>
    <cellStyle name="20% - 강조색2 8" xfId="1361" xr:uid="{00000000-0005-0000-0000-00009D040000}"/>
    <cellStyle name="20% - 강조색2 9" xfId="1362" xr:uid="{00000000-0005-0000-0000-00009E040000}"/>
    <cellStyle name="20% - 강조색3 10" xfId="1363" xr:uid="{00000000-0005-0000-0000-00009F040000}"/>
    <cellStyle name="20% - 강조색3 11" xfId="1364" xr:uid="{00000000-0005-0000-0000-0000A0040000}"/>
    <cellStyle name="20% - 강조색3 12" xfId="1365" xr:uid="{00000000-0005-0000-0000-0000A1040000}"/>
    <cellStyle name="20% - 강조색3 13" xfId="1366" xr:uid="{00000000-0005-0000-0000-0000A2040000}"/>
    <cellStyle name="20% - 강조색3 14" xfId="1367" xr:uid="{00000000-0005-0000-0000-0000A3040000}"/>
    <cellStyle name="20% - 강조색3 14 2" xfId="1368" xr:uid="{00000000-0005-0000-0000-0000A4040000}"/>
    <cellStyle name="20% - 강조색3 14 3" xfId="1369" xr:uid="{00000000-0005-0000-0000-0000A5040000}"/>
    <cellStyle name="20% - 강조색3 15" xfId="1370" xr:uid="{00000000-0005-0000-0000-0000A6040000}"/>
    <cellStyle name="20% - 강조색3 15 2" xfId="1371" xr:uid="{00000000-0005-0000-0000-0000A7040000}"/>
    <cellStyle name="20% - 강조색3 15 3" xfId="1372" xr:uid="{00000000-0005-0000-0000-0000A8040000}"/>
    <cellStyle name="20% - 강조색3 16" xfId="1373" xr:uid="{00000000-0005-0000-0000-0000A9040000}"/>
    <cellStyle name="20% - 강조색3 16 2" xfId="1374" xr:uid="{00000000-0005-0000-0000-0000AA040000}"/>
    <cellStyle name="20% - 강조색3 16 3" xfId="1375" xr:uid="{00000000-0005-0000-0000-0000AB040000}"/>
    <cellStyle name="20% - 강조색3 17" xfId="1376" xr:uid="{00000000-0005-0000-0000-0000AC040000}"/>
    <cellStyle name="20% - 강조색3 17 2" xfId="1377" xr:uid="{00000000-0005-0000-0000-0000AD040000}"/>
    <cellStyle name="20% - 강조색3 17 3" xfId="1378" xr:uid="{00000000-0005-0000-0000-0000AE040000}"/>
    <cellStyle name="20% - 강조색3 18" xfId="1379" xr:uid="{00000000-0005-0000-0000-0000AF040000}"/>
    <cellStyle name="20% - 강조색3 18 2" xfId="1380" xr:uid="{00000000-0005-0000-0000-0000B0040000}"/>
    <cellStyle name="20% - 강조색3 18 3" xfId="1381" xr:uid="{00000000-0005-0000-0000-0000B1040000}"/>
    <cellStyle name="20% - 강조색3 19" xfId="1382" xr:uid="{00000000-0005-0000-0000-0000B2040000}"/>
    <cellStyle name="20% - 강조색3 19 2" xfId="1383" xr:uid="{00000000-0005-0000-0000-0000B3040000}"/>
    <cellStyle name="20% - 강조색3 19 3" xfId="1384" xr:uid="{00000000-0005-0000-0000-0000B4040000}"/>
    <cellStyle name="20% - 강조색3 2" xfId="1385" xr:uid="{00000000-0005-0000-0000-0000B5040000}"/>
    <cellStyle name="20% - 강조색3 2 10" xfId="1386" xr:uid="{00000000-0005-0000-0000-0000B6040000}"/>
    <cellStyle name="20% - 강조색3 2 11" xfId="1387" xr:uid="{00000000-0005-0000-0000-0000B7040000}"/>
    <cellStyle name="20% - 강조색3 2 12" xfId="1388" xr:uid="{00000000-0005-0000-0000-0000B8040000}"/>
    <cellStyle name="20% - 강조색3 2 13" xfId="1389" xr:uid="{00000000-0005-0000-0000-0000B9040000}"/>
    <cellStyle name="20% - 강조색3 2 14" xfId="1390" xr:uid="{00000000-0005-0000-0000-0000BA040000}"/>
    <cellStyle name="20% - 강조색3 2 15" xfId="1391" xr:uid="{00000000-0005-0000-0000-0000BB040000}"/>
    <cellStyle name="20% - 강조색3 2 16" xfId="1392" xr:uid="{00000000-0005-0000-0000-0000BC040000}"/>
    <cellStyle name="20% - 강조색3 2 17" xfId="1393" xr:uid="{00000000-0005-0000-0000-0000BD040000}"/>
    <cellStyle name="20% - 강조색3 2 18" xfId="1394" xr:uid="{00000000-0005-0000-0000-0000BE040000}"/>
    <cellStyle name="20% - 강조색3 2 19" xfId="1395" xr:uid="{00000000-0005-0000-0000-0000BF040000}"/>
    <cellStyle name="20% - 강조색3 2 2" xfId="1396" xr:uid="{00000000-0005-0000-0000-0000C0040000}"/>
    <cellStyle name="20% - 강조색3 2 20" xfId="1397" xr:uid="{00000000-0005-0000-0000-0000C1040000}"/>
    <cellStyle name="20% - 강조색3 2 21" xfId="1398" xr:uid="{00000000-0005-0000-0000-0000C2040000}"/>
    <cellStyle name="20% - 강조색3 2 22" xfId="1399" xr:uid="{00000000-0005-0000-0000-0000C3040000}"/>
    <cellStyle name="20% - 강조색3 2 23" xfId="1400" xr:uid="{00000000-0005-0000-0000-0000C4040000}"/>
    <cellStyle name="20% - 강조색3 2 24" xfId="1401" xr:uid="{00000000-0005-0000-0000-0000C5040000}"/>
    <cellStyle name="20% - 강조색3 2 25" xfId="1402" xr:uid="{00000000-0005-0000-0000-0000C6040000}"/>
    <cellStyle name="20% - 강조색3 2 26" xfId="1403" xr:uid="{00000000-0005-0000-0000-0000C7040000}"/>
    <cellStyle name="20% - 강조색3 2 27" xfId="1404" xr:uid="{00000000-0005-0000-0000-0000C8040000}"/>
    <cellStyle name="20% - 강조색3 2 28" xfId="1405" xr:uid="{00000000-0005-0000-0000-0000C9040000}"/>
    <cellStyle name="20% - 강조색3 2 29" xfId="1406" xr:uid="{00000000-0005-0000-0000-0000CA040000}"/>
    <cellStyle name="20% - 강조색3 2 3" xfId="1407" xr:uid="{00000000-0005-0000-0000-0000CB040000}"/>
    <cellStyle name="20% - 강조색3 2 30" xfId="1408" xr:uid="{00000000-0005-0000-0000-0000CC040000}"/>
    <cellStyle name="20% - 강조색3 2 31" xfId="1409" xr:uid="{00000000-0005-0000-0000-0000CD040000}"/>
    <cellStyle name="20% - 강조색3 2 32" xfId="1410" xr:uid="{00000000-0005-0000-0000-0000CE040000}"/>
    <cellStyle name="20% - 강조색3 2 33" xfId="1411" xr:uid="{00000000-0005-0000-0000-0000CF040000}"/>
    <cellStyle name="20% - 강조색3 2 34" xfId="1412" xr:uid="{00000000-0005-0000-0000-0000D0040000}"/>
    <cellStyle name="20% - 강조색3 2 35" xfId="1413" xr:uid="{00000000-0005-0000-0000-0000D1040000}"/>
    <cellStyle name="20% - 강조색3 2 36" xfId="1414" xr:uid="{00000000-0005-0000-0000-0000D2040000}"/>
    <cellStyle name="20% - 강조색3 2 37" xfId="1415" xr:uid="{00000000-0005-0000-0000-0000D3040000}"/>
    <cellStyle name="20% - 강조색3 2 38" xfId="1416" xr:uid="{00000000-0005-0000-0000-0000D4040000}"/>
    <cellStyle name="20% - 강조색3 2 39" xfId="1417" xr:uid="{00000000-0005-0000-0000-0000D5040000}"/>
    <cellStyle name="20% - 강조색3 2 4" xfId="1418" xr:uid="{00000000-0005-0000-0000-0000D6040000}"/>
    <cellStyle name="20% - 강조색3 2 5" xfId="1419" xr:uid="{00000000-0005-0000-0000-0000D7040000}"/>
    <cellStyle name="20% - 강조색3 2 6" xfId="1420" xr:uid="{00000000-0005-0000-0000-0000D8040000}"/>
    <cellStyle name="20% - 강조색3 2 7" xfId="1421" xr:uid="{00000000-0005-0000-0000-0000D9040000}"/>
    <cellStyle name="20% - 강조색3 2 8" xfId="1422" xr:uid="{00000000-0005-0000-0000-0000DA040000}"/>
    <cellStyle name="20% - 강조색3 2 9" xfId="1423" xr:uid="{00000000-0005-0000-0000-0000DB040000}"/>
    <cellStyle name="20% - 강조색3 20" xfId="1424" xr:uid="{00000000-0005-0000-0000-0000DC040000}"/>
    <cellStyle name="20% - 강조색3 21" xfId="1425" xr:uid="{00000000-0005-0000-0000-0000DD040000}"/>
    <cellStyle name="20% - 강조색3 22" xfId="1426" xr:uid="{00000000-0005-0000-0000-0000DE040000}"/>
    <cellStyle name="20% - 강조색3 23" xfId="1427" xr:uid="{00000000-0005-0000-0000-0000DF040000}"/>
    <cellStyle name="20% - 강조색3 24" xfId="1428" xr:uid="{00000000-0005-0000-0000-0000E0040000}"/>
    <cellStyle name="20% - 강조색3 25" xfId="1429" xr:uid="{00000000-0005-0000-0000-0000E1040000}"/>
    <cellStyle name="20% - 강조색3 26" xfId="1430" xr:uid="{00000000-0005-0000-0000-0000E2040000}"/>
    <cellStyle name="20% - 강조색3 27" xfId="1431" xr:uid="{00000000-0005-0000-0000-0000E3040000}"/>
    <cellStyle name="20% - 강조색3 27 2" xfId="1432" xr:uid="{00000000-0005-0000-0000-0000E4040000}"/>
    <cellStyle name="20% - 강조색3 28" xfId="1433" xr:uid="{00000000-0005-0000-0000-0000E5040000}"/>
    <cellStyle name="20% - 강조색3 29" xfId="1434" xr:uid="{00000000-0005-0000-0000-0000E6040000}"/>
    <cellStyle name="20% - 강조색3 3" xfId="1435" xr:uid="{00000000-0005-0000-0000-0000E7040000}"/>
    <cellStyle name="20% - 강조색3 3 2" xfId="1436" xr:uid="{00000000-0005-0000-0000-0000E8040000}"/>
    <cellStyle name="20% - 강조색3 3 3" xfId="1437" xr:uid="{00000000-0005-0000-0000-0000E9040000}"/>
    <cellStyle name="20% - 강조색3 3 4" xfId="1438" xr:uid="{00000000-0005-0000-0000-0000EA040000}"/>
    <cellStyle name="20% - 강조색3 30" xfId="1439" xr:uid="{00000000-0005-0000-0000-0000EB040000}"/>
    <cellStyle name="20% - 강조색3 31" xfId="1440" xr:uid="{00000000-0005-0000-0000-0000EC040000}"/>
    <cellStyle name="20% - 강조색3 32" xfId="1441" xr:uid="{00000000-0005-0000-0000-0000ED040000}"/>
    <cellStyle name="20% - 강조색3 33" xfId="1442" xr:uid="{00000000-0005-0000-0000-0000EE040000}"/>
    <cellStyle name="20% - 강조색3 34" xfId="1443" xr:uid="{00000000-0005-0000-0000-0000EF040000}"/>
    <cellStyle name="20% - 강조색3 35" xfId="1444" xr:uid="{00000000-0005-0000-0000-0000F0040000}"/>
    <cellStyle name="20% - 강조색3 35 2" xfId="1445" xr:uid="{00000000-0005-0000-0000-0000F1040000}"/>
    <cellStyle name="20% - 강조색3 35 2 2" xfId="1446" xr:uid="{00000000-0005-0000-0000-0000F2040000}"/>
    <cellStyle name="20% - 강조색3 35 2 3" xfId="1447" xr:uid="{00000000-0005-0000-0000-0000F3040000}"/>
    <cellStyle name="20% - 강조색3 35 3" xfId="1448" xr:uid="{00000000-0005-0000-0000-0000F4040000}"/>
    <cellStyle name="20% - 강조색3 35 4" xfId="1449" xr:uid="{00000000-0005-0000-0000-0000F5040000}"/>
    <cellStyle name="20% - 강조색3 36" xfId="1450" xr:uid="{00000000-0005-0000-0000-0000F6040000}"/>
    <cellStyle name="20% - 강조색3 36 2" xfId="1451" xr:uid="{00000000-0005-0000-0000-0000F7040000}"/>
    <cellStyle name="20% - 강조색3 36 2 2" xfId="1452" xr:uid="{00000000-0005-0000-0000-0000F8040000}"/>
    <cellStyle name="20% - 강조색3 36 2 3" xfId="1453" xr:uid="{00000000-0005-0000-0000-0000F9040000}"/>
    <cellStyle name="20% - 강조색3 36 3" xfId="1454" xr:uid="{00000000-0005-0000-0000-0000FA040000}"/>
    <cellStyle name="20% - 강조색3 36 4" xfId="1455" xr:uid="{00000000-0005-0000-0000-0000FB040000}"/>
    <cellStyle name="20% - 강조색3 37" xfId="1456" xr:uid="{00000000-0005-0000-0000-0000FC040000}"/>
    <cellStyle name="20% - 강조색3 37 2" xfId="1457" xr:uid="{00000000-0005-0000-0000-0000FD040000}"/>
    <cellStyle name="20% - 강조색3 37 3" xfId="1458" xr:uid="{00000000-0005-0000-0000-0000FE040000}"/>
    <cellStyle name="20% - 강조색3 37 4" xfId="1459" xr:uid="{00000000-0005-0000-0000-0000FF040000}"/>
    <cellStyle name="20% - 강조색3 38" xfId="1460" xr:uid="{00000000-0005-0000-0000-000000050000}"/>
    <cellStyle name="20% - 강조색3 39" xfId="1461" xr:uid="{00000000-0005-0000-0000-000001050000}"/>
    <cellStyle name="20% - 강조색3 4" xfId="1462" xr:uid="{00000000-0005-0000-0000-000002050000}"/>
    <cellStyle name="20% - 강조색3 4 2" xfId="1463" xr:uid="{00000000-0005-0000-0000-000003050000}"/>
    <cellStyle name="20% - 강조색3 4 3" xfId="1464" xr:uid="{00000000-0005-0000-0000-000004050000}"/>
    <cellStyle name="20% - 강조색3 4 4" xfId="1465" xr:uid="{00000000-0005-0000-0000-000005050000}"/>
    <cellStyle name="20% - 강조색3 40" xfId="1466" xr:uid="{00000000-0005-0000-0000-000006050000}"/>
    <cellStyle name="20% - 강조색3 41" xfId="1467" xr:uid="{00000000-0005-0000-0000-000007050000}"/>
    <cellStyle name="20% - 강조색3 42" xfId="1468" xr:uid="{00000000-0005-0000-0000-000008050000}"/>
    <cellStyle name="20% - 강조색3 43" xfId="1469" xr:uid="{00000000-0005-0000-0000-000009050000}"/>
    <cellStyle name="20% - 강조색3 44" xfId="1470" xr:uid="{00000000-0005-0000-0000-00000A050000}"/>
    <cellStyle name="20% - 강조색3 44 2" xfId="1471" xr:uid="{00000000-0005-0000-0000-00000B050000}"/>
    <cellStyle name="20% - 강조색3 44 3" xfId="1472" xr:uid="{00000000-0005-0000-0000-00000C050000}"/>
    <cellStyle name="20% - 강조색3 45" xfId="1473" xr:uid="{00000000-0005-0000-0000-00000D050000}"/>
    <cellStyle name="20% - 강조색3 45 2" xfId="1474" xr:uid="{00000000-0005-0000-0000-00000E050000}"/>
    <cellStyle name="20% - 강조색3 45 3" xfId="1475" xr:uid="{00000000-0005-0000-0000-00000F050000}"/>
    <cellStyle name="20% - 강조색3 46" xfId="1476" xr:uid="{00000000-0005-0000-0000-000010050000}"/>
    <cellStyle name="20% - 강조색3 47" xfId="1477" xr:uid="{00000000-0005-0000-0000-000011050000}"/>
    <cellStyle name="20% - 강조색3 48" xfId="1478" xr:uid="{00000000-0005-0000-0000-000012050000}"/>
    <cellStyle name="20% - 강조색3 49" xfId="1479" xr:uid="{00000000-0005-0000-0000-000013050000}"/>
    <cellStyle name="20% - 강조색3 5" xfId="1480" xr:uid="{00000000-0005-0000-0000-000014050000}"/>
    <cellStyle name="20% - 강조색3 5 2" xfId="1481" xr:uid="{00000000-0005-0000-0000-000015050000}"/>
    <cellStyle name="20% - 강조색3 5 3" xfId="1482" xr:uid="{00000000-0005-0000-0000-000016050000}"/>
    <cellStyle name="20% - 강조색3 5 4" xfId="1483" xr:uid="{00000000-0005-0000-0000-000017050000}"/>
    <cellStyle name="20% - 강조색3 50" xfId="1484" xr:uid="{00000000-0005-0000-0000-000018050000}"/>
    <cellStyle name="20% - 강조색3 51" xfId="1485" xr:uid="{00000000-0005-0000-0000-000019050000}"/>
    <cellStyle name="20% - 강조색3 52" xfId="1486" xr:uid="{00000000-0005-0000-0000-00001A050000}"/>
    <cellStyle name="20% - 강조색3 53" xfId="1487" xr:uid="{00000000-0005-0000-0000-00001B050000}"/>
    <cellStyle name="20% - 강조색3 54" xfId="1488" xr:uid="{00000000-0005-0000-0000-00001C050000}"/>
    <cellStyle name="20% - 강조색3 55" xfId="1489" xr:uid="{00000000-0005-0000-0000-00001D050000}"/>
    <cellStyle name="20% - 강조색3 6" xfId="1490" xr:uid="{00000000-0005-0000-0000-00001E050000}"/>
    <cellStyle name="20% - 강조색3 6 2" xfId="1491" xr:uid="{00000000-0005-0000-0000-00001F050000}"/>
    <cellStyle name="20% - 강조색3 6 3" xfId="1492" xr:uid="{00000000-0005-0000-0000-000020050000}"/>
    <cellStyle name="20% - 강조색3 6 4" xfId="1493" xr:uid="{00000000-0005-0000-0000-000021050000}"/>
    <cellStyle name="20% - 강조색3 7" xfId="1494" xr:uid="{00000000-0005-0000-0000-000022050000}"/>
    <cellStyle name="20% - 강조색3 7 2" xfId="1495" xr:uid="{00000000-0005-0000-0000-000023050000}"/>
    <cellStyle name="20% - 강조색3 7 3" xfId="1496" xr:uid="{00000000-0005-0000-0000-000024050000}"/>
    <cellStyle name="20% - 강조색3 7 4" xfId="1497" xr:uid="{00000000-0005-0000-0000-000025050000}"/>
    <cellStyle name="20% - 강조색3 8" xfId="1498" xr:uid="{00000000-0005-0000-0000-000026050000}"/>
    <cellStyle name="20% - 강조색3 9" xfId="1499" xr:uid="{00000000-0005-0000-0000-000027050000}"/>
    <cellStyle name="20% - 강조색4 10" xfId="1500" xr:uid="{00000000-0005-0000-0000-000028050000}"/>
    <cellStyle name="20% - 강조색4 11" xfId="1501" xr:uid="{00000000-0005-0000-0000-000029050000}"/>
    <cellStyle name="20% - 강조색4 12" xfId="1502" xr:uid="{00000000-0005-0000-0000-00002A050000}"/>
    <cellStyle name="20% - 강조색4 13" xfId="1503" xr:uid="{00000000-0005-0000-0000-00002B050000}"/>
    <cellStyle name="20% - 강조색4 14" xfId="1504" xr:uid="{00000000-0005-0000-0000-00002C050000}"/>
    <cellStyle name="20% - 강조색4 14 2" xfId="1505" xr:uid="{00000000-0005-0000-0000-00002D050000}"/>
    <cellStyle name="20% - 강조색4 14 3" xfId="1506" xr:uid="{00000000-0005-0000-0000-00002E050000}"/>
    <cellStyle name="20% - 강조색4 15" xfId="1507" xr:uid="{00000000-0005-0000-0000-00002F050000}"/>
    <cellStyle name="20% - 강조색4 15 2" xfId="1508" xr:uid="{00000000-0005-0000-0000-000030050000}"/>
    <cellStyle name="20% - 강조색4 15 3" xfId="1509" xr:uid="{00000000-0005-0000-0000-000031050000}"/>
    <cellStyle name="20% - 강조색4 16" xfId="1510" xr:uid="{00000000-0005-0000-0000-000032050000}"/>
    <cellStyle name="20% - 강조색4 16 2" xfId="1511" xr:uid="{00000000-0005-0000-0000-000033050000}"/>
    <cellStyle name="20% - 강조색4 16 3" xfId="1512" xr:uid="{00000000-0005-0000-0000-000034050000}"/>
    <cellStyle name="20% - 강조색4 17" xfId="1513" xr:uid="{00000000-0005-0000-0000-000035050000}"/>
    <cellStyle name="20% - 강조색4 17 2" xfId="1514" xr:uid="{00000000-0005-0000-0000-000036050000}"/>
    <cellStyle name="20% - 강조색4 17 3" xfId="1515" xr:uid="{00000000-0005-0000-0000-000037050000}"/>
    <cellStyle name="20% - 강조색4 18" xfId="1516" xr:uid="{00000000-0005-0000-0000-000038050000}"/>
    <cellStyle name="20% - 강조색4 18 2" xfId="1517" xr:uid="{00000000-0005-0000-0000-000039050000}"/>
    <cellStyle name="20% - 강조색4 18 3" xfId="1518" xr:uid="{00000000-0005-0000-0000-00003A050000}"/>
    <cellStyle name="20% - 강조색4 19" xfId="1519" xr:uid="{00000000-0005-0000-0000-00003B050000}"/>
    <cellStyle name="20% - 강조색4 19 2" xfId="1520" xr:uid="{00000000-0005-0000-0000-00003C050000}"/>
    <cellStyle name="20% - 강조색4 19 3" xfId="1521" xr:uid="{00000000-0005-0000-0000-00003D050000}"/>
    <cellStyle name="20% - 강조색4 2" xfId="1522" xr:uid="{00000000-0005-0000-0000-00003E050000}"/>
    <cellStyle name="20% - 강조색4 2 10" xfId="1523" xr:uid="{00000000-0005-0000-0000-00003F050000}"/>
    <cellStyle name="20% - 강조색4 2 11" xfId="1524" xr:uid="{00000000-0005-0000-0000-000040050000}"/>
    <cellStyle name="20% - 강조색4 2 12" xfId="1525" xr:uid="{00000000-0005-0000-0000-000041050000}"/>
    <cellStyle name="20% - 강조색4 2 13" xfId="1526" xr:uid="{00000000-0005-0000-0000-000042050000}"/>
    <cellStyle name="20% - 강조색4 2 14" xfId="1527" xr:uid="{00000000-0005-0000-0000-000043050000}"/>
    <cellStyle name="20% - 강조색4 2 15" xfId="1528" xr:uid="{00000000-0005-0000-0000-000044050000}"/>
    <cellStyle name="20% - 강조색4 2 16" xfId="1529" xr:uid="{00000000-0005-0000-0000-000045050000}"/>
    <cellStyle name="20% - 강조색4 2 17" xfId="1530" xr:uid="{00000000-0005-0000-0000-000046050000}"/>
    <cellStyle name="20% - 강조색4 2 18" xfId="1531" xr:uid="{00000000-0005-0000-0000-000047050000}"/>
    <cellStyle name="20% - 강조색4 2 19" xfId="1532" xr:uid="{00000000-0005-0000-0000-000048050000}"/>
    <cellStyle name="20% - 강조색4 2 2" xfId="1533" xr:uid="{00000000-0005-0000-0000-000049050000}"/>
    <cellStyle name="20% - 강조색4 2 20" xfId="1534" xr:uid="{00000000-0005-0000-0000-00004A050000}"/>
    <cellStyle name="20% - 강조색4 2 21" xfId="1535" xr:uid="{00000000-0005-0000-0000-00004B050000}"/>
    <cellStyle name="20% - 강조색4 2 22" xfId="1536" xr:uid="{00000000-0005-0000-0000-00004C050000}"/>
    <cellStyle name="20% - 강조색4 2 23" xfId="1537" xr:uid="{00000000-0005-0000-0000-00004D050000}"/>
    <cellStyle name="20% - 강조색4 2 24" xfId="1538" xr:uid="{00000000-0005-0000-0000-00004E050000}"/>
    <cellStyle name="20% - 강조색4 2 25" xfId="1539" xr:uid="{00000000-0005-0000-0000-00004F050000}"/>
    <cellStyle name="20% - 강조색4 2 26" xfId="1540" xr:uid="{00000000-0005-0000-0000-000050050000}"/>
    <cellStyle name="20% - 강조색4 2 27" xfId="1541" xr:uid="{00000000-0005-0000-0000-000051050000}"/>
    <cellStyle name="20% - 강조색4 2 28" xfId="1542" xr:uid="{00000000-0005-0000-0000-000052050000}"/>
    <cellStyle name="20% - 강조색4 2 29" xfId="1543" xr:uid="{00000000-0005-0000-0000-000053050000}"/>
    <cellStyle name="20% - 강조색4 2 3" xfId="1544" xr:uid="{00000000-0005-0000-0000-000054050000}"/>
    <cellStyle name="20% - 강조색4 2 30" xfId="1545" xr:uid="{00000000-0005-0000-0000-000055050000}"/>
    <cellStyle name="20% - 강조색4 2 31" xfId="1546" xr:uid="{00000000-0005-0000-0000-000056050000}"/>
    <cellStyle name="20% - 강조색4 2 32" xfId="1547" xr:uid="{00000000-0005-0000-0000-000057050000}"/>
    <cellStyle name="20% - 강조색4 2 33" xfId="1548" xr:uid="{00000000-0005-0000-0000-000058050000}"/>
    <cellStyle name="20% - 강조색4 2 34" xfId="1549" xr:uid="{00000000-0005-0000-0000-000059050000}"/>
    <cellStyle name="20% - 강조색4 2 35" xfId="1550" xr:uid="{00000000-0005-0000-0000-00005A050000}"/>
    <cellStyle name="20% - 강조색4 2 36" xfId="1551" xr:uid="{00000000-0005-0000-0000-00005B050000}"/>
    <cellStyle name="20% - 강조색4 2 37" xfId="1552" xr:uid="{00000000-0005-0000-0000-00005C050000}"/>
    <cellStyle name="20% - 강조색4 2 38" xfId="1553" xr:uid="{00000000-0005-0000-0000-00005D050000}"/>
    <cellStyle name="20% - 강조색4 2 39" xfId="1554" xr:uid="{00000000-0005-0000-0000-00005E050000}"/>
    <cellStyle name="20% - 강조색4 2 4" xfId="1555" xr:uid="{00000000-0005-0000-0000-00005F050000}"/>
    <cellStyle name="20% - 강조색4 2 5" xfId="1556" xr:uid="{00000000-0005-0000-0000-000060050000}"/>
    <cellStyle name="20% - 강조색4 2 6" xfId="1557" xr:uid="{00000000-0005-0000-0000-000061050000}"/>
    <cellStyle name="20% - 강조색4 2 7" xfId="1558" xr:uid="{00000000-0005-0000-0000-000062050000}"/>
    <cellStyle name="20% - 강조색4 2 8" xfId="1559" xr:uid="{00000000-0005-0000-0000-000063050000}"/>
    <cellStyle name="20% - 강조색4 2 9" xfId="1560" xr:uid="{00000000-0005-0000-0000-000064050000}"/>
    <cellStyle name="20% - 강조색4 20" xfId="1561" xr:uid="{00000000-0005-0000-0000-000065050000}"/>
    <cellStyle name="20% - 강조색4 21" xfId="1562" xr:uid="{00000000-0005-0000-0000-000066050000}"/>
    <cellStyle name="20% - 강조색4 22" xfId="1563" xr:uid="{00000000-0005-0000-0000-000067050000}"/>
    <cellStyle name="20% - 강조색4 23" xfId="1564" xr:uid="{00000000-0005-0000-0000-000068050000}"/>
    <cellStyle name="20% - 강조색4 24" xfId="1565" xr:uid="{00000000-0005-0000-0000-000069050000}"/>
    <cellStyle name="20% - 강조색4 25" xfId="1566" xr:uid="{00000000-0005-0000-0000-00006A050000}"/>
    <cellStyle name="20% - 강조색4 26" xfId="1567" xr:uid="{00000000-0005-0000-0000-00006B050000}"/>
    <cellStyle name="20% - 강조색4 27" xfId="1568" xr:uid="{00000000-0005-0000-0000-00006C050000}"/>
    <cellStyle name="20% - 강조색4 27 2" xfId="1569" xr:uid="{00000000-0005-0000-0000-00006D050000}"/>
    <cellStyle name="20% - 강조색4 28" xfId="1570" xr:uid="{00000000-0005-0000-0000-00006E050000}"/>
    <cellStyle name="20% - 강조색4 29" xfId="1571" xr:uid="{00000000-0005-0000-0000-00006F050000}"/>
    <cellStyle name="20% - 강조색4 3" xfId="1572" xr:uid="{00000000-0005-0000-0000-000070050000}"/>
    <cellStyle name="20% - 강조색4 3 2" xfId="1573" xr:uid="{00000000-0005-0000-0000-000071050000}"/>
    <cellStyle name="20% - 강조색4 3 3" xfId="1574" xr:uid="{00000000-0005-0000-0000-000072050000}"/>
    <cellStyle name="20% - 강조색4 3 4" xfId="1575" xr:uid="{00000000-0005-0000-0000-000073050000}"/>
    <cellStyle name="20% - 강조색4 30" xfId="1576" xr:uid="{00000000-0005-0000-0000-000074050000}"/>
    <cellStyle name="20% - 강조색4 31" xfId="1577" xr:uid="{00000000-0005-0000-0000-000075050000}"/>
    <cellStyle name="20% - 강조색4 32" xfId="1578" xr:uid="{00000000-0005-0000-0000-000076050000}"/>
    <cellStyle name="20% - 강조색4 33" xfId="1579" xr:uid="{00000000-0005-0000-0000-000077050000}"/>
    <cellStyle name="20% - 강조색4 34" xfId="1580" xr:uid="{00000000-0005-0000-0000-000078050000}"/>
    <cellStyle name="20% - 강조색4 35" xfId="1581" xr:uid="{00000000-0005-0000-0000-000079050000}"/>
    <cellStyle name="20% - 강조색4 35 2" xfId="1582" xr:uid="{00000000-0005-0000-0000-00007A050000}"/>
    <cellStyle name="20% - 강조색4 35 2 2" xfId="1583" xr:uid="{00000000-0005-0000-0000-00007B050000}"/>
    <cellStyle name="20% - 강조색4 35 2 3" xfId="1584" xr:uid="{00000000-0005-0000-0000-00007C050000}"/>
    <cellStyle name="20% - 강조색4 35 3" xfId="1585" xr:uid="{00000000-0005-0000-0000-00007D050000}"/>
    <cellStyle name="20% - 강조색4 35 4" xfId="1586" xr:uid="{00000000-0005-0000-0000-00007E050000}"/>
    <cellStyle name="20% - 강조색4 36" xfId="1587" xr:uid="{00000000-0005-0000-0000-00007F050000}"/>
    <cellStyle name="20% - 강조색4 36 2" xfId="1588" xr:uid="{00000000-0005-0000-0000-000080050000}"/>
    <cellStyle name="20% - 강조색4 36 2 2" xfId="1589" xr:uid="{00000000-0005-0000-0000-000081050000}"/>
    <cellStyle name="20% - 강조색4 36 2 3" xfId="1590" xr:uid="{00000000-0005-0000-0000-000082050000}"/>
    <cellStyle name="20% - 강조색4 36 3" xfId="1591" xr:uid="{00000000-0005-0000-0000-000083050000}"/>
    <cellStyle name="20% - 강조색4 36 4" xfId="1592" xr:uid="{00000000-0005-0000-0000-000084050000}"/>
    <cellStyle name="20% - 강조색4 37" xfId="1593" xr:uid="{00000000-0005-0000-0000-000085050000}"/>
    <cellStyle name="20% - 강조색4 37 2" xfId="1594" xr:uid="{00000000-0005-0000-0000-000086050000}"/>
    <cellStyle name="20% - 강조색4 37 3" xfId="1595" xr:uid="{00000000-0005-0000-0000-000087050000}"/>
    <cellStyle name="20% - 강조색4 37 4" xfId="1596" xr:uid="{00000000-0005-0000-0000-000088050000}"/>
    <cellStyle name="20% - 강조색4 38" xfId="1597" xr:uid="{00000000-0005-0000-0000-000089050000}"/>
    <cellStyle name="20% - 강조색4 39" xfId="1598" xr:uid="{00000000-0005-0000-0000-00008A050000}"/>
    <cellStyle name="20% - 강조색4 4" xfId="1599" xr:uid="{00000000-0005-0000-0000-00008B050000}"/>
    <cellStyle name="20% - 강조색4 4 2" xfId="1600" xr:uid="{00000000-0005-0000-0000-00008C050000}"/>
    <cellStyle name="20% - 강조색4 4 3" xfId="1601" xr:uid="{00000000-0005-0000-0000-00008D050000}"/>
    <cellStyle name="20% - 강조색4 4 4" xfId="1602" xr:uid="{00000000-0005-0000-0000-00008E050000}"/>
    <cellStyle name="20% - 강조색4 40" xfId="1603" xr:uid="{00000000-0005-0000-0000-00008F050000}"/>
    <cellStyle name="20% - 강조색4 41" xfId="1604" xr:uid="{00000000-0005-0000-0000-000090050000}"/>
    <cellStyle name="20% - 강조색4 42" xfId="1605" xr:uid="{00000000-0005-0000-0000-000091050000}"/>
    <cellStyle name="20% - 강조색4 43" xfId="1606" xr:uid="{00000000-0005-0000-0000-000092050000}"/>
    <cellStyle name="20% - 강조색4 44" xfId="1607" xr:uid="{00000000-0005-0000-0000-000093050000}"/>
    <cellStyle name="20% - 강조색4 44 2" xfId="1608" xr:uid="{00000000-0005-0000-0000-000094050000}"/>
    <cellStyle name="20% - 강조색4 44 3" xfId="1609" xr:uid="{00000000-0005-0000-0000-000095050000}"/>
    <cellStyle name="20% - 강조색4 45" xfId="1610" xr:uid="{00000000-0005-0000-0000-000096050000}"/>
    <cellStyle name="20% - 강조색4 45 2" xfId="1611" xr:uid="{00000000-0005-0000-0000-000097050000}"/>
    <cellStyle name="20% - 강조색4 45 3" xfId="1612" xr:uid="{00000000-0005-0000-0000-000098050000}"/>
    <cellStyle name="20% - 강조색4 46" xfId="1613" xr:uid="{00000000-0005-0000-0000-000099050000}"/>
    <cellStyle name="20% - 강조색4 47" xfId="1614" xr:uid="{00000000-0005-0000-0000-00009A050000}"/>
    <cellStyle name="20% - 강조색4 48" xfId="1615" xr:uid="{00000000-0005-0000-0000-00009B050000}"/>
    <cellStyle name="20% - 강조색4 49" xfId="1616" xr:uid="{00000000-0005-0000-0000-00009C050000}"/>
    <cellStyle name="20% - 강조색4 5" xfId="1617" xr:uid="{00000000-0005-0000-0000-00009D050000}"/>
    <cellStyle name="20% - 강조색4 5 2" xfId="1618" xr:uid="{00000000-0005-0000-0000-00009E050000}"/>
    <cellStyle name="20% - 강조색4 5 3" xfId="1619" xr:uid="{00000000-0005-0000-0000-00009F050000}"/>
    <cellStyle name="20% - 강조색4 5 4" xfId="1620" xr:uid="{00000000-0005-0000-0000-0000A0050000}"/>
    <cellStyle name="20% - 강조색4 50" xfId="1621" xr:uid="{00000000-0005-0000-0000-0000A1050000}"/>
    <cellStyle name="20% - 강조색4 51" xfId="1622" xr:uid="{00000000-0005-0000-0000-0000A2050000}"/>
    <cellStyle name="20% - 강조색4 52" xfId="1623" xr:uid="{00000000-0005-0000-0000-0000A3050000}"/>
    <cellStyle name="20% - 강조색4 53" xfId="1624" xr:uid="{00000000-0005-0000-0000-0000A4050000}"/>
    <cellStyle name="20% - 강조색4 54" xfId="1625" xr:uid="{00000000-0005-0000-0000-0000A5050000}"/>
    <cellStyle name="20% - 강조색4 55" xfId="1626" xr:uid="{00000000-0005-0000-0000-0000A6050000}"/>
    <cellStyle name="20% - 강조색4 6" xfId="1627" xr:uid="{00000000-0005-0000-0000-0000A7050000}"/>
    <cellStyle name="20% - 강조색4 6 2" xfId="1628" xr:uid="{00000000-0005-0000-0000-0000A8050000}"/>
    <cellStyle name="20% - 강조색4 6 3" xfId="1629" xr:uid="{00000000-0005-0000-0000-0000A9050000}"/>
    <cellStyle name="20% - 강조색4 6 4" xfId="1630" xr:uid="{00000000-0005-0000-0000-0000AA050000}"/>
    <cellStyle name="20% - 강조색4 7" xfId="1631" xr:uid="{00000000-0005-0000-0000-0000AB050000}"/>
    <cellStyle name="20% - 강조색4 7 2" xfId="1632" xr:uid="{00000000-0005-0000-0000-0000AC050000}"/>
    <cellStyle name="20% - 강조색4 7 3" xfId="1633" xr:uid="{00000000-0005-0000-0000-0000AD050000}"/>
    <cellStyle name="20% - 강조색4 7 4" xfId="1634" xr:uid="{00000000-0005-0000-0000-0000AE050000}"/>
    <cellStyle name="20% - 강조색4 8" xfId="1635" xr:uid="{00000000-0005-0000-0000-0000AF050000}"/>
    <cellStyle name="20% - 강조색4 9" xfId="1636" xr:uid="{00000000-0005-0000-0000-0000B0050000}"/>
    <cellStyle name="20% - 강조색5 10" xfId="1637" xr:uid="{00000000-0005-0000-0000-0000B1050000}"/>
    <cellStyle name="20% - 강조색5 11" xfId="1638" xr:uid="{00000000-0005-0000-0000-0000B2050000}"/>
    <cellStyle name="20% - 강조색5 12" xfId="1639" xr:uid="{00000000-0005-0000-0000-0000B3050000}"/>
    <cellStyle name="20% - 강조색5 13" xfId="1640" xr:uid="{00000000-0005-0000-0000-0000B4050000}"/>
    <cellStyle name="20% - 강조색5 14" xfId="1641" xr:uid="{00000000-0005-0000-0000-0000B5050000}"/>
    <cellStyle name="20% - 강조색5 14 2" xfId="1642" xr:uid="{00000000-0005-0000-0000-0000B6050000}"/>
    <cellStyle name="20% - 강조색5 14 3" xfId="1643" xr:uid="{00000000-0005-0000-0000-0000B7050000}"/>
    <cellStyle name="20% - 강조색5 15" xfId="1644" xr:uid="{00000000-0005-0000-0000-0000B8050000}"/>
    <cellStyle name="20% - 강조색5 15 2" xfId="1645" xr:uid="{00000000-0005-0000-0000-0000B9050000}"/>
    <cellStyle name="20% - 강조색5 15 3" xfId="1646" xr:uid="{00000000-0005-0000-0000-0000BA050000}"/>
    <cellStyle name="20% - 강조색5 16" xfId="1647" xr:uid="{00000000-0005-0000-0000-0000BB050000}"/>
    <cellStyle name="20% - 강조색5 16 2" xfId="1648" xr:uid="{00000000-0005-0000-0000-0000BC050000}"/>
    <cellStyle name="20% - 강조색5 16 3" xfId="1649" xr:uid="{00000000-0005-0000-0000-0000BD050000}"/>
    <cellStyle name="20% - 강조색5 17" xfId="1650" xr:uid="{00000000-0005-0000-0000-0000BE050000}"/>
    <cellStyle name="20% - 강조색5 17 2" xfId="1651" xr:uid="{00000000-0005-0000-0000-0000BF050000}"/>
    <cellStyle name="20% - 강조색5 17 3" xfId="1652" xr:uid="{00000000-0005-0000-0000-0000C0050000}"/>
    <cellStyle name="20% - 강조색5 18" xfId="1653" xr:uid="{00000000-0005-0000-0000-0000C1050000}"/>
    <cellStyle name="20% - 강조색5 18 2" xfId="1654" xr:uid="{00000000-0005-0000-0000-0000C2050000}"/>
    <cellStyle name="20% - 강조색5 18 3" xfId="1655" xr:uid="{00000000-0005-0000-0000-0000C3050000}"/>
    <cellStyle name="20% - 강조색5 19" xfId="1656" xr:uid="{00000000-0005-0000-0000-0000C4050000}"/>
    <cellStyle name="20% - 강조색5 19 2" xfId="1657" xr:uid="{00000000-0005-0000-0000-0000C5050000}"/>
    <cellStyle name="20% - 강조색5 19 3" xfId="1658" xr:uid="{00000000-0005-0000-0000-0000C6050000}"/>
    <cellStyle name="20% - 강조색5 2" xfId="1659" xr:uid="{00000000-0005-0000-0000-0000C7050000}"/>
    <cellStyle name="20% - 강조색5 2 10" xfId="1660" xr:uid="{00000000-0005-0000-0000-0000C8050000}"/>
    <cellStyle name="20% - 강조색5 2 11" xfId="1661" xr:uid="{00000000-0005-0000-0000-0000C9050000}"/>
    <cellStyle name="20% - 강조색5 2 12" xfId="1662" xr:uid="{00000000-0005-0000-0000-0000CA050000}"/>
    <cellStyle name="20% - 강조색5 2 13" xfId="1663" xr:uid="{00000000-0005-0000-0000-0000CB050000}"/>
    <cellStyle name="20% - 강조색5 2 14" xfId="1664" xr:uid="{00000000-0005-0000-0000-0000CC050000}"/>
    <cellStyle name="20% - 강조색5 2 15" xfId="1665" xr:uid="{00000000-0005-0000-0000-0000CD050000}"/>
    <cellStyle name="20% - 강조색5 2 16" xfId="1666" xr:uid="{00000000-0005-0000-0000-0000CE050000}"/>
    <cellStyle name="20% - 강조색5 2 17" xfId="1667" xr:uid="{00000000-0005-0000-0000-0000CF050000}"/>
    <cellStyle name="20% - 강조색5 2 18" xfId="1668" xr:uid="{00000000-0005-0000-0000-0000D0050000}"/>
    <cellStyle name="20% - 강조색5 2 19" xfId="1669" xr:uid="{00000000-0005-0000-0000-0000D1050000}"/>
    <cellStyle name="20% - 강조색5 2 2" xfId="1670" xr:uid="{00000000-0005-0000-0000-0000D2050000}"/>
    <cellStyle name="20% - 강조색5 2 20" xfId="1671" xr:uid="{00000000-0005-0000-0000-0000D3050000}"/>
    <cellStyle name="20% - 강조색5 2 21" xfId="1672" xr:uid="{00000000-0005-0000-0000-0000D4050000}"/>
    <cellStyle name="20% - 강조색5 2 22" xfId="1673" xr:uid="{00000000-0005-0000-0000-0000D5050000}"/>
    <cellStyle name="20% - 강조색5 2 23" xfId="1674" xr:uid="{00000000-0005-0000-0000-0000D6050000}"/>
    <cellStyle name="20% - 강조색5 2 24" xfId="1675" xr:uid="{00000000-0005-0000-0000-0000D7050000}"/>
    <cellStyle name="20% - 강조색5 2 25" xfId="1676" xr:uid="{00000000-0005-0000-0000-0000D8050000}"/>
    <cellStyle name="20% - 강조색5 2 26" xfId="1677" xr:uid="{00000000-0005-0000-0000-0000D9050000}"/>
    <cellStyle name="20% - 강조색5 2 27" xfId="1678" xr:uid="{00000000-0005-0000-0000-0000DA050000}"/>
    <cellStyle name="20% - 강조색5 2 28" xfId="1679" xr:uid="{00000000-0005-0000-0000-0000DB050000}"/>
    <cellStyle name="20% - 강조색5 2 29" xfId="1680" xr:uid="{00000000-0005-0000-0000-0000DC050000}"/>
    <cellStyle name="20% - 강조색5 2 3" xfId="1681" xr:uid="{00000000-0005-0000-0000-0000DD050000}"/>
    <cellStyle name="20% - 강조색5 2 30" xfId="1682" xr:uid="{00000000-0005-0000-0000-0000DE050000}"/>
    <cellStyle name="20% - 강조색5 2 31" xfId="1683" xr:uid="{00000000-0005-0000-0000-0000DF050000}"/>
    <cellStyle name="20% - 강조색5 2 32" xfId="1684" xr:uid="{00000000-0005-0000-0000-0000E0050000}"/>
    <cellStyle name="20% - 강조색5 2 33" xfId="1685" xr:uid="{00000000-0005-0000-0000-0000E1050000}"/>
    <cellStyle name="20% - 강조색5 2 34" xfId="1686" xr:uid="{00000000-0005-0000-0000-0000E2050000}"/>
    <cellStyle name="20% - 강조색5 2 35" xfId="1687" xr:uid="{00000000-0005-0000-0000-0000E3050000}"/>
    <cellStyle name="20% - 강조색5 2 36" xfId="1688" xr:uid="{00000000-0005-0000-0000-0000E4050000}"/>
    <cellStyle name="20% - 강조색5 2 37" xfId="1689" xr:uid="{00000000-0005-0000-0000-0000E5050000}"/>
    <cellStyle name="20% - 강조색5 2 38" xfId="1690" xr:uid="{00000000-0005-0000-0000-0000E6050000}"/>
    <cellStyle name="20% - 강조색5 2 39" xfId="1691" xr:uid="{00000000-0005-0000-0000-0000E7050000}"/>
    <cellStyle name="20% - 강조색5 2 4" xfId="1692" xr:uid="{00000000-0005-0000-0000-0000E8050000}"/>
    <cellStyle name="20% - 강조색5 2 5" xfId="1693" xr:uid="{00000000-0005-0000-0000-0000E9050000}"/>
    <cellStyle name="20% - 강조색5 2 6" xfId="1694" xr:uid="{00000000-0005-0000-0000-0000EA050000}"/>
    <cellStyle name="20% - 강조색5 2 7" xfId="1695" xr:uid="{00000000-0005-0000-0000-0000EB050000}"/>
    <cellStyle name="20% - 강조색5 2 8" xfId="1696" xr:uid="{00000000-0005-0000-0000-0000EC050000}"/>
    <cellStyle name="20% - 강조색5 2 9" xfId="1697" xr:uid="{00000000-0005-0000-0000-0000ED050000}"/>
    <cellStyle name="20% - 강조색5 20" xfId="1698" xr:uid="{00000000-0005-0000-0000-0000EE050000}"/>
    <cellStyle name="20% - 강조색5 21" xfId="1699" xr:uid="{00000000-0005-0000-0000-0000EF050000}"/>
    <cellStyle name="20% - 강조색5 22" xfId="1700" xr:uid="{00000000-0005-0000-0000-0000F0050000}"/>
    <cellStyle name="20% - 강조색5 23" xfId="1701" xr:uid="{00000000-0005-0000-0000-0000F1050000}"/>
    <cellStyle name="20% - 강조색5 24" xfId="1702" xr:uid="{00000000-0005-0000-0000-0000F2050000}"/>
    <cellStyle name="20% - 강조색5 25" xfId="1703" xr:uid="{00000000-0005-0000-0000-0000F3050000}"/>
    <cellStyle name="20% - 강조색5 26" xfId="1704" xr:uid="{00000000-0005-0000-0000-0000F4050000}"/>
    <cellStyle name="20% - 강조색5 27" xfId="1705" xr:uid="{00000000-0005-0000-0000-0000F5050000}"/>
    <cellStyle name="20% - 강조색5 27 2" xfId="1706" xr:uid="{00000000-0005-0000-0000-0000F6050000}"/>
    <cellStyle name="20% - 강조색5 28" xfId="1707" xr:uid="{00000000-0005-0000-0000-0000F7050000}"/>
    <cellStyle name="20% - 강조색5 29" xfId="1708" xr:uid="{00000000-0005-0000-0000-0000F8050000}"/>
    <cellStyle name="20% - 강조색5 3" xfId="1709" xr:uid="{00000000-0005-0000-0000-0000F9050000}"/>
    <cellStyle name="20% - 강조색5 3 2" xfId="1710" xr:uid="{00000000-0005-0000-0000-0000FA050000}"/>
    <cellStyle name="20% - 강조색5 3 3" xfId="1711" xr:uid="{00000000-0005-0000-0000-0000FB050000}"/>
    <cellStyle name="20% - 강조색5 3 4" xfId="1712" xr:uid="{00000000-0005-0000-0000-0000FC050000}"/>
    <cellStyle name="20% - 강조색5 30" xfId="1713" xr:uid="{00000000-0005-0000-0000-0000FD050000}"/>
    <cellStyle name="20% - 강조색5 31" xfId="1714" xr:uid="{00000000-0005-0000-0000-0000FE050000}"/>
    <cellStyle name="20% - 강조색5 32" xfId="1715" xr:uid="{00000000-0005-0000-0000-0000FF050000}"/>
    <cellStyle name="20% - 강조색5 33" xfId="1716" xr:uid="{00000000-0005-0000-0000-000000060000}"/>
    <cellStyle name="20% - 강조색5 34" xfId="1717" xr:uid="{00000000-0005-0000-0000-000001060000}"/>
    <cellStyle name="20% - 강조색5 35" xfId="1718" xr:uid="{00000000-0005-0000-0000-000002060000}"/>
    <cellStyle name="20% - 강조색5 35 2" xfId="1719" xr:uid="{00000000-0005-0000-0000-000003060000}"/>
    <cellStyle name="20% - 강조색5 35 2 2" xfId="1720" xr:uid="{00000000-0005-0000-0000-000004060000}"/>
    <cellStyle name="20% - 강조색5 35 2 3" xfId="1721" xr:uid="{00000000-0005-0000-0000-000005060000}"/>
    <cellStyle name="20% - 강조색5 35 3" xfId="1722" xr:uid="{00000000-0005-0000-0000-000006060000}"/>
    <cellStyle name="20% - 강조색5 35 4" xfId="1723" xr:uid="{00000000-0005-0000-0000-000007060000}"/>
    <cellStyle name="20% - 강조색5 36" xfId="1724" xr:uid="{00000000-0005-0000-0000-000008060000}"/>
    <cellStyle name="20% - 강조색5 36 2" xfId="1725" xr:uid="{00000000-0005-0000-0000-000009060000}"/>
    <cellStyle name="20% - 강조색5 36 2 2" xfId="1726" xr:uid="{00000000-0005-0000-0000-00000A060000}"/>
    <cellStyle name="20% - 강조색5 36 2 3" xfId="1727" xr:uid="{00000000-0005-0000-0000-00000B060000}"/>
    <cellStyle name="20% - 강조색5 36 3" xfId="1728" xr:uid="{00000000-0005-0000-0000-00000C060000}"/>
    <cellStyle name="20% - 강조색5 36 4" xfId="1729" xr:uid="{00000000-0005-0000-0000-00000D060000}"/>
    <cellStyle name="20% - 강조색5 37" xfId="1730" xr:uid="{00000000-0005-0000-0000-00000E060000}"/>
    <cellStyle name="20% - 강조색5 37 2" xfId="1731" xr:uid="{00000000-0005-0000-0000-00000F060000}"/>
    <cellStyle name="20% - 강조색5 37 3" xfId="1732" xr:uid="{00000000-0005-0000-0000-000010060000}"/>
    <cellStyle name="20% - 강조색5 37 4" xfId="1733" xr:uid="{00000000-0005-0000-0000-000011060000}"/>
    <cellStyle name="20% - 강조색5 38" xfId="1734" xr:uid="{00000000-0005-0000-0000-000012060000}"/>
    <cellStyle name="20% - 강조색5 39" xfId="1735" xr:uid="{00000000-0005-0000-0000-000013060000}"/>
    <cellStyle name="20% - 강조색5 4" xfId="1736" xr:uid="{00000000-0005-0000-0000-000014060000}"/>
    <cellStyle name="20% - 강조색5 4 2" xfId="1737" xr:uid="{00000000-0005-0000-0000-000015060000}"/>
    <cellStyle name="20% - 강조색5 4 3" xfId="1738" xr:uid="{00000000-0005-0000-0000-000016060000}"/>
    <cellStyle name="20% - 강조색5 4 4" xfId="1739" xr:uid="{00000000-0005-0000-0000-000017060000}"/>
    <cellStyle name="20% - 강조색5 40" xfId="1740" xr:uid="{00000000-0005-0000-0000-000018060000}"/>
    <cellStyle name="20% - 강조색5 41" xfId="1741" xr:uid="{00000000-0005-0000-0000-000019060000}"/>
    <cellStyle name="20% - 강조색5 42" xfId="1742" xr:uid="{00000000-0005-0000-0000-00001A060000}"/>
    <cellStyle name="20% - 강조색5 43" xfId="1743" xr:uid="{00000000-0005-0000-0000-00001B060000}"/>
    <cellStyle name="20% - 강조색5 44" xfId="1744" xr:uid="{00000000-0005-0000-0000-00001C060000}"/>
    <cellStyle name="20% - 강조색5 44 2" xfId="1745" xr:uid="{00000000-0005-0000-0000-00001D060000}"/>
    <cellStyle name="20% - 강조색5 44 3" xfId="1746" xr:uid="{00000000-0005-0000-0000-00001E060000}"/>
    <cellStyle name="20% - 강조색5 45" xfId="1747" xr:uid="{00000000-0005-0000-0000-00001F060000}"/>
    <cellStyle name="20% - 강조색5 45 2" xfId="1748" xr:uid="{00000000-0005-0000-0000-000020060000}"/>
    <cellStyle name="20% - 강조색5 45 3" xfId="1749" xr:uid="{00000000-0005-0000-0000-000021060000}"/>
    <cellStyle name="20% - 강조색5 46" xfId="1750" xr:uid="{00000000-0005-0000-0000-000022060000}"/>
    <cellStyle name="20% - 강조색5 47" xfId="1751" xr:uid="{00000000-0005-0000-0000-000023060000}"/>
    <cellStyle name="20% - 강조색5 48" xfId="1752" xr:uid="{00000000-0005-0000-0000-000024060000}"/>
    <cellStyle name="20% - 강조색5 49" xfId="1753" xr:uid="{00000000-0005-0000-0000-000025060000}"/>
    <cellStyle name="20% - 강조색5 5" xfId="1754" xr:uid="{00000000-0005-0000-0000-000026060000}"/>
    <cellStyle name="20% - 강조색5 5 2" xfId="1755" xr:uid="{00000000-0005-0000-0000-000027060000}"/>
    <cellStyle name="20% - 강조색5 5 3" xfId="1756" xr:uid="{00000000-0005-0000-0000-000028060000}"/>
    <cellStyle name="20% - 강조색5 5 4" xfId="1757" xr:uid="{00000000-0005-0000-0000-000029060000}"/>
    <cellStyle name="20% - 강조색5 50" xfId="1758" xr:uid="{00000000-0005-0000-0000-00002A060000}"/>
    <cellStyle name="20% - 강조색5 51" xfId="1759" xr:uid="{00000000-0005-0000-0000-00002B060000}"/>
    <cellStyle name="20% - 강조색5 52" xfId="1760" xr:uid="{00000000-0005-0000-0000-00002C060000}"/>
    <cellStyle name="20% - 강조색5 53" xfId="1761" xr:uid="{00000000-0005-0000-0000-00002D060000}"/>
    <cellStyle name="20% - 강조색5 54" xfId="1762" xr:uid="{00000000-0005-0000-0000-00002E060000}"/>
    <cellStyle name="20% - 강조색5 55" xfId="1763" xr:uid="{00000000-0005-0000-0000-00002F060000}"/>
    <cellStyle name="20% - 강조색5 6" xfId="1764" xr:uid="{00000000-0005-0000-0000-000030060000}"/>
    <cellStyle name="20% - 강조색5 6 2" xfId="1765" xr:uid="{00000000-0005-0000-0000-000031060000}"/>
    <cellStyle name="20% - 강조색5 6 3" xfId="1766" xr:uid="{00000000-0005-0000-0000-000032060000}"/>
    <cellStyle name="20% - 강조색5 6 4" xfId="1767" xr:uid="{00000000-0005-0000-0000-000033060000}"/>
    <cellStyle name="20% - 강조색5 7" xfId="1768" xr:uid="{00000000-0005-0000-0000-000034060000}"/>
    <cellStyle name="20% - 강조색5 7 2" xfId="1769" xr:uid="{00000000-0005-0000-0000-000035060000}"/>
    <cellStyle name="20% - 강조색5 7 3" xfId="1770" xr:uid="{00000000-0005-0000-0000-000036060000}"/>
    <cellStyle name="20% - 강조색5 7 4" xfId="1771" xr:uid="{00000000-0005-0000-0000-000037060000}"/>
    <cellStyle name="20% - 강조색5 8" xfId="1772" xr:uid="{00000000-0005-0000-0000-000038060000}"/>
    <cellStyle name="20% - 강조색5 9" xfId="1773" xr:uid="{00000000-0005-0000-0000-000039060000}"/>
    <cellStyle name="20% - 강조색6 10" xfId="1774" xr:uid="{00000000-0005-0000-0000-00003A060000}"/>
    <cellStyle name="20% - 강조색6 11" xfId="1775" xr:uid="{00000000-0005-0000-0000-00003B060000}"/>
    <cellStyle name="20% - 강조색6 12" xfId="1776" xr:uid="{00000000-0005-0000-0000-00003C060000}"/>
    <cellStyle name="20% - 강조색6 13" xfId="1777" xr:uid="{00000000-0005-0000-0000-00003D060000}"/>
    <cellStyle name="20% - 강조색6 14" xfId="1778" xr:uid="{00000000-0005-0000-0000-00003E060000}"/>
    <cellStyle name="20% - 강조색6 14 2" xfId="1779" xr:uid="{00000000-0005-0000-0000-00003F060000}"/>
    <cellStyle name="20% - 강조색6 14 3" xfId="1780" xr:uid="{00000000-0005-0000-0000-000040060000}"/>
    <cellStyle name="20% - 강조색6 15" xfId="1781" xr:uid="{00000000-0005-0000-0000-000041060000}"/>
    <cellStyle name="20% - 강조색6 15 2" xfId="1782" xr:uid="{00000000-0005-0000-0000-000042060000}"/>
    <cellStyle name="20% - 강조색6 15 3" xfId="1783" xr:uid="{00000000-0005-0000-0000-000043060000}"/>
    <cellStyle name="20% - 강조색6 16" xfId="1784" xr:uid="{00000000-0005-0000-0000-000044060000}"/>
    <cellStyle name="20% - 강조색6 16 2" xfId="1785" xr:uid="{00000000-0005-0000-0000-000045060000}"/>
    <cellStyle name="20% - 강조색6 16 3" xfId="1786" xr:uid="{00000000-0005-0000-0000-000046060000}"/>
    <cellStyle name="20% - 강조색6 17" xfId="1787" xr:uid="{00000000-0005-0000-0000-000047060000}"/>
    <cellStyle name="20% - 강조색6 17 2" xfId="1788" xr:uid="{00000000-0005-0000-0000-000048060000}"/>
    <cellStyle name="20% - 강조색6 17 3" xfId="1789" xr:uid="{00000000-0005-0000-0000-000049060000}"/>
    <cellStyle name="20% - 강조색6 18" xfId="1790" xr:uid="{00000000-0005-0000-0000-00004A060000}"/>
    <cellStyle name="20% - 강조색6 18 2" xfId="1791" xr:uid="{00000000-0005-0000-0000-00004B060000}"/>
    <cellStyle name="20% - 강조색6 18 3" xfId="1792" xr:uid="{00000000-0005-0000-0000-00004C060000}"/>
    <cellStyle name="20% - 강조색6 19" xfId="1793" xr:uid="{00000000-0005-0000-0000-00004D060000}"/>
    <cellStyle name="20% - 강조색6 19 2" xfId="1794" xr:uid="{00000000-0005-0000-0000-00004E060000}"/>
    <cellStyle name="20% - 강조색6 19 3" xfId="1795" xr:uid="{00000000-0005-0000-0000-00004F060000}"/>
    <cellStyle name="20% - 강조색6 2" xfId="1796" xr:uid="{00000000-0005-0000-0000-000050060000}"/>
    <cellStyle name="20% - 강조색6 2 10" xfId="1797" xr:uid="{00000000-0005-0000-0000-000051060000}"/>
    <cellStyle name="20% - 강조색6 2 11" xfId="1798" xr:uid="{00000000-0005-0000-0000-000052060000}"/>
    <cellStyle name="20% - 강조색6 2 12" xfId="1799" xr:uid="{00000000-0005-0000-0000-000053060000}"/>
    <cellStyle name="20% - 강조색6 2 13" xfId="1800" xr:uid="{00000000-0005-0000-0000-000054060000}"/>
    <cellStyle name="20% - 강조색6 2 14" xfId="1801" xr:uid="{00000000-0005-0000-0000-000055060000}"/>
    <cellStyle name="20% - 강조색6 2 15" xfId="1802" xr:uid="{00000000-0005-0000-0000-000056060000}"/>
    <cellStyle name="20% - 강조색6 2 16" xfId="1803" xr:uid="{00000000-0005-0000-0000-000057060000}"/>
    <cellStyle name="20% - 강조색6 2 17" xfId="1804" xr:uid="{00000000-0005-0000-0000-000058060000}"/>
    <cellStyle name="20% - 강조색6 2 18" xfId="1805" xr:uid="{00000000-0005-0000-0000-000059060000}"/>
    <cellStyle name="20% - 강조색6 2 19" xfId="1806" xr:uid="{00000000-0005-0000-0000-00005A060000}"/>
    <cellStyle name="20% - 강조색6 2 2" xfId="1807" xr:uid="{00000000-0005-0000-0000-00005B060000}"/>
    <cellStyle name="20% - 강조색6 2 20" xfId="1808" xr:uid="{00000000-0005-0000-0000-00005C060000}"/>
    <cellStyle name="20% - 강조색6 2 21" xfId="1809" xr:uid="{00000000-0005-0000-0000-00005D060000}"/>
    <cellStyle name="20% - 강조색6 2 22" xfId="1810" xr:uid="{00000000-0005-0000-0000-00005E060000}"/>
    <cellStyle name="20% - 강조색6 2 23" xfId="1811" xr:uid="{00000000-0005-0000-0000-00005F060000}"/>
    <cellStyle name="20% - 강조색6 2 24" xfId="1812" xr:uid="{00000000-0005-0000-0000-000060060000}"/>
    <cellStyle name="20% - 강조색6 2 25" xfId="1813" xr:uid="{00000000-0005-0000-0000-000061060000}"/>
    <cellStyle name="20% - 강조색6 2 26" xfId="1814" xr:uid="{00000000-0005-0000-0000-000062060000}"/>
    <cellStyle name="20% - 강조색6 2 27" xfId="1815" xr:uid="{00000000-0005-0000-0000-000063060000}"/>
    <cellStyle name="20% - 강조색6 2 28" xfId="1816" xr:uid="{00000000-0005-0000-0000-000064060000}"/>
    <cellStyle name="20% - 강조색6 2 29" xfId="1817" xr:uid="{00000000-0005-0000-0000-000065060000}"/>
    <cellStyle name="20% - 강조색6 2 3" xfId="1818" xr:uid="{00000000-0005-0000-0000-000066060000}"/>
    <cellStyle name="20% - 강조색6 2 30" xfId="1819" xr:uid="{00000000-0005-0000-0000-000067060000}"/>
    <cellStyle name="20% - 강조색6 2 31" xfId="1820" xr:uid="{00000000-0005-0000-0000-000068060000}"/>
    <cellStyle name="20% - 강조색6 2 32" xfId="1821" xr:uid="{00000000-0005-0000-0000-000069060000}"/>
    <cellStyle name="20% - 강조색6 2 33" xfId="1822" xr:uid="{00000000-0005-0000-0000-00006A060000}"/>
    <cellStyle name="20% - 강조색6 2 34" xfId="1823" xr:uid="{00000000-0005-0000-0000-00006B060000}"/>
    <cellStyle name="20% - 강조색6 2 35" xfId="1824" xr:uid="{00000000-0005-0000-0000-00006C060000}"/>
    <cellStyle name="20% - 강조색6 2 36" xfId="1825" xr:uid="{00000000-0005-0000-0000-00006D060000}"/>
    <cellStyle name="20% - 강조색6 2 37" xfId="1826" xr:uid="{00000000-0005-0000-0000-00006E060000}"/>
    <cellStyle name="20% - 강조색6 2 38" xfId="1827" xr:uid="{00000000-0005-0000-0000-00006F060000}"/>
    <cellStyle name="20% - 강조색6 2 39" xfId="1828" xr:uid="{00000000-0005-0000-0000-000070060000}"/>
    <cellStyle name="20% - 강조색6 2 4" xfId="1829" xr:uid="{00000000-0005-0000-0000-000071060000}"/>
    <cellStyle name="20% - 강조색6 2 5" xfId="1830" xr:uid="{00000000-0005-0000-0000-000072060000}"/>
    <cellStyle name="20% - 강조색6 2 6" xfId="1831" xr:uid="{00000000-0005-0000-0000-000073060000}"/>
    <cellStyle name="20% - 강조색6 2 7" xfId="1832" xr:uid="{00000000-0005-0000-0000-000074060000}"/>
    <cellStyle name="20% - 강조색6 2 8" xfId="1833" xr:uid="{00000000-0005-0000-0000-000075060000}"/>
    <cellStyle name="20% - 강조색6 2 9" xfId="1834" xr:uid="{00000000-0005-0000-0000-000076060000}"/>
    <cellStyle name="20% - 강조색6 20" xfId="1835" xr:uid="{00000000-0005-0000-0000-000077060000}"/>
    <cellStyle name="20% - 강조색6 21" xfId="1836" xr:uid="{00000000-0005-0000-0000-000078060000}"/>
    <cellStyle name="20% - 강조색6 22" xfId="1837" xr:uid="{00000000-0005-0000-0000-000079060000}"/>
    <cellStyle name="20% - 강조색6 23" xfId="1838" xr:uid="{00000000-0005-0000-0000-00007A060000}"/>
    <cellStyle name="20% - 강조색6 24" xfId="1839" xr:uid="{00000000-0005-0000-0000-00007B060000}"/>
    <cellStyle name="20% - 강조색6 25" xfId="1840" xr:uid="{00000000-0005-0000-0000-00007C060000}"/>
    <cellStyle name="20% - 강조색6 26" xfId="1841" xr:uid="{00000000-0005-0000-0000-00007D060000}"/>
    <cellStyle name="20% - 강조색6 27" xfId="1842" xr:uid="{00000000-0005-0000-0000-00007E060000}"/>
    <cellStyle name="20% - 강조색6 27 2" xfId="1843" xr:uid="{00000000-0005-0000-0000-00007F060000}"/>
    <cellStyle name="20% - 강조색6 28" xfId="1844" xr:uid="{00000000-0005-0000-0000-000080060000}"/>
    <cellStyle name="20% - 강조색6 29" xfId="1845" xr:uid="{00000000-0005-0000-0000-000081060000}"/>
    <cellStyle name="20% - 강조색6 3" xfId="1846" xr:uid="{00000000-0005-0000-0000-000082060000}"/>
    <cellStyle name="20% - 강조색6 3 2" xfId="1847" xr:uid="{00000000-0005-0000-0000-000083060000}"/>
    <cellStyle name="20% - 강조색6 3 3" xfId="1848" xr:uid="{00000000-0005-0000-0000-000084060000}"/>
    <cellStyle name="20% - 강조색6 3 4" xfId="1849" xr:uid="{00000000-0005-0000-0000-000085060000}"/>
    <cellStyle name="20% - 강조색6 30" xfId="1850" xr:uid="{00000000-0005-0000-0000-000086060000}"/>
    <cellStyle name="20% - 강조색6 31" xfId="1851" xr:uid="{00000000-0005-0000-0000-000087060000}"/>
    <cellStyle name="20% - 강조색6 32" xfId="1852" xr:uid="{00000000-0005-0000-0000-000088060000}"/>
    <cellStyle name="20% - 강조색6 33" xfId="1853" xr:uid="{00000000-0005-0000-0000-000089060000}"/>
    <cellStyle name="20% - 강조색6 34" xfId="1854" xr:uid="{00000000-0005-0000-0000-00008A060000}"/>
    <cellStyle name="20% - 강조색6 35" xfId="1855" xr:uid="{00000000-0005-0000-0000-00008B060000}"/>
    <cellStyle name="20% - 강조색6 35 2" xfId="1856" xr:uid="{00000000-0005-0000-0000-00008C060000}"/>
    <cellStyle name="20% - 강조색6 35 2 2" xfId="1857" xr:uid="{00000000-0005-0000-0000-00008D060000}"/>
    <cellStyle name="20% - 강조색6 35 2 3" xfId="1858" xr:uid="{00000000-0005-0000-0000-00008E060000}"/>
    <cellStyle name="20% - 강조색6 35 3" xfId="1859" xr:uid="{00000000-0005-0000-0000-00008F060000}"/>
    <cellStyle name="20% - 강조색6 35 4" xfId="1860" xr:uid="{00000000-0005-0000-0000-000090060000}"/>
    <cellStyle name="20% - 강조색6 36" xfId="1861" xr:uid="{00000000-0005-0000-0000-000091060000}"/>
    <cellStyle name="20% - 강조색6 36 2" xfId="1862" xr:uid="{00000000-0005-0000-0000-000092060000}"/>
    <cellStyle name="20% - 강조색6 36 2 2" xfId="1863" xr:uid="{00000000-0005-0000-0000-000093060000}"/>
    <cellStyle name="20% - 강조색6 36 2 3" xfId="1864" xr:uid="{00000000-0005-0000-0000-000094060000}"/>
    <cellStyle name="20% - 강조색6 36 3" xfId="1865" xr:uid="{00000000-0005-0000-0000-000095060000}"/>
    <cellStyle name="20% - 강조색6 36 4" xfId="1866" xr:uid="{00000000-0005-0000-0000-000096060000}"/>
    <cellStyle name="20% - 강조색6 37" xfId="1867" xr:uid="{00000000-0005-0000-0000-000097060000}"/>
    <cellStyle name="20% - 강조색6 37 2" xfId="1868" xr:uid="{00000000-0005-0000-0000-000098060000}"/>
    <cellStyle name="20% - 강조색6 37 3" xfId="1869" xr:uid="{00000000-0005-0000-0000-000099060000}"/>
    <cellStyle name="20% - 강조색6 37 4" xfId="1870" xr:uid="{00000000-0005-0000-0000-00009A060000}"/>
    <cellStyle name="20% - 강조색6 38" xfId="1871" xr:uid="{00000000-0005-0000-0000-00009B060000}"/>
    <cellStyle name="20% - 강조색6 39" xfId="1872" xr:uid="{00000000-0005-0000-0000-00009C060000}"/>
    <cellStyle name="20% - 강조색6 4" xfId="1873" xr:uid="{00000000-0005-0000-0000-00009D060000}"/>
    <cellStyle name="20% - 강조색6 4 2" xfId="1874" xr:uid="{00000000-0005-0000-0000-00009E060000}"/>
    <cellStyle name="20% - 강조색6 4 3" xfId="1875" xr:uid="{00000000-0005-0000-0000-00009F060000}"/>
    <cellStyle name="20% - 강조색6 4 4" xfId="1876" xr:uid="{00000000-0005-0000-0000-0000A0060000}"/>
    <cellStyle name="20% - 강조색6 40" xfId="1877" xr:uid="{00000000-0005-0000-0000-0000A1060000}"/>
    <cellStyle name="20% - 강조색6 41" xfId="1878" xr:uid="{00000000-0005-0000-0000-0000A2060000}"/>
    <cellStyle name="20% - 강조색6 42" xfId="1879" xr:uid="{00000000-0005-0000-0000-0000A3060000}"/>
    <cellStyle name="20% - 강조색6 43" xfId="1880" xr:uid="{00000000-0005-0000-0000-0000A4060000}"/>
    <cellStyle name="20% - 강조색6 44" xfId="1881" xr:uid="{00000000-0005-0000-0000-0000A5060000}"/>
    <cellStyle name="20% - 강조색6 44 2" xfId="1882" xr:uid="{00000000-0005-0000-0000-0000A6060000}"/>
    <cellStyle name="20% - 강조색6 44 3" xfId="1883" xr:uid="{00000000-0005-0000-0000-0000A7060000}"/>
    <cellStyle name="20% - 강조색6 45" xfId="1884" xr:uid="{00000000-0005-0000-0000-0000A8060000}"/>
    <cellStyle name="20% - 강조색6 45 2" xfId="1885" xr:uid="{00000000-0005-0000-0000-0000A9060000}"/>
    <cellStyle name="20% - 강조색6 45 3" xfId="1886" xr:uid="{00000000-0005-0000-0000-0000AA060000}"/>
    <cellStyle name="20% - 강조색6 46" xfId="1887" xr:uid="{00000000-0005-0000-0000-0000AB060000}"/>
    <cellStyle name="20% - 강조색6 47" xfId="1888" xr:uid="{00000000-0005-0000-0000-0000AC060000}"/>
    <cellStyle name="20% - 강조색6 48" xfId="1889" xr:uid="{00000000-0005-0000-0000-0000AD060000}"/>
    <cellStyle name="20% - 강조색6 49" xfId="1890" xr:uid="{00000000-0005-0000-0000-0000AE060000}"/>
    <cellStyle name="20% - 강조색6 5" xfId="1891" xr:uid="{00000000-0005-0000-0000-0000AF060000}"/>
    <cellStyle name="20% - 강조색6 5 2" xfId="1892" xr:uid="{00000000-0005-0000-0000-0000B0060000}"/>
    <cellStyle name="20% - 강조색6 5 3" xfId="1893" xr:uid="{00000000-0005-0000-0000-0000B1060000}"/>
    <cellStyle name="20% - 강조색6 5 4" xfId="1894" xr:uid="{00000000-0005-0000-0000-0000B2060000}"/>
    <cellStyle name="20% - 강조색6 50" xfId="1895" xr:uid="{00000000-0005-0000-0000-0000B3060000}"/>
    <cellStyle name="20% - 강조색6 51" xfId="1896" xr:uid="{00000000-0005-0000-0000-0000B4060000}"/>
    <cellStyle name="20% - 강조색6 52" xfId="1897" xr:uid="{00000000-0005-0000-0000-0000B5060000}"/>
    <cellStyle name="20% - 강조색6 53" xfId="1898" xr:uid="{00000000-0005-0000-0000-0000B6060000}"/>
    <cellStyle name="20% - 강조색6 54" xfId="1899" xr:uid="{00000000-0005-0000-0000-0000B7060000}"/>
    <cellStyle name="20% - 강조색6 55" xfId="1900" xr:uid="{00000000-0005-0000-0000-0000B8060000}"/>
    <cellStyle name="20% - 강조색6 6" xfId="1901" xr:uid="{00000000-0005-0000-0000-0000B9060000}"/>
    <cellStyle name="20% - 강조색6 6 2" xfId="1902" xr:uid="{00000000-0005-0000-0000-0000BA060000}"/>
    <cellStyle name="20% - 강조색6 6 3" xfId="1903" xr:uid="{00000000-0005-0000-0000-0000BB060000}"/>
    <cellStyle name="20% - 강조색6 6 4" xfId="1904" xr:uid="{00000000-0005-0000-0000-0000BC060000}"/>
    <cellStyle name="20% - 강조색6 7" xfId="1905" xr:uid="{00000000-0005-0000-0000-0000BD060000}"/>
    <cellStyle name="20% - 강조색6 7 2" xfId="1906" xr:uid="{00000000-0005-0000-0000-0000BE060000}"/>
    <cellStyle name="20% - 강조색6 7 3" xfId="1907" xr:uid="{00000000-0005-0000-0000-0000BF060000}"/>
    <cellStyle name="20% - 강조색6 7 4" xfId="1908" xr:uid="{00000000-0005-0000-0000-0000C0060000}"/>
    <cellStyle name="20% - 강조색6 8" xfId="1909" xr:uid="{00000000-0005-0000-0000-0000C1060000}"/>
    <cellStyle name="20% - 강조색6 9" xfId="1910" xr:uid="{00000000-0005-0000-0000-0000C2060000}"/>
    <cellStyle name="_x0004_3;_x0018_" xfId="1911" xr:uid="{00000000-0005-0000-0000-0000C3060000}"/>
    <cellStyle name="3232" xfId="1912" xr:uid="{00000000-0005-0000-0000-0000C4060000}"/>
    <cellStyle name="³f¹o [0]_RESULTS" xfId="1913" xr:uid="{00000000-0005-0000-0000-0000C5060000}"/>
    <cellStyle name="³f¹o[0]_laroux" xfId="1914" xr:uid="{00000000-0005-0000-0000-0000C6060000}"/>
    <cellStyle name="³f¹o_laroux" xfId="1915" xr:uid="{00000000-0005-0000-0000-0000C7060000}"/>
    <cellStyle name="40% - Accent1" xfId="1916" xr:uid="{00000000-0005-0000-0000-0000C8060000}"/>
    <cellStyle name="40% - Accent1 2" xfId="1917" xr:uid="{00000000-0005-0000-0000-0000C9060000}"/>
    <cellStyle name="40% - Accent2" xfId="1918" xr:uid="{00000000-0005-0000-0000-0000CA060000}"/>
    <cellStyle name="40% - Accent2 2" xfId="1919" xr:uid="{00000000-0005-0000-0000-0000CB060000}"/>
    <cellStyle name="40% - Accent3" xfId="1920" xr:uid="{00000000-0005-0000-0000-0000CC060000}"/>
    <cellStyle name="40% - Accent3 2" xfId="1921" xr:uid="{00000000-0005-0000-0000-0000CD060000}"/>
    <cellStyle name="40% - Accent4" xfId="1922" xr:uid="{00000000-0005-0000-0000-0000CE060000}"/>
    <cellStyle name="40% - Accent4 2" xfId="1923" xr:uid="{00000000-0005-0000-0000-0000CF060000}"/>
    <cellStyle name="40% - Accent5" xfId="1924" xr:uid="{00000000-0005-0000-0000-0000D0060000}"/>
    <cellStyle name="40% - Accent5 2" xfId="1925" xr:uid="{00000000-0005-0000-0000-0000D1060000}"/>
    <cellStyle name="40% - Accent6" xfId="1926" xr:uid="{00000000-0005-0000-0000-0000D2060000}"/>
    <cellStyle name="40% - Accent6 2" xfId="1927" xr:uid="{00000000-0005-0000-0000-0000D3060000}"/>
    <cellStyle name="40% - 강조색1 10" xfId="1928" xr:uid="{00000000-0005-0000-0000-0000D4060000}"/>
    <cellStyle name="40% - 강조색1 11" xfId="1929" xr:uid="{00000000-0005-0000-0000-0000D5060000}"/>
    <cellStyle name="40% - 강조색1 12" xfId="1930" xr:uid="{00000000-0005-0000-0000-0000D6060000}"/>
    <cellStyle name="40% - 강조색1 13" xfId="1931" xr:uid="{00000000-0005-0000-0000-0000D7060000}"/>
    <cellStyle name="40% - 강조색1 14" xfId="1932" xr:uid="{00000000-0005-0000-0000-0000D8060000}"/>
    <cellStyle name="40% - 강조색1 14 2" xfId="1933" xr:uid="{00000000-0005-0000-0000-0000D9060000}"/>
    <cellStyle name="40% - 강조색1 14 3" xfId="1934" xr:uid="{00000000-0005-0000-0000-0000DA060000}"/>
    <cellStyle name="40% - 강조색1 15" xfId="1935" xr:uid="{00000000-0005-0000-0000-0000DB060000}"/>
    <cellStyle name="40% - 강조색1 15 2" xfId="1936" xr:uid="{00000000-0005-0000-0000-0000DC060000}"/>
    <cellStyle name="40% - 강조색1 15 3" xfId="1937" xr:uid="{00000000-0005-0000-0000-0000DD060000}"/>
    <cellStyle name="40% - 강조색1 16" xfId="1938" xr:uid="{00000000-0005-0000-0000-0000DE060000}"/>
    <cellStyle name="40% - 강조색1 16 2" xfId="1939" xr:uid="{00000000-0005-0000-0000-0000DF060000}"/>
    <cellStyle name="40% - 강조색1 16 3" xfId="1940" xr:uid="{00000000-0005-0000-0000-0000E0060000}"/>
    <cellStyle name="40% - 강조색1 17" xfId="1941" xr:uid="{00000000-0005-0000-0000-0000E1060000}"/>
    <cellStyle name="40% - 강조색1 17 2" xfId="1942" xr:uid="{00000000-0005-0000-0000-0000E2060000}"/>
    <cellStyle name="40% - 강조색1 17 3" xfId="1943" xr:uid="{00000000-0005-0000-0000-0000E3060000}"/>
    <cellStyle name="40% - 강조색1 18" xfId="1944" xr:uid="{00000000-0005-0000-0000-0000E4060000}"/>
    <cellStyle name="40% - 강조색1 18 2" xfId="1945" xr:uid="{00000000-0005-0000-0000-0000E5060000}"/>
    <cellStyle name="40% - 강조색1 18 3" xfId="1946" xr:uid="{00000000-0005-0000-0000-0000E6060000}"/>
    <cellStyle name="40% - 강조색1 19" xfId="1947" xr:uid="{00000000-0005-0000-0000-0000E7060000}"/>
    <cellStyle name="40% - 강조색1 19 2" xfId="1948" xr:uid="{00000000-0005-0000-0000-0000E8060000}"/>
    <cellStyle name="40% - 강조색1 19 3" xfId="1949" xr:uid="{00000000-0005-0000-0000-0000E9060000}"/>
    <cellStyle name="40% - 강조색1 2" xfId="1950" xr:uid="{00000000-0005-0000-0000-0000EA060000}"/>
    <cellStyle name="40% - 강조색1 2 10" xfId="1951" xr:uid="{00000000-0005-0000-0000-0000EB060000}"/>
    <cellStyle name="40% - 강조색1 2 11" xfId="1952" xr:uid="{00000000-0005-0000-0000-0000EC060000}"/>
    <cellStyle name="40% - 강조색1 2 12" xfId="1953" xr:uid="{00000000-0005-0000-0000-0000ED060000}"/>
    <cellStyle name="40% - 강조색1 2 13" xfId="1954" xr:uid="{00000000-0005-0000-0000-0000EE060000}"/>
    <cellStyle name="40% - 강조색1 2 14" xfId="1955" xr:uid="{00000000-0005-0000-0000-0000EF060000}"/>
    <cellStyle name="40% - 강조색1 2 15" xfId="1956" xr:uid="{00000000-0005-0000-0000-0000F0060000}"/>
    <cellStyle name="40% - 강조색1 2 16" xfId="1957" xr:uid="{00000000-0005-0000-0000-0000F1060000}"/>
    <cellStyle name="40% - 강조색1 2 17" xfId="1958" xr:uid="{00000000-0005-0000-0000-0000F2060000}"/>
    <cellStyle name="40% - 강조색1 2 18" xfId="1959" xr:uid="{00000000-0005-0000-0000-0000F3060000}"/>
    <cellStyle name="40% - 강조색1 2 19" xfId="1960" xr:uid="{00000000-0005-0000-0000-0000F4060000}"/>
    <cellStyle name="40% - 강조색1 2 2" xfId="1961" xr:uid="{00000000-0005-0000-0000-0000F5060000}"/>
    <cellStyle name="40% - 강조색1 2 20" xfId="1962" xr:uid="{00000000-0005-0000-0000-0000F6060000}"/>
    <cellStyle name="40% - 강조색1 2 21" xfId="1963" xr:uid="{00000000-0005-0000-0000-0000F7060000}"/>
    <cellStyle name="40% - 강조색1 2 22" xfId="1964" xr:uid="{00000000-0005-0000-0000-0000F8060000}"/>
    <cellStyle name="40% - 강조색1 2 23" xfId="1965" xr:uid="{00000000-0005-0000-0000-0000F9060000}"/>
    <cellStyle name="40% - 강조색1 2 24" xfId="1966" xr:uid="{00000000-0005-0000-0000-0000FA060000}"/>
    <cellStyle name="40% - 강조색1 2 25" xfId="1967" xr:uid="{00000000-0005-0000-0000-0000FB060000}"/>
    <cellStyle name="40% - 강조색1 2 26" xfId="1968" xr:uid="{00000000-0005-0000-0000-0000FC060000}"/>
    <cellStyle name="40% - 강조색1 2 27" xfId="1969" xr:uid="{00000000-0005-0000-0000-0000FD060000}"/>
    <cellStyle name="40% - 강조색1 2 28" xfId="1970" xr:uid="{00000000-0005-0000-0000-0000FE060000}"/>
    <cellStyle name="40% - 강조색1 2 29" xfId="1971" xr:uid="{00000000-0005-0000-0000-0000FF060000}"/>
    <cellStyle name="40% - 강조색1 2 3" xfId="1972" xr:uid="{00000000-0005-0000-0000-000000070000}"/>
    <cellStyle name="40% - 강조색1 2 30" xfId="1973" xr:uid="{00000000-0005-0000-0000-000001070000}"/>
    <cellStyle name="40% - 강조색1 2 31" xfId="1974" xr:uid="{00000000-0005-0000-0000-000002070000}"/>
    <cellStyle name="40% - 강조색1 2 32" xfId="1975" xr:uid="{00000000-0005-0000-0000-000003070000}"/>
    <cellStyle name="40% - 강조색1 2 33" xfId="1976" xr:uid="{00000000-0005-0000-0000-000004070000}"/>
    <cellStyle name="40% - 강조색1 2 34" xfId="1977" xr:uid="{00000000-0005-0000-0000-000005070000}"/>
    <cellStyle name="40% - 강조색1 2 35" xfId="1978" xr:uid="{00000000-0005-0000-0000-000006070000}"/>
    <cellStyle name="40% - 강조색1 2 36" xfId="1979" xr:uid="{00000000-0005-0000-0000-000007070000}"/>
    <cellStyle name="40% - 강조색1 2 37" xfId="1980" xr:uid="{00000000-0005-0000-0000-000008070000}"/>
    <cellStyle name="40% - 강조색1 2 38" xfId="1981" xr:uid="{00000000-0005-0000-0000-000009070000}"/>
    <cellStyle name="40% - 강조색1 2 39" xfId="1982" xr:uid="{00000000-0005-0000-0000-00000A070000}"/>
    <cellStyle name="40% - 강조색1 2 4" xfId="1983" xr:uid="{00000000-0005-0000-0000-00000B070000}"/>
    <cellStyle name="40% - 강조색1 2 5" xfId="1984" xr:uid="{00000000-0005-0000-0000-00000C070000}"/>
    <cellStyle name="40% - 강조색1 2 6" xfId="1985" xr:uid="{00000000-0005-0000-0000-00000D070000}"/>
    <cellStyle name="40% - 강조색1 2 7" xfId="1986" xr:uid="{00000000-0005-0000-0000-00000E070000}"/>
    <cellStyle name="40% - 강조색1 2 8" xfId="1987" xr:uid="{00000000-0005-0000-0000-00000F070000}"/>
    <cellStyle name="40% - 강조색1 2 9" xfId="1988" xr:uid="{00000000-0005-0000-0000-000010070000}"/>
    <cellStyle name="40% - 강조색1 20" xfId="1989" xr:uid="{00000000-0005-0000-0000-000011070000}"/>
    <cellStyle name="40% - 강조색1 21" xfId="1990" xr:uid="{00000000-0005-0000-0000-000012070000}"/>
    <cellStyle name="40% - 강조색1 22" xfId="1991" xr:uid="{00000000-0005-0000-0000-000013070000}"/>
    <cellStyle name="40% - 강조색1 23" xfId="1992" xr:uid="{00000000-0005-0000-0000-000014070000}"/>
    <cellStyle name="40% - 강조색1 24" xfId="1993" xr:uid="{00000000-0005-0000-0000-000015070000}"/>
    <cellStyle name="40% - 강조색1 25" xfId="1994" xr:uid="{00000000-0005-0000-0000-000016070000}"/>
    <cellStyle name="40% - 강조색1 26" xfId="1995" xr:uid="{00000000-0005-0000-0000-000017070000}"/>
    <cellStyle name="40% - 강조색1 27" xfId="1996" xr:uid="{00000000-0005-0000-0000-000018070000}"/>
    <cellStyle name="40% - 강조색1 27 2" xfId="1997" xr:uid="{00000000-0005-0000-0000-000019070000}"/>
    <cellStyle name="40% - 강조색1 28" xfId="1998" xr:uid="{00000000-0005-0000-0000-00001A070000}"/>
    <cellStyle name="40% - 강조색1 29" xfId="1999" xr:uid="{00000000-0005-0000-0000-00001B070000}"/>
    <cellStyle name="40% - 강조색1 3" xfId="2000" xr:uid="{00000000-0005-0000-0000-00001C070000}"/>
    <cellStyle name="40% - 강조색1 3 2" xfId="2001" xr:uid="{00000000-0005-0000-0000-00001D070000}"/>
    <cellStyle name="40% - 강조색1 3 3" xfId="2002" xr:uid="{00000000-0005-0000-0000-00001E070000}"/>
    <cellStyle name="40% - 강조색1 3 4" xfId="2003" xr:uid="{00000000-0005-0000-0000-00001F070000}"/>
    <cellStyle name="40% - 강조색1 30" xfId="2004" xr:uid="{00000000-0005-0000-0000-000020070000}"/>
    <cellStyle name="40% - 강조색1 31" xfId="2005" xr:uid="{00000000-0005-0000-0000-000021070000}"/>
    <cellStyle name="40% - 강조색1 32" xfId="2006" xr:uid="{00000000-0005-0000-0000-000022070000}"/>
    <cellStyle name="40% - 강조색1 33" xfId="2007" xr:uid="{00000000-0005-0000-0000-000023070000}"/>
    <cellStyle name="40% - 강조색1 34" xfId="2008" xr:uid="{00000000-0005-0000-0000-000024070000}"/>
    <cellStyle name="40% - 강조색1 35" xfId="2009" xr:uid="{00000000-0005-0000-0000-000025070000}"/>
    <cellStyle name="40% - 강조색1 35 2" xfId="2010" xr:uid="{00000000-0005-0000-0000-000026070000}"/>
    <cellStyle name="40% - 강조색1 35 2 2" xfId="2011" xr:uid="{00000000-0005-0000-0000-000027070000}"/>
    <cellStyle name="40% - 강조색1 35 2 3" xfId="2012" xr:uid="{00000000-0005-0000-0000-000028070000}"/>
    <cellStyle name="40% - 강조색1 35 3" xfId="2013" xr:uid="{00000000-0005-0000-0000-000029070000}"/>
    <cellStyle name="40% - 강조색1 35 4" xfId="2014" xr:uid="{00000000-0005-0000-0000-00002A070000}"/>
    <cellStyle name="40% - 강조색1 36" xfId="2015" xr:uid="{00000000-0005-0000-0000-00002B070000}"/>
    <cellStyle name="40% - 강조색1 36 2" xfId="2016" xr:uid="{00000000-0005-0000-0000-00002C070000}"/>
    <cellStyle name="40% - 강조색1 36 2 2" xfId="2017" xr:uid="{00000000-0005-0000-0000-00002D070000}"/>
    <cellStyle name="40% - 강조색1 36 2 3" xfId="2018" xr:uid="{00000000-0005-0000-0000-00002E070000}"/>
    <cellStyle name="40% - 강조색1 36 3" xfId="2019" xr:uid="{00000000-0005-0000-0000-00002F070000}"/>
    <cellStyle name="40% - 강조색1 36 4" xfId="2020" xr:uid="{00000000-0005-0000-0000-000030070000}"/>
    <cellStyle name="40% - 강조색1 37" xfId="2021" xr:uid="{00000000-0005-0000-0000-000031070000}"/>
    <cellStyle name="40% - 강조색1 37 2" xfId="2022" xr:uid="{00000000-0005-0000-0000-000032070000}"/>
    <cellStyle name="40% - 강조색1 37 3" xfId="2023" xr:uid="{00000000-0005-0000-0000-000033070000}"/>
    <cellStyle name="40% - 강조색1 37 4" xfId="2024" xr:uid="{00000000-0005-0000-0000-000034070000}"/>
    <cellStyle name="40% - 강조색1 38" xfId="2025" xr:uid="{00000000-0005-0000-0000-000035070000}"/>
    <cellStyle name="40% - 강조색1 39" xfId="2026" xr:uid="{00000000-0005-0000-0000-000036070000}"/>
    <cellStyle name="40% - 강조색1 4" xfId="2027" xr:uid="{00000000-0005-0000-0000-000037070000}"/>
    <cellStyle name="40% - 강조색1 4 2" xfId="2028" xr:uid="{00000000-0005-0000-0000-000038070000}"/>
    <cellStyle name="40% - 강조색1 4 3" xfId="2029" xr:uid="{00000000-0005-0000-0000-000039070000}"/>
    <cellStyle name="40% - 강조색1 4 4" xfId="2030" xr:uid="{00000000-0005-0000-0000-00003A070000}"/>
    <cellStyle name="40% - 강조색1 40" xfId="2031" xr:uid="{00000000-0005-0000-0000-00003B070000}"/>
    <cellStyle name="40% - 강조색1 41" xfId="2032" xr:uid="{00000000-0005-0000-0000-00003C070000}"/>
    <cellStyle name="40% - 강조색1 42" xfId="2033" xr:uid="{00000000-0005-0000-0000-00003D070000}"/>
    <cellStyle name="40% - 강조색1 43" xfId="2034" xr:uid="{00000000-0005-0000-0000-00003E070000}"/>
    <cellStyle name="40% - 강조색1 44" xfId="2035" xr:uid="{00000000-0005-0000-0000-00003F070000}"/>
    <cellStyle name="40% - 강조색1 44 2" xfId="2036" xr:uid="{00000000-0005-0000-0000-000040070000}"/>
    <cellStyle name="40% - 강조색1 44 3" xfId="2037" xr:uid="{00000000-0005-0000-0000-000041070000}"/>
    <cellStyle name="40% - 강조색1 45" xfId="2038" xr:uid="{00000000-0005-0000-0000-000042070000}"/>
    <cellStyle name="40% - 강조색1 45 2" xfId="2039" xr:uid="{00000000-0005-0000-0000-000043070000}"/>
    <cellStyle name="40% - 강조색1 45 3" xfId="2040" xr:uid="{00000000-0005-0000-0000-000044070000}"/>
    <cellStyle name="40% - 강조색1 46" xfId="2041" xr:uid="{00000000-0005-0000-0000-000045070000}"/>
    <cellStyle name="40% - 강조색1 47" xfId="2042" xr:uid="{00000000-0005-0000-0000-000046070000}"/>
    <cellStyle name="40% - 강조색1 48" xfId="2043" xr:uid="{00000000-0005-0000-0000-000047070000}"/>
    <cellStyle name="40% - 강조색1 49" xfId="2044" xr:uid="{00000000-0005-0000-0000-000048070000}"/>
    <cellStyle name="40% - 강조색1 5" xfId="2045" xr:uid="{00000000-0005-0000-0000-000049070000}"/>
    <cellStyle name="40% - 강조색1 5 2" xfId="2046" xr:uid="{00000000-0005-0000-0000-00004A070000}"/>
    <cellStyle name="40% - 강조색1 5 3" xfId="2047" xr:uid="{00000000-0005-0000-0000-00004B070000}"/>
    <cellStyle name="40% - 강조색1 5 4" xfId="2048" xr:uid="{00000000-0005-0000-0000-00004C070000}"/>
    <cellStyle name="40% - 강조색1 50" xfId="2049" xr:uid="{00000000-0005-0000-0000-00004D070000}"/>
    <cellStyle name="40% - 강조색1 51" xfId="2050" xr:uid="{00000000-0005-0000-0000-00004E070000}"/>
    <cellStyle name="40% - 강조색1 52" xfId="2051" xr:uid="{00000000-0005-0000-0000-00004F070000}"/>
    <cellStyle name="40% - 강조색1 53" xfId="2052" xr:uid="{00000000-0005-0000-0000-000050070000}"/>
    <cellStyle name="40% - 강조색1 54" xfId="2053" xr:uid="{00000000-0005-0000-0000-000051070000}"/>
    <cellStyle name="40% - 강조색1 55" xfId="2054" xr:uid="{00000000-0005-0000-0000-000052070000}"/>
    <cellStyle name="40% - 강조색1 6" xfId="2055" xr:uid="{00000000-0005-0000-0000-000053070000}"/>
    <cellStyle name="40% - 강조색1 6 2" xfId="2056" xr:uid="{00000000-0005-0000-0000-000054070000}"/>
    <cellStyle name="40% - 강조색1 6 3" xfId="2057" xr:uid="{00000000-0005-0000-0000-000055070000}"/>
    <cellStyle name="40% - 강조색1 6 4" xfId="2058" xr:uid="{00000000-0005-0000-0000-000056070000}"/>
    <cellStyle name="40% - 강조색1 7" xfId="2059" xr:uid="{00000000-0005-0000-0000-000057070000}"/>
    <cellStyle name="40% - 강조색1 7 2" xfId="2060" xr:uid="{00000000-0005-0000-0000-000058070000}"/>
    <cellStyle name="40% - 강조색1 7 3" xfId="2061" xr:uid="{00000000-0005-0000-0000-000059070000}"/>
    <cellStyle name="40% - 강조색1 7 4" xfId="2062" xr:uid="{00000000-0005-0000-0000-00005A070000}"/>
    <cellStyle name="40% - 강조색1 8" xfId="2063" xr:uid="{00000000-0005-0000-0000-00005B070000}"/>
    <cellStyle name="40% - 강조색1 9" xfId="2064" xr:uid="{00000000-0005-0000-0000-00005C070000}"/>
    <cellStyle name="40% - 강조색2 10" xfId="2065" xr:uid="{00000000-0005-0000-0000-00005D070000}"/>
    <cellStyle name="40% - 강조색2 11" xfId="2066" xr:uid="{00000000-0005-0000-0000-00005E070000}"/>
    <cellStyle name="40% - 강조색2 12" xfId="2067" xr:uid="{00000000-0005-0000-0000-00005F070000}"/>
    <cellStyle name="40% - 강조색2 13" xfId="2068" xr:uid="{00000000-0005-0000-0000-000060070000}"/>
    <cellStyle name="40% - 강조색2 14" xfId="2069" xr:uid="{00000000-0005-0000-0000-000061070000}"/>
    <cellStyle name="40% - 강조색2 14 2" xfId="2070" xr:uid="{00000000-0005-0000-0000-000062070000}"/>
    <cellStyle name="40% - 강조색2 14 3" xfId="2071" xr:uid="{00000000-0005-0000-0000-000063070000}"/>
    <cellStyle name="40% - 강조색2 15" xfId="2072" xr:uid="{00000000-0005-0000-0000-000064070000}"/>
    <cellStyle name="40% - 강조색2 15 2" xfId="2073" xr:uid="{00000000-0005-0000-0000-000065070000}"/>
    <cellStyle name="40% - 강조색2 15 3" xfId="2074" xr:uid="{00000000-0005-0000-0000-000066070000}"/>
    <cellStyle name="40% - 강조색2 16" xfId="2075" xr:uid="{00000000-0005-0000-0000-000067070000}"/>
    <cellStyle name="40% - 강조색2 16 2" xfId="2076" xr:uid="{00000000-0005-0000-0000-000068070000}"/>
    <cellStyle name="40% - 강조색2 16 3" xfId="2077" xr:uid="{00000000-0005-0000-0000-000069070000}"/>
    <cellStyle name="40% - 강조색2 17" xfId="2078" xr:uid="{00000000-0005-0000-0000-00006A070000}"/>
    <cellStyle name="40% - 강조색2 17 2" xfId="2079" xr:uid="{00000000-0005-0000-0000-00006B070000}"/>
    <cellStyle name="40% - 강조색2 17 3" xfId="2080" xr:uid="{00000000-0005-0000-0000-00006C070000}"/>
    <cellStyle name="40% - 강조색2 18" xfId="2081" xr:uid="{00000000-0005-0000-0000-00006D070000}"/>
    <cellStyle name="40% - 강조색2 18 2" xfId="2082" xr:uid="{00000000-0005-0000-0000-00006E070000}"/>
    <cellStyle name="40% - 강조색2 18 3" xfId="2083" xr:uid="{00000000-0005-0000-0000-00006F070000}"/>
    <cellStyle name="40% - 강조색2 19" xfId="2084" xr:uid="{00000000-0005-0000-0000-000070070000}"/>
    <cellStyle name="40% - 강조색2 19 2" xfId="2085" xr:uid="{00000000-0005-0000-0000-000071070000}"/>
    <cellStyle name="40% - 강조색2 19 3" xfId="2086" xr:uid="{00000000-0005-0000-0000-000072070000}"/>
    <cellStyle name="40% - 강조색2 2" xfId="2087" xr:uid="{00000000-0005-0000-0000-000073070000}"/>
    <cellStyle name="40% - 강조색2 2 10" xfId="2088" xr:uid="{00000000-0005-0000-0000-000074070000}"/>
    <cellStyle name="40% - 강조색2 2 11" xfId="2089" xr:uid="{00000000-0005-0000-0000-000075070000}"/>
    <cellStyle name="40% - 강조색2 2 12" xfId="2090" xr:uid="{00000000-0005-0000-0000-000076070000}"/>
    <cellStyle name="40% - 강조색2 2 13" xfId="2091" xr:uid="{00000000-0005-0000-0000-000077070000}"/>
    <cellStyle name="40% - 강조색2 2 14" xfId="2092" xr:uid="{00000000-0005-0000-0000-000078070000}"/>
    <cellStyle name="40% - 강조색2 2 15" xfId="2093" xr:uid="{00000000-0005-0000-0000-000079070000}"/>
    <cellStyle name="40% - 강조색2 2 16" xfId="2094" xr:uid="{00000000-0005-0000-0000-00007A070000}"/>
    <cellStyle name="40% - 강조색2 2 17" xfId="2095" xr:uid="{00000000-0005-0000-0000-00007B070000}"/>
    <cellStyle name="40% - 강조색2 2 18" xfId="2096" xr:uid="{00000000-0005-0000-0000-00007C070000}"/>
    <cellStyle name="40% - 강조색2 2 19" xfId="2097" xr:uid="{00000000-0005-0000-0000-00007D070000}"/>
    <cellStyle name="40% - 강조색2 2 2" xfId="2098" xr:uid="{00000000-0005-0000-0000-00007E070000}"/>
    <cellStyle name="40% - 강조색2 2 20" xfId="2099" xr:uid="{00000000-0005-0000-0000-00007F070000}"/>
    <cellStyle name="40% - 강조색2 2 21" xfId="2100" xr:uid="{00000000-0005-0000-0000-000080070000}"/>
    <cellStyle name="40% - 강조색2 2 22" xfId="2101" xr:uid="{00000000-0005-0000-0000-000081070000}"/>
    <cellStyle name="40% - 강조색2 2 23" xfId="2102" xr:uid="{00000000-0005-0000-0000-000082070000}"/>
    <cellStyle name="40% - 강조색2 2 24" xfId="2103" xr:uid="{00000000-0005-0000-0000-000083070000}"/>
    <cellStyle name="40% - 강조색2 2 25" xfId="2104" xr:uid="{00000000-0005-0000-0000-000084070000}"/>
    <cellStyle name="40% - 강조색2 2 26" xfId="2105" xr:uid="{00000000-0005-0000-0000-000085070000}"/>
    <cellStyle name="40% - 강조색2 2 27" xfId="2106" xr:uid="{00000000-0005-0000-0000-000086070000}"/>
    <cellStyle name="40% - 강조색2 2 28" xfId="2107" xr:uid="{00000000-0005-0000-0000-000087070000}"/>
    <cellStyle name="40% - 강조색2 2 29" xfId="2108" xr:uid="{00000000-0005-0000-0000-000088070000}"/>
    <cellStyle name="40% - 강조색2 2 3" xfId="2109" xr:uid="{00000000-0005-0000-0000-000089070000}"/>
    <cellStyle name="40% - 강조색2 2 30" xfId="2110" xr:uid="{00000000-0005-0000-0000-00008A070000}"/>
    <cellStyle name="40% - 강조색2 2 31" xfId="2111" xr:uid="{00000000-0005-0000-0000-00008B070000}"/>
    <cellStyle name="40% - 강조색2 2 32" xfId="2112" xr:uid="{00000000-0005-0000-0000-00008C070000}"/>
    <cellStyle name="40% - 강조색2 2 33" xfId="2113" xr:uid="{00000000-0005-0000-0000-00008D070000}"/>
    <cellStyle name="40% - 강조색2 2 34" xfId="2114" xr:uid="{00000000-0005-0000-0000-00008E070000}"/>
    <cellStyle name="40% - 강조색2 2 35" xfId="2115" xr:uid="{00000000-0005-0000-0000-00008F070000}"/>
    <cellStyle name="40% - 강조색2 2 36" xfId="2116" xr:uid="{00000000-0005-0000-0000-000090070000}"/>
    <cellStyle name="40% - 강조색2 2 37" xfId="2117" xr:uid="{00000000-0005-0000-0000-000091070000}"/>
    <cellStyle name="40% - 강조색2 2 38" xfId="2118" xr:uid="{00000000-0005-0000-0000-000092070000}"/>
    <cellStyle name="40% - 강조색2 2 39" xfId="2119" xr:uid="{00000000-0005-0000-0000-000093070000}"/>
    <cellStyle name="40% - 강조색2 2 4" xfId="2120" xr:uid="{00000000-0005-0000-0000-000094070000}"/>
    <cellStyle name="40% - 강조색2 2 5" xfId="2121" xr:uid="{00000000-0005-0000-0000-000095070000}"/>
    <cellStyle name="40% - 강조색2 2 6" xfId="2122" xr:uid="{00000000-0005-0000-0000-000096070000}"/>
    <cellStyle name="40% - 강조색2 2 7" xfId="2123" xr:uid="{00000000-0005-0000-0000-000097070000}"/>
    <cellStyle name="40% - 강조색2 2 8" xfId="2124" xr:uid="{00000000-0005-0000-0000-000098070000}"/>
    <cellStyle name="40% - 강조색2 2 9" xfId="2125" xr:uid="{00000000-0005-0000-0000-000099070000}"/>
    <cellStyle name="40% - 강조색2 20" xfId="2126" xr:uid="{00000000-0005-0000-0000-00009A070000}"/>
    <cellStyle name="40% - 강조색2 21" xfId="2127" xr:uid="{00000000-0005-0000-0000-00009B070000}"/>
    <cellStyle name="40% - 강조색2 22" xfId="2128" xr:uid="{00000000-0005-0000-0000-00009C070000}"/>
    <cellStyle name="40% - 강조색2 23" xfId="2129" xr:uid="{00000000-0005-0000-0000-00009D070000}"/>
    <cellStyle name="40% - 강조색2 24" xfId="2130" xr:uid="{00000000-0005-0000-0000-00009E070000}"/>
    <cellStyle name="40% - 강조색2 25" xfId="2131" xr:uid="{00000000-0005-0000-0000-00009F070000}"/>
    <cellStyle name="40% - 강조색2 26" xfId="2132" xr:uid="{00000000-0005-0000-0000-0000A0070000}"/>
    <cellStyle name="40% - 강조색2 27" xfId="2133" xr:uid="{00000000-0005-0000-0000-0000A1070000}"/>
    <cellStyle name="40% - 강조색2 27 2" xfId="2134" xr:uid="{00000000-0005-0000-0000-0000A2070000}"/>
    <cellStyle name="40% - 강조색2 28" xfId="2135" xr:uid="{00000000-0005-0000-0000-0000A3070000}"/>
    <cellStyle name="40% - 강조색2 29" xfId="2136" xr:uid="{00000000-0005-0000-0000-0000A4070000}"/>
    <cellStyle name="40% - 강조색2 3" xfId="2137" xr:uid="{00000000-0005-0000-0000-0000A5070000}"/>
    <cellStyle name="40% - 강조색2 3 2" xfId="2138" xr:uid="{00000000-0005-0000-0000-0000A6070000}"/>
    <cellStyle name="40% - 강조색2 3 3" xfId="2139" xr:uid="{00000000-0005-0000-0000-0000A7070000}"/>
    <cellStyle name="40% - 강조색2 3 4" xfId="2140" xr:uid="{00000000-0005-0000-0000-0000A8070000}"/>
    <cellStyle name="40% - 강조색2 30" xfId="2141" xr:uid="{00000000-0005-0000-0000-0000A9070000}"/>
    <cellStyle name="40% - 강조색2 31" xfId="2142" xr:uid="{00000000-0005-0000-0000-0000AA070000}"/>
    <cellStyle name="40% - 강조색2 32" xfId="2143" xr:uid="{00000000-0005-0000-0000-0000AB070000}"/>
    <cellStyle name="40% - 강조색2 33" xfId="2144" xr:uid="{00000000-0005-0000-0000-0000AC070000}"/>
    <cellStyle name="40% - 강조색2 34" xfId="2145" xr:uid="{00000000-0005-0000-0000-0000AD070000}"/>
    <cellStyle name="40% - 강조색2 35" xfId="2146" xr:uid="{00000000-0005-0000-0000-0000AE070000}"/>
    <cellStyle name="40% - 강조색2 35 2" xfId="2147" xr:uid="{00000000-0005-0000-0000-0000AF070000}"/>
    <cellStyle name="40% - 강조색2 35 2 2" xfId="2148" xr:uid="{00000000-0005-0000-0000-0000B0070000}"/>
    <cellStyle name="40% - 강조색2 35 2 3" xfId="2149" xr:uid="{00000000-0005-0000-0000-0000B1070000}"/>
    <cellStyle name="40% - 강조색2 35 3" xfId="2150" xr:uid="{00000000-0005-0000-0000-0000B2070000}"/>
    <cellStyle name="40% - 강조색2 35 4" xfId="2151" xr:uid="{00000000-0005-0000-0000-0000B3070000}"/>
    <cellStyle name="40% - 강조색2 36" xfId="2152" xr:uid="{00000000-0005-0000-0000-0000B4070000}"/>
    <cellStyle name="40% - 강조색2 36 2" xfId="2153" xr:uid="{00000000-0005-0000-0000-0000B5070000}"/>
    <cellStyle name="40% - 강조색2 36 2 2" xfId="2154" xr:uid="{00000000-0005-0000-0000-0000B6070000}"/>
    <cellStyle name="40% - 강조색2 36 2 3" xfId="2155" xr:uid="{00000000-0005-0000-0000-0000B7070000}"/>
    <cellStyle name="40% - 강조색2 36 3" xfId="2156" xr:uid="{00000000-0005-0000-0000-0000B8070000}"/>
    <cellStyle name="40% - 강조색2 36 4" xfId="2157" xr:uid="{00000000-0005-0000-0000-0000B9070000}"/>
    <cellStyle name="40% - 강조색2 37" xfId="2158" xr:uid="{00000000-0005-0000-0000-0000BA070000}"/>
    <cellStyle name="40% - 강조색2 37 2" xfId="2159" xr:uid="{00000000-0005-0000-0000-0000BB070000}"/>
    <cellStyle name="40% - 강조색2 37 3" xfId="2160" xr:uid="{00000000-0005-0000-0000-0000BC070000}"/>
    <cellStyle name="40% - 강조색2 37 4" xfId="2161" xr:uid="{00000000-0005-0000-0000-0000BD070000}"/>
    <cellStyle name="40% - 강조색2 38" xfId="2162" xr:uid="{00000000-0005-0000-0000-0000BE070000}"/>
    <cellStyle name="40% - 강조색2 39" xfId="2163" xr:uid="{00000000-0005-0000-0000-0000BF070000}"/>
    <cellStyle name="40% - 강조색2 4" xfId="2164" xr:uid="{00000000-0005-0000-0000-0000C0070000}"/>
    <cellStyle name="40% - 강조색2 4 2" xfId="2165" xr:uid="{00000000-0005-0000-0000-0000C1070000}"/>
    <cellStyle name="40% - 강조색2 4 3" xfId="2166" xr:uid="{00000000-0005-0000-0000-0000C2070000}"/>
    <cellStyle name="40% - 강조색2 4 4" xfId="2167" xr:uid="{00000000-0005-0000-0000-0000C3070000}"/>
    <cellStyle name="40% - 강조색2 40" xfId="2168" xr:uid="{00000000-0005-0000-0000-0000C4070000}"/>
    <cellStyle name="40% - 강조색2 41" xfId="2169" xr:uid="{00000000-0005-0000-0000-0000C5070000}"/>
    <cellStyle name="40% - 강조색2 42" xfId="2170" xr:uid="{00000000-0005-0000-0000-0000C6070000}"/>
    <cellStyle name="40% - 강조색2 43" xfId="2171" xr:uid="{00000000-0005-0000-0000-0000C7070000}"/>
    <cellStyle name="40% - 강조색2 44" xfId="2172" xr:uid="{00000000-0005-0000-0000-0000C8070000}"/>
    <cellStyle name="40% - 강조색2 44 2" xfId="2173" xr:uid="{00000000-0005-0000-0000-0000C9070000}"/>
    <cellStyle name="40% - 강조색2 44 3" xfId="2174" xr:uid="{00000000-0005-0000-0000-0000CA070000}"/>
    <cellStyle name="40% - 강조색2 45" xfId="2175" xr:uid="{00000000-0005-0000-0000-0000CB070000}"/>
    <cellStyle name="40% - 강조색2 45 2" xfId="2176" xr:uid="{00000000-0005-0000-0000-0000CC070000}"/>
    <cellStyle name="40% - 강조색2 45 3" xfId="2177" xr:uid="{00000000-0005-0000-0000-0000CD070000}"/>
    <cellStyle name="40% - 강조색2 46" xfId="2178" xr:uid="{00000000-0005-0000-0000-0000CE070000}"/>
    <cellStyle name="40% - 강조색2 47" xfId="2179" xr:uid="{00000000-0005-0000-0000-0000CF070000}"/>
    <cellStyle name="40% - 강조색2 48" xfId="2180" xr:uid="{00000000-0005-0000-0000-0000D0070000}"/>
    <cellStyle name="40% - 강조색2 49" xfId="2181" xr:uid="{00000000-0005-0000-0000-0000D1070000}"/>
    <cellStyle name="40% - 강조색2 5" xfId="2182" xr:uid="{00000000-0005-0000-0000-0000D2070000}"/>
    <cellStyle name="40% - 강조색2 5 2" xfId="2183" xr:uid="{00000000-0005-0000-0000-0000D3070000}"/>
    <cellStyle name="40% - 강조색2 5 3" xfId="2184" xr:uid="{00000000-0005-0000-0000-0000D4070000}"/>
    <cellStyle name="40% - 강조색2 5 4" xfId="2185" xr:uid="{00000000-0005-0000-0000-0000D5070000}"/>
    <cellStyle name="40% - 강조색2 50" xfId="2186" xr:uid="{00000000-0005-0000-0000-0000D6070000}"/>
    <cellStyle name="40% - 강조색2 51" xfId="2187" xr:uid="{00000000-0005-0000-0000-0000D7070000}"/>
    <cellStyle name="40% - 강조색2 52" xfId="2188" xr:uid="{00000000-0005-0000-0000-0000D8070000}"/>
    <cellStyle name="40% - 강조색2 53" xfId="2189" xr:uid="{00000000-0005-0000-0000-0000D9070000}"/>
    <cellStyle name="40% - 강조색2 54" xfId="2190" xr:uid="{00000000-0005-0000-0000-0000DA070000}"/>
    <cellStyle name="40% - 강조색2 55" xfId="2191" xr:uid="{00000000-0005-0000-0000-0000DB070000}"/>
    <cellStyle name="40% - 강조색2 6" xfId="2192" xr:uid="{00000000-0005-0000-0000-0000DC070000}"/>
    <cellStyle name="40% - 강조색2 6 2" xfId="2193" xr:uid="{00000000-0005-0000-0000-0000DD070000}"/>
    <cellStyle name="40% - 강조색2 6 3" xfId="2194" xr:uid="{00000000-0005-0000-0000-0000DE070000}"/>
    <cellStyle name="40% - 강조색2 6 4" xfId="2195" xr:uid="{00000000-0005-0000-0000-0000DF070000}"/>
    <cellStyle name="40% - 강조색2 7" xfId="2196" xr:uid="{00000000-0005-0000-0000-0000E0070000}"/>
    <cellStyle name="40% - 강조색2 7 2" xfId="2197" xr:uid="{00000000-0005-0000-0000-0000E1070000}"/>
    <cellStyle name="40% - 강조색2 7 3" xfId="2198" xr:uid="{00000000-0005-0000-0000-0000E2070000}"/>
    <cellStyle name="40% - 강조색2 7 4" xfId="2199" xr:uid="{00000000-0005-0000-0000-0000E3070000}"/>
    <cellStyle name="40% - 강조색2 8" xfId="2200" xr:uid="{00000000-0005-0000-0000-0000E4070000}"/>
    <cellStyle name="40% - 강조색2 9" xfId="2201" xr:uid="{00000000-0005-0000-0000-0000E5070000}"/>
    <cellStyle name="40% - 강조색3 10" xfId="2202" xr:uid="{00000000-0005-0000-0000-0000E6070000}"/>
    <cellStyle name="40% - 강조색3 11" xfId="2203" xr:uid="{00000000-0005-0000-0000-0000E7070000}"/>
    <cellStyle name="40% - 강조색3 12" xfId="2204" xr:uid="{00000000-0005-0000-0000-0000E8070000}"/>
    <cellStyle name="40% - 강조색3 13" xfId="2205" xr:uid="{00000000-0005-0000-0000-0000E9070000}"/>
    <cellStyle name="40% - 강조색3 14" xfId="2206" xr:uid="{00000000-0005-0000-0000-0000EA070000}"/>
    <cellStyle name="40% - 강조색3 14 2" xfId="2207" xr:uid="{00000000-0005-0000-0000-0000EB070000}"/>
    <cellStyle name="40% - 강조색3 14 3" xfId="2208" xr:uid="{00000000-0005-0000-0000-0000EC070000}"/>
    <cellStyle name="40% - 강조색3 15" xfId="2209" xr:uid="{00000000-0005-0000-0000-0000ED070000}"/>
    <cellStyle name="40% - 강조색3 15 2" xfId="2210" xr:uid="{00000000-0005-0000-0000-0000EE070000}"/>
    <cellStyle name="40% - 강조색3 15 3" xfId="2211" xr:uid="{00000000-0005-0000-0000-0000EF070000}"/>
    <cellStyle name="40% - 강조색3 16" xfId="2212" xr:uid="{00000000-0005-0000-0000-0000F0070000}"/>
    <cellStyle name="40% - 강조색3 16 2" xfId="2213" xr:uid="{00000000-0005-0000-0000-0000F1070000}"/>
    <cellStyle name="40% - 강조색3 16 3" xfId="2214" xr:uid="{00000000-0005-0000-0000-0000F2070000}"/>
    <cellStyle name="40% - 강조색3 17" xfId="2215" xr:uid="{00000000-0005-0000-0000-0000F3070000}"/>
    <cellStyle name="40% - 강조색3 17 2" xfId="2216" xr:uid="{00000000-0005-0000-0000-0000F4070000}"/>
    <cellStyle name="40% - 강조색3 17 3" xfId="2217" xr:uid="{00000000-0005-0000-0000-0000F5070000}"/>
    <cellStyle name="40% - 강조색3 18" xfId="2218" xr:uid="{00000000-0005-0000-0000-0000F6070000}"/>
    <cellStyle name="40% - 강조색3 18 2" xfId="2219" xr:uid="{00000000-0005-0000-0000-0000F7070000}"/>
    <cellStyle name="40% - 강조색3 18 3" xfId="2220" xr:uid="{00000000-0005-0000-0000-0000F8070000}"/>
    <cellStyle name="40% - 강조색3 19" xfId="2221" xr:uid="{00000000-0005-0000-0000-0000F9070000}"/>
    <cellStyle name="40% - 강조색3 19 2" xfId="2222" xr:uid="{00000000-0005-0000-0000-0000FA070000}"/>
    <cellStyle name="40% - 강조색3 19 3" xfId="2223" xr:uid="{00000000-0005-0000-0000-0000FB070000}"/>
    <cellStyle name="40% - 강조색3 2" xfId="2224" xr:uid="{00000000-0005-0000-0000-0000FC070000}"/>
    <cellStyle name="40% - 강조색3 2 10" xfId="2225" xr:uid="{00000000-0005-0000-0000-0000FD070000}"/>
    <cellStyle name="40% - 강조색3 2 11" xfId="2226" xr:uid="{00000000-0005-0000-0000-0000FE070000}"/>
    <cellStyle name="40% - 강조색3 2 12" xfId="2227" xr:uid="{00000000-0005-0000-0000-0000FF070000}"/>
    <cellStyle name="40% - 강조색3 2 13" xfId="2228" xr:uid="{00000000-0005-0000-0000-000000080000}"/>
    <cellStyle name="40% - 강조색3 2 14" xfId="2229" xr:uid="{00000000-0005-0000-0000-000001080000}"/>
    <cellStyle name="40% - 강조색3 2 15" xfId="2230" xr:uid="{00000000-0005-0000-0000-000002080000}"/>
    <cellStyle name="40% - 강조색3 2 16" xfId="2231" xr:uid="{00000000-0005-0000-0000-000003080000}"/>
    <cellStyle name="40% - 강조색3 2 17" xfId="2232" xr:uid="{00000000-0005-0000-0000-000004080000}"/>
    <cellStyle name="40% - 강조색3 2 18" xfId="2233" xr:uid="{00000000-0005-0000-0000-000005080000}"/>
    <cellStyle name="40% - 강조색3 2 19" xfId="2234" xr:uid="{00000000-0005-0000-0000-000006080000}"/>
    <cellStyle name="40% - 강조색3 2 2" xfId="2235" xr:uid="{00000000-0005-0000-0000-000007080000}"/>
    <cellStyle name="40% - 강조색3 2 20" xfId="2236" xr:uid="{00000000-0005-0000-0000-000008080000}"/>
    <cellStyle name="40% - 강조색3 2 21" xfId="2237" xr:uid="{00000000-0005-0000-0000-000009080000}"/>
    <cellStyle name="40% - 강조색3 2 22" xfId="2238" xr:uid="{00000000-0005-0000-0000-00000A080000}"/>
    <cellStyle name="40% - 강조색3 2 23" xfId="2239" xr:uid="{00000000-0005-0000-0000-00000B080000}"/>
    <cellStyle name="40% - 강조색3 2 24" xfId="2240" xr:uid="{00000000-0005-0000-0000-00000C080000}"/>
    <cellStyle name="40% - 강조색3 2 25" xfId="2241" xr:uid="{00000000-0005-0000-0000-00000D080000}"/>
    <cellStyle name="40% - 강조색3 2 26" xfId="2242" xr:uid="{00000000-0005-0000-0000-00000E080000}"/>
    <cellStyle name="40% - 강조색3 2 27" xfId="2243" xr:uid="{00000000-0005-0000-0000-00000F080000}"/>
    <cellStyle name="40% - 강조색3 2 28" xfId="2244" xr:uid="{00000000-0005-0000-0000-000010080000}"/>
    <cellStyle name="40% - 강조색3 2 29" xfId="2245" xr:uid="{00000000-0005-0000-0000-000011080000}"/>
    <cellStyle name="40% - 강조색3 2 3" xfId="2246" xr:uid="{00000000-0005-0000-0000-000012080000}"/>
    <cellStyle name="40% - 강조색3 2 30" xfId="2247" xr:uid="{00000000-0005-0000-0000-000013080000}"/>
    <cellStyle name="40% - 강조색3 2 31" xfId="2248" xr:uid="{00000000-0005-0000-0000-000014080000}"/>
    <cellStyle name="40% - 강조색3 2 32" xfId="2249" xr:uid="{00000000-0005-0000-0000-000015080000}"/>
    <cellStyle name="40% - 강조색3 2 33" xfId="2250" xr:uid="{00000000-0005-0000-0000-000016080000}"/>
    <cellStyle name="40% - 강조색3 2 34" xfId="2251" xr:uid="{00000000-0005-0000-0000-000017080000}"/>
    <cellStyle name="40% - 강조색3 2 35" xfId="2252" xr:uid="{00000000-0005-0000-0000-000018080000}"/>
    <cellStyle name="40% - 강조색3 2 36" xfId="2253" xr:uid="{00000000-0005-0000-0000-000019080000}"/>
    <cellStyle name="40% - 강조색3 2 37" xfId="2254" xr:uid="{00000000-0005-0000-0000-00001A080000}"/>
    <cellStyle name="40% - 강조색3 2 38" xfId="2255" xr:uid="{00000000-0005-0000-0000-00001B080000}"/>
    <cellStyle name="40% - 강조색3 2 39" xfId="2256" xr:uid="{00000000-0005-0000-0000-00001C080000}"/>
    <cellStyle name="40% - 강조색3 2 4" xfId="2257" xr:uid="{00000000-0005-0000-0000-00001D080000}"/>
    <cellStyle name="40% - 강조색3 2 5" xfId="2258" xr:uid="{00000000-0005-0000-0000-00001E080000}"/>
    <cellStyle name="40% - 강조색3 2 6" xfId="2259" xr:uid="{00000000-0005-0000-0000-00001F080000}"/>
    <cellStyle name="40% - 강조색3 2 7" xfId="2260" xr:uid="{00000000-0005-0000-0000-000020080000}"/>
    <cellStyle name="40% - 강조색3 2 8" xfId="2261" xr:uid="{00000000-0005-0000-0000-000021080000}"/>
    <cellStyle name="40% - 강조색3 2 9" xfId="2262" xr:uid="{00000000-0005-0000-0000-000022080000}"/>
    <cellStyle name="40% - 강조색3 20" xfId="2263" xr:uid="{00000000-0005-0000-0000-000023080000}"/>
    <cellStyle name="40% - 강조색3 21" xfId="2264" xr:uid="{00000000-0005-0000-0000-000024080000}"/>
    <cellStyle name="40% - 강조색3 22" xfId="2265" xr:uid="{00000000-0005-0000-0000-000025080000}"/>
    <cellStyle name="40% - 강조색3 23" xfId="2266" xr:uid="{00000000-0005-0000-0000-000026080000}"/>
    <cellStyle name="40% - 강조색3 24" xfId="2267" xr:uid="{00000000-0005-0000-0000-000027080000}"/>
    <cellStyle name="40% - 강조색3 25" xfId="2268" xr:uid="{00000000-0005-0000-0000-000028080000}"/>
    <cellStyle name="40% - 강조색3 26" xfId="2269" xr:uid="{00000000-0005-0000-0000-000029080000}"/>
    <cellStyle name="40% - 강조색3 27" xfId="2270" xr:uid="{00000000-0005-0000-0000-00002A080000}"/>
    <cellStyle name="40% - 강조색3 27 2" xfId="2271" xr:uid="{00000000-0005-0000-0000-00002B080000}"/>
    <cellStyle name="40% - 강조색3 28" xfId="2272" xr:uid="{00000000-0005-0000-0000-00002C080000}"/>
    <cellStyle name="40% - 강조색3 29" xfId="2273" xr:uid="{00000000-0005-0000-0000-00002D080000}"/>
    <cellStyle name="40% - 강조색3 3" xfId="2274" xr:uid="{00000000-0005-0000-0000-00002E080000}"/>
    <cellStyle name="40% - 강조색3 3 2" xfId="2275" xr:uid="{00000000-0005-0000-0000-00002F080000}"/>
    <cellStyle name="40% - 강조색3 3 3" xfId="2276" xr:uid="{00000000-0005-0000-0000-000030080000}"/>
    <cellStyle name="40% - 강조색3 3 4" xfId="2277" xr:uid="{00000000-0005-0000-0000-000031080000}"/>
    <cellStyle name="40% - 강조색3 30" xfId="2278" xr:uid="{00000000-0005-0000-0000-000032080000}"/>
    <cellStyle name="40% - 강조색3 31" xfId="2279" xr:uid="{00000000-0005-0000-0000-000033080000}"/>
    <cellStyle name="40% - 강조색3 32" xfId="2280" xr:uid="{00000000-0005-0000-0000-000034080000}"/>
    <cellStyle name="40% - 강조색3 33" xfId="2281" xr:uid="{00000000-0005-0000-0000-000035080000}"/>
    <cellStyle name="40% - 강조색3 34" xfId="2282" xr:uid="{00000000-0005-0000-0000-000036080000}"/>
    <cellStyle name="40% - 강조색3 35" xfId="2283" xr:uid="{00000000-0005-0000-0000-000037080000}"/>
    <cellStyle name="40% - 강조색3 35 2" xfId="2284" xr:uid="{00000000-0005-0000-0000-000038080000}"/>
    <cellStyle name="40% - 강조색3 35 2 2" xfId="2285" xr:uid="{00000000-0005-0000-0000-000039080000}"/>
    <cellStyle name="40% - 강조색3 35 2 3" xfId="2286" xr:uid="{00000000-0005-0000-0000-00003A080000}"/>
    <cellStyle name="40% - 강조색3 35 3" xfId="2287" xr:uid="{00000000-0005-0000-0000-00003B080000}"/>
    <cellStyle name="40% - 강조색3 35 4" xfId="2288" xr:uid="{00000000-0005-0000-0000-00003C080000}"/>
    <cellStyle name="40% - 강조색3 36" xfId="2289" xr:uid="{00000000-0005-0000-0000-00003D080000}"/>
    <cellStyle name="40% - 강조색3 36 2" xfId="2290" xr:uid="{00000000-0005-0000-0000-00003E080000}"/>
    <cellStyle name="40% - 강조색3 36 2 2" xfId="2291" xr:uid="{00000000-0005-0000-0000-00003F080000}"/>
    <cellStyle name="40% - 강조색3 36 2 3" xfId="2292" xr:uid="{00000000-0005-0000-0000-000040080000}"/>
    <cellStyle name="40% - 강조색3 36 3" xfId="2293" xr:uid="{00000000-0005-0000-0000-000041080000}"/>
    <cellStyle name="40% - 강조색3 36 4" xfId="2294" xr:uid="{00000000-0005-0000-0000-000042080000}"/>
    <cellStyle name="40% - 강조색3 37" xfId="2295" xr:uid="{00000000-0005-0000-0000-000043080000}"/>
    <cellStyle name="40% - 강조색3 37 2" xfId="2296" xr:uid="{00000000-0005-0000-0000-000044080000}"/>
    <cellStyle name="40% - 강조색3 37 3" xfId="2297" xr:uid="{00000000-0005-0000-0000-000045080000}"/>
    <cellStyle name="40% - 강조색3 37 4" xfId="2298" xr:uid="{00000000-0005-0000-0000-000046080000}"/>
    <cellStyle name="40% - 강조색3 38" xfId="2299" xr:uid="{00000000-0005-0000-0000-000047080000}"/>
    <cellStyle name="40% - 강조색3 39" xfId="2300" xr:uid="{00000000-0005-0000-0000-000048080000}"/>
    <cellStyle name="40% - 강조색3 4" xfId="2301" xr:uid="{00000000-0005-0000-0000-000049080000}"/>
    <cellStyle name="40% - 강조색3 4 2" xfId="2302" xr:uid="{00000000-0005-0000-0000-00004A080000}"/>
    <cellStyle name="40% - 강조색3 4 3" xfId="2303" xr:uid="{00000000-0005-0000-0000-00004B080000}"/>
    <cellStyle name="40% - 강조색3 4 4" xfId="2304" xr:uid="{00000000-0005-0000-0000-00004C080000}"/>
    <cellStyle name="40% - 강조색3 40" xfId="2305" xr:uid="{00000000-0005-0000-0000-00004D080000}"/>
    <cellStyle name="40% - 강조색3 41" xfId="2306" xr:uid="{00000000-0005-0000-0000-00004E080000}"/>
    <cellStyle name="40% - 강조색3 42" xfId="2307" xr:uid="{00000000-0005-0000-0000-00004F080000}"/>
    <cellStyle name="40% - 강조색3 43" xfId="2308" xr:uid="{00000000-0005-0000-0000-000050080000}"/>
    <cellStyle name="40% - 강조색3 44" xfId="2309" xr:uid="{00000000-0005-0000-0000-000051080000}"/>
    <cellStyle name="40% - 강조색3 44 2" xfId="2310" xr:uid="{00000000-0005-0000-0000-000052080000}"/>
    <cellStyle name="40% - 강조색3 44 3" xfId="2311" xr:uid="{00000000-0005-0000-0000-000053080000}"/>
    <cellStyle name="40% - 강조색3 45" xfId="2312" xr:uid="{00000000-0005-0000-0000-000054080000}"/>
    <cellStyle name="40% - 강조색3 45 2" xfId="2313" xr:uid="{00000000-0005-0000-0000-000055080000}"/>
    <cellStyle name="40% - 강조색3 45 3" xfId="2314" xr:uid="{00000000-0005-0000-0000-000056080000}"/>
    <cellStyle name="40% - 강조색3 46" xfId="2315" xr:uid="{00000000-0005-0000-0000-000057080000}"/>
    <cellStyle name="40% - 강조색3 47" xfId="2316" xr:uid="{00000000-0005-0000-0000-000058080000}"/>
    <cellStyle name="40% - 강조색3 48" xfId="2317" xr:uid="{00000000-0005-0000-0000-000059080000}"/>
    <cellStyle name="40% - 강조색3 49" xfId="2318" xr:uid="{00000000-0005-0000-0000-00005A080000}"/>
    <cellStyle name="40% - 강조색3 5" xfId="2319" xr:uid="{00000000-0005-0000-0000-00005B080000}"/>
    <cellStyle name="40% - 강조색3 5 2" xfId="2320" xr:uid="{00000000-0005-0000-0000-00005C080000}"/>
    <cellStyle name="40% - 강조색3 5 3" xfId="2321" xr:uid="{00000000-0005-0000-0000-00005D080000}"/>
    <cellStyle name="40% - 강조색3 5 4" xfId="2322" xr:uid="{00000000-0005-0000-0000-00005E080000}"/>
    <cellStyle name="40% - 강조색3 50" xfId="2323" xr:uid="{00000000-0005-0000-0000-00005F080000}"/>
    <cellStyle name="40% - 강조색3 51" xfId="2324" xr:uid="{00000000-0005-0000-0000-000060080000}"/>
    <cellStyle name="40% - 강조색3 52" xfId="2325" xr:uid="{00000000-0005-0000-0000-000061080000}"/>
    <cellStyle name="40% - 강조색3 53" xfId="2326" xr:uid="{00000000-0005-0000-0000-000062080000}"/>
    <cellStyle name="40% - 강조색3 54" xfId="2327" xr:uid="{00000000-0005-0000-0000-000063080000}"/>
    <cellStyle name="40% - 강조색3 55" xfId="2328" xr:uid="{00000000-0005-0000-0000-000064080000}"/>
    <cellStyle name="40% - 강조색3 6" xfId="2329" xr:uid="{00000000-0005-0000-0000-000065080000}"/>
    <cellStyle name="40% - 강조색3 6 2" xfId="2330" xr:uid="{00000000-0005-0000-0000-000066080000}"/>
    <cellStyle name="40% - 강조색3 6 3" xfId="2331" xr:uid="{00000000-0005-0000-0000-000067080000}"/>
    <cellStyle name="40% - 강조색3 6 4" xfId="2332" xr:uid="{00000000-0005-0000-0000-000068080000}"/>
    <cellStyle name="40% - 강조색3 7" xfId="2333" xr:uid="{00000000-0005-0000-0000-000069080000}"/>
    <cellStyle name="40% - 강조색3 7 2" xfId="2334" xr:uid="{00000000-0005-0000-0000-00006A080000}"/>
    <cellStyle name="40% - 강조색3 7 3" xfId="2335" xr:uid="{00000000-0005-0000-0000-00006B080000}"/>
    <cellStyle name="40% - 강조색3 7 4" xfId="2336" xr:uid="{00000000-0005-0000-0000-00006C080000}"/>
    <cellStyle name="40% - 강조색3 8" xfId="2337" xr:uid="{00000000-0005-0000-0000-00006D080000}"/>
    <cellStyle name="40% - 강조색3 9" xfId="2338" xr:uid="{00000000-0005-0000-0000-00006E080000}"/>
    <cellStyle name="40% - 강조색4 10" xfId="2339" xr:uid="{00000000-0005-0000-0000-00006F080000}"/>
    <cellStyle name="40% - 강조색4 11" xfId="2340" xr:uid="{00000000-0005-0000-0000-000070080000}"/>
    <cellStyle name="40% - 강조색4 12" xfId="2341" xr:uid="{00000000-0005-0000-0000-000071080000}"/>
    <cellStyle name="40% - 강조색4 13" xfId="2342" xr:uid="{00000000-0005-0000-0000-000072080000}"/>
    <cellStyle name="40% - 강조색4 14" xfId="2343" xr:uid="{00000000-0005-0000-0000-000073080000}"/>
    <cellStyle name="40% - 강조색4 14 2" xfId="2344" xr:uid="{00000000-0005-0000-0000-000074080000}"/>
    <cellStyle name="40% - 강조색4 14 3" xfId="2345" xr:uid="{00000000-0005-0000-0000-000075080000}"/>
    <cellStyle name="40% - 강조색4 15" xfId="2346" xr:uid="{00000000-0005-0000-0000-000076080000}"/>
    <cellStyle name="40% - 강조색4 15 2" xfId="2347" xr:uid="{00000000-0005-0000-0000-000077080000}"/>
    <cellStyle name="40% - 강조색4 15 3" xfId="2348" xr:uid="{00000000-0005-0000-0000-000078080000}"/>
    <cellStyle name="40% - 강조색4 16" xfId="2349" xr:uid="{00000000-0005-0000-0000-000079080000}"/>
    <cellStyle name="40% - 강조색4 16 2" xfId="2350" xr:uid="{00000000-0005-0000-0000-00007A080000}"/>
    <cellStyle name="40% - 강조색4 16 3" xfId="2351" xr:uid="{00000000-0005-0000-0000-00007B080000}"/>
    <cellStyle name="40% - 강조색4 17" xfId="2352" xr:uid="{00000000-0005-0000-0000-00007C080000}"/>
    <cellStyle name="40% - 강조색4 17 2" xfId="2353" xr:uid="{00000000-0005-0000-0000-00007D080000}"/>
    <cellStyle name="40% - 강조색4 17 3" xfId="2354" xr:uid="{00000000-0005-0000-0000-00007E080000}"/>
    <cellStyle name="40% - 강조색4 18" xfId="2355" xr:uid="{00000000-0005-0000-0000-00007F080000}"/>
    <cellStyle name="40% - 강조색4 18 2" xfId="2356" xr:uid="{00000000-0005-0000-0000-000080080000}"/>
    <cellStyle name="40% - 강조색4 18 3" xfId="2357" xr:uid="{00000000-0005-0000-0000-000081080000}"/>
    <cellStyle name="40% - 강조색4 19" xfId="2358" xr:uid="{00000000-0005-0000-0000-000082080000}"/>
    <cellStyle name="40% - 강조색4 19 2" xfId="2359" xr:uid="{00000000-0005-0000-0000-000083080000}"/>
    <cellStyle name="40% - 강조색4 19 3" xfId="2360" xr:uid="{00000000-0005-0000-0000-000084080000}"/>
    <cellStyle name="40% - 강조색4 2" xfId="2361" xr:uid="{00000000-0005-0000-0000-000085080000}"/>
    <cellStyle name="40% - 강조색4 2 10" xfId="2362" xr:uid="{00000000-0005-0000-0000-000086080000}"/>
    <cellStyle name="40% - 강조색4 2 11" xfId="2363" xr:uid="{00000000-0005-0000-0000-000087080000}"/>
    <cellStyle name="40% - 강조색4 2 12" xfId="2364" xr:uid="{00000000-0005-0000-0000-000088080000}"/>
    <cellStyle name="40% - 강조색4 2 13" xfId="2365" xr:uid="{00000000-0005-0000-0000-000089080000}"/>
    <cellStyle name="40% - 강조색4 2 14" xfId="2366" xr:uid="{00000000-0005-0000-0000-00008A080000}"/>
    <cellStyle name="40% - 강조색4 2 15" xfId="2367" xr:uid="{00000000-0005-0000-0000-00008B080000}"/>
    <cellStyle name="40% - 강조색4 2 16" xfId="2368" xr:uid="{00000000-0005-0000-0000-00008C080000}"/>
    <cellStyle name="40% - 강조색4 2 17" xfId="2369" xr:uid="{00000000-0005-0000-0000-00008D080000}"/>
    <cellStyle name="40% - 강조색4 2 18" xfId="2370" xr:uid="{00000000-0005-0000-0000-00008E080000}"/>
    <cellStyle name="40% - 강조색4 2 19" xfId="2371" xr:uid="{00000000-0005-0000-0000-00008F080000}"/>
    <cellStyle name="40% - 강조색4 2 2" xfId="2372" xr:uid="{00000000-0005-0000-0000-000090080000}"/>
    <cellStyle name="40% - 강조색4 2 20" xfId="2373" xr:uid="{00000000-0005-0000-0000-000091080000}"/>
    <cellStyle name="40% - 강조색4 2 21" xfId="2374" xr:uid="{00000000-0005-0000-0000-000092080000}"/>
    <cellStyle name="40% - 강조색4 2 22" xfId="2375" xr:uid="{00000000-0005-0000-0000-000093080000}"/>
    <cellStyle name="40% - 강조색4 2 23" xfId="2376" xr:uid="{00000000-0005-0000-0000-000094080000}"/>
    <cellStyle name="40% - 강조색4 2 24" xfId="2377" xr:uid="{00000000-0005-0000-0000-000095080000}"/>
    <cellStyle name="40% - 강조색4 2 25" xfId="2378" xr:uid="{00000000-0005-0000-0000-000096080000}"/>
    <cellStyle name="40% - 강조색4 2 26" xfId="2379" xr:uid="{00000000-0005-0000-0000-000097080000}"/>
    <cellStyle name="40% - 강조색4 2 27" xfId="2380" xr:uid="{00000000-0005-0000-0000-000098080000}"/>
    <cellStyle name="40% - 강조색4 2 28" xfId="2381" xr:uid="{00000000-0005-0000-0000-000099080000}"/>
    <cellStyle name="40% - 강조색4 2 29" xfId="2382" xr:uid="{00000000-0005-0000-0000-00009A080000}"/>
    <cellStyle name="40% - 강조색4 2 3" xfId="2383" xr:uid="{00000000-0005-0000-0000-00009B080000}"/>
    <cellStyle name="40% - 강조색4 2 30" xfId="2384" xr:uid="{00000000-0005-0000-0000-00009C080000}"/>
    <cellStyle name="40% - 강조색4 2 31" xfId="2385" xr:uid="{00000000-0005-0000-0000-00009D080000}"/>
    <cellStyle name="40% - 강조색4 2 32" xfId="2386" xr:uid="{00000000-0005-0000-0000-00009E080000}"/>
    <cellStyle name="40% - 강조색4 2 33" xfId="2387" xr:uid="{00000000-0005-0000-0000-00009F080000}"/>
    <cellStyle name="40% - 강조색4 2 34" xfId="2388" xr:uid="{00000000-0005-0000-0000-0000A0080000}"/>
    <cellStyle name="40% - 강조색4 2 35" xfId="2389" xr:uid="{00000000-0005-0000-0000-0000A1080000}"/>
    <cellStyle name="40% - 강조색4 2 36" xfId="2390" xr:uid="{00000000-0005-0000-0000-0000A2080000}"/>
    <cellStyle name="40% - 강조색4 2 37" xfId="2391" xr:uid="{00000000-0005-0000-0000-0000A3080000}"/>
    <cellStyle name="40% - 강조색4 2 38" xfId="2392" xr:uid="{00000000-0005-0000-0000-0000A4080000}"/>
    <cellStyle name="40% - 강조색4 2 39" xfId="2393" xr:uid="{00000000-0005-0000-0000-0000A5080000}"/>
    <cellStyle name="40% - 강조색4 2 4" xfId="2394" xr:uid="{00000000-0005-0000-0000-0000A6080000}"/>
    <cellStyle name="40% - 강조색4 2 5" xfId="2395" xr:uid="{00000000-0005-0000-0000-0000A7080000}"/>
    <cellStyle name="40% - 강조색4 2 6" xfId="2396" xr:uid="{00000000-0005-0000-0000-0000A8080000}"/>
    <cellStyle name="40% - 강조색4 2 7" xfId="2397" xr:uid="{00000000-0005-0000-0000-0000A9080000}"/>
    <cellStyle name="40% - 강조색4 2 8" xfId="2398" xr:uid="{00000000-0005-0000-0000-0000AA080000}"/>
    <cellStyle name="40% - 강조색4 2 9" xfId="2399" xr:uid="{00000000-0005-0000-0000-0000AB080000}"/>
    <cellStyle name="40% - 강조색4 20" xfId="2400" xr:uid="{00000000-0005-0000-0000-0000AC080000}"/>
    <cellStyle name="40% - 강조색4 21" xfId="2401" xr:uid="{00000000-0005-0000-0000-0000AD080000}"/>
    <cellStyle name="40% - 강조색4 22" xfId="2402" xr:uid="{00000000-0005-0000-0000-0000AE080000}"/>
    <cellStyle name="40% - 강조색4 23" xfId="2403" xr:uid="{00000000-0005-0000-0000-0000AF080000}"/>
    <cellStyle name="40% - 강조색4 24" xfId="2404" xr:uid="{00000000-0005-0000-0000-0000B0080000}"/>
    <cellStyle name="40% - 강조색4 25" xfId="2405" xr:uid="{00000000-0005-0000-0000-0000B1080000}"/>
    <cellStyle name="40% - 강조색4 26" xfId="2406" xr:uid="{00000000-0005-0000-0000-0000B2080000}"/>
    <cellStyle name="40% - 강조색4 27" xfId="2407" xr:uid="{00000000-0005-0000-0000-0000B3080000}"/>
    <cellStyle name="40% - 강조색4 27 2" xfId="2408" xr:uid="{00000000-0005-0000-0000-0000B4080000}"/>
    <cellStyle name="40% - 강조색4 28" xfId="2409" xr:uid="{00000000-0005-0000-0000-0000B5080000}"/>
    <cellStyle name="40% - 강조색4 29" xfId="2410" xr:uid="{00000000-0005-0000-0000-0000B6080000}"/>
    <cellStyle name="40% - 강조색4 3" xfId="2411" xr:uid="{00000000-0005-0000-0000-0000B7080000}"/>
    <cellStyle name="40% - 강조색4 3 2" xfId="2412" xr:uid="{00000000-0005-0000-0000-0000B8080000}"/>
    <cellStyle name="40% - 강조색4 3 3" xfId="2413" xr:uid="{00000000-0005-0000-0000-0000B9080000}"/>
    <cellStyle name="40% - 강조색4 3 4" xfId="2414" xr:uid="{00000000-0005-0000-0000-0000BA080000}"/>
    <cellStyle name="40% - 강조색4 30" xfId="2415" xr:uid="{00000000-0005-0000-0000-0000BB080000}"/>
    <cellStyle name="40% - 강조색4 31" xfId="2416" xr:uid="{00000000-0005-0000-0000-0000BC080000}"/>
    <cellStyle name="40% - 강조색4 32" xfId="2417" xr:uid="{00000000-0005-0000-0000-0000BD080000}"/>
    <cellStyle name="40% - 강조색4 33" xfId="2418" xr:uid="{00000000-0005-0000-0000-0000BE080000}"/>
    <cellStyle name="40% - 강조색4 34" xfId="2419" xr:uid="{00000000-0005-0000-0000-0000BF080000}"/>
    <cellStyle name="40% - 강조색4 35" xfId="2420" xr:uid="{00000000-0005-0000-0000-0000C0080000}"/>
    <cellStyle name="40% - 강조색4 35 2" xfId="2421" xr:uid="{00000000-0005-0000-0000-0000C1080000}"/>
    <cellStyle name="40% - 강조색4 35 2 2" xfId="2422" xr:uid="{00000000-0005-0000-0000-0000C2080000}"/>
    <cellStyle name="40% - 강조색4 35 2 3" xfId="2423" xr:uid="{00000000-0005-0000-0000-0000C3080000}"/>
    <cellStyle name="40% - 강조색4 35 3" xfId="2424" xr:uid="{00000000-0005-0000-0000-0000C4080000}"/>
    <cellStyle name="40% - 강조색4 35 4" xfId="2425" xr:uid="{00000000-0005-0000-0000-0000C5080000}"/>
    <cellStyle name="40% - 강조색4 36" xfId="2426" xr:uid="{00000000-0005-0000-0000-0000C6080000}"/>
    <cellStyle name="40% - 강조색4 36 2" xfId="2427" xr:uid="{00000000-0005-0000-0000-0000C7080000}"/>
    <cellStyle name="40% - 강조색4 36 2 2" xfId="2428" xr:uid="{00000000-0005-0000-0000-0000C8080000}"/>
    <cellStyle name="40% - 강조색4 36 2 3" xfId="2429" xr:uid="{00000000-0005-0000-0000-0000C9080000}"/>
    <cellStyle name="40% - 강조색4 36 3" xfId="2430" xr:uid="{00000000-0005-0000-0000-0000CA080000}"/>
    <cellStyle name="40% - 강조색4 36 4" xfId="2431" xr:uid="{00000000-0005-0000-0000-0000CB080000}"/>
    <cellStyle name="40% - 강조색4 37" xfId="2432" xr:uid="{00000000-0005-0000-0000-0000CC080000}"/>
    <cellStyle name="40% - 강조색4 37 2" xfId="2433" xr:uid="{00000000-0005-0000-0000-0000CD080000}"/>
    <cellStyle name="40% - 강조색4 37 3" xfId="2434" xr:uid="{00000000-0005-0000-0000-0000CE080000}"/>
    <cellStyle name="40% - 강조색4 37 4" xfId="2435" xr:uid="{00000000-0005-0000-0000-0000CF080000}"/>
    <cellStyle name="40% - 강조색4 38" xfId="2436" xr:uid="{00000000-0005-0000-0000-0000D0080000}"/>
    <cellStyle name="40% - 강조색4 39" xfId="2437" xr:uid="{00000000-0005-0000-0000-0000D1080000}"/>
    <cellStyle name="40% - 강조색4 4" xfId="2438" xr:uid="{00000000-0005-0000-0000-0000D2080000}"/>
    <cellStyle name="40% - 강조색4 4 2" xfId="2439" xr:uid="{00000000-0005-0000-0000-0000D3080000}"/>
    <cellStyle name="40% - 강조색4 4 3" xfId="2440" xr:uid="{00000000-0005-0000-0000-0000D4080000}"/>
    <cellStyle name="40% - 강조색4 4 4" xfId="2441" xr:uid="{00000000-0005-0000-0000-0000D5080000}"/>
    <cellStyle name="40% - 강조색4 40" xfId="2442" xr:uid="{00000000-0005-0000-0000-0000D6080000}"/>
    <cellStyle name="40% - 강조색4 41" xfId="2443" xr:uid="{00000000-0005-0000-0000-0000D7080000}"/>
    <cellStyle name="40% - 강조색4 42" xfId="2444" xr:uid="{00000000-0005-0000-0000-0000D8080000}"/>
    <cellStyle name="40% - 강조색4 43" xfId="2445" xr:uid="{00000000-0005-0000-0000-0000D9080000}"/>
    <cellStyle name="40% - 강조색4 44" xfId="2446" xr:uid="{00000000-0005-0000-0000-0000DA080000}"/>
    <cellStyle name="40% - 강조색4 44 2" xfId="2447" xr:uid="{00000000-0005-0000-0000-0000DB080000}"/>
    <cellStyle name="40% - 강조색4 44 3" xfId="2448" xr:uid="{00000000-0005-0000-0000-0000DC080000}"/>
    <cellStyle name="40% - 강조색4 45" xfId="2449" xr:uid="{00000000-0005-0000-0000-0000DD080000}"/>
    <cellStyle name="40% - 강조색4 45 2" xfId="2450" xr:uid="{00000000-0005-0000-0000-0000DE080000}"/>
    <cellStyle name="40% - 강조색4 45 3" xfId="2451" xr:uid="{00000000-0005-0000-0000-0000DF080000}"/>
    <cellStyle name="40% - 강조색4 46" xfId="2452" xr:uid="{00000000-0005-0000-0000-0000E0080000}"/>
    <cellStyle name="40% - 강조색4 47" xfId="2453" xr:uid="{00000000-0005-0000-0000-0000E1080000}"/>
    <cellStyle name="40% - 강조색4 48" xfId="2454" xr:uid="{00000000-0005-0000-0000-0000E2080000}"/>
    <cellStyle name="40% - 강조색4 49" xfId="2455" xr:uid="{00000000-0005-0000-0000-0000E3080000}"/>
    <cellStyle name="40% - 강조색4 5" xfId="2456" xr:uid="{00000000-0005-0000-0000-0000E4080000}"/>
    <cellStyle name="40% - 강조색4 5 2" xfId="2457" xr:uid="{00000000-0005-0000-0000-0000E5080000}"/>
    <cellStyle name="40% - 강조색4 5 3" xfId="2458" xr:uid="{00000000-0005-0000-0000-0000E6080000}"/>
    <cellStyle name="40% - 강조색4 5 4" xfId="2459" xr:uid="{00000000-0005-0000-0000-0000E7080000}"/>
    <cellStyle name="40% - 강조색4 50" xfId="2460" xr:uid="{00000000-0005-0000-0000-0000E8080000}"/>
    <cellStyle name="40% - 강조색4 51" xfId="2461" xr:uid="{00000000-0005-0000-0000-0000E9080000}"/>
    <cellStyle name="40% - 강조색4 52" xfId="2462" xr:uid="{00000000-0005-0000-0000-0000EA080000}"/>
    <cellStyle name="40% - 강조색4 53" xfId="2463" xr:uid="{00000000-0005-0000-0000-0000EB080000}"/>
    <cellStyle name="40% - 강조색4 54" xfId="2464" xr:uid="{00000000-0005-0000-0000-0000EC080000}"/>
    <cellStyle name="40% - 강조색4 55" xfId="2465" xr:uid="{00000000-0005-0000-0000-0000ED080000}"/>
    <cellStyle name="40% - 강조색4 6" xfId="2466" xr:uid="{00000000-0005-0000-0000-0000EE080000}"/>
    <cellStyle name="40% - 강조색4 6 2" xfId="2467" xr:uid="{00000000-0005-0000-0000-0000EF080000}"/>
    <cellStyle name="40% - 강조색4 6 3" xfId="2468" xr:uid="{00000000-0005-0000-0000-0000F0080000}"/>
    <cellStyle name="40% - 강조색4 6 4" xfId="2469" xr:uid="{00000000-0005-0000-0000-0000F1080000}"/>
    <cellStyle name="40% - 강조색4 7" xfId="2470" xr:uid="{00000000-0005-0000-0000-0000F2080000}"/>
    <cellStyle name="40% - 강조색4 7 2" xfId="2471" xr:uid="{00000000-0005-0000-0000-0000F3080000}"/>
    <cellStyle name="40% - 강조색4 7 3" xfId="2472" xr:uid="{00000000-0005-0000-0000-0000F4080000}"/>
    <cellStyle name="40% - 강조색4 7 4" xfId="2473" xr:uid="{00000000-0005-0000-0000-0000F5080000}"/>
    <cellStyle name="40% - 강조색4 8" xfId="2474" xr:uid="{00000000-0005-0000-0000-0000F6080000}"/>
    <cellStyle name="40% - 강조색4 9" xfId="2475" xr:uid="{00000000-0005-0000-0000-0000F7080000}"/>
    <cellStyle name="40% - 강조색5 10" xfId="2476" xr:uid="{00000000-0005-0000-0000-0000F8080000}"/>
    <cellStyle name="40% - 강조색5 11" xfId="2477" xr:uid="{00000000-0005-0000-0000-0000F9080000}"/>
    <cellStyle name="40% - 강조색5 12" xfId="2478" xr:uid="{00000000-0005-0000-0000-0000FA080000}"/>
    <cellStyle name="40% - 강조색5 13" xfId="2479" xr:uid="{00000000-0005-0000-0000-0000FB080000}"/>
    <cellStyle name="40% - 강조색5 14" xfId="2480" xr:uid="{00000000-0005-0000-0000-0000FC080000}"/>
    <cellStyle name="40% - 강조색5 14 2" xfId="2481" xr:uid="{00000000-0005-0000-0000-0000FD080000}"/>
    <cellStyle name="40% - 강조색5 14 3" xfId="2482" xr:uid="{00000000-0005-0000-0000-0000FE080000}"/>
    <cellStyle name="40% - 강조색5 15" xfId="2483" xr:uid="{00000000-0005-0000-0000-0000FF080000}"/>
    <cellStyle name="40% - 강조색5 15 2" xfId="2484" xr:uid="{00000000-0005-0000-0000-000000090000}"/>
    <cellStyle name="40% - 강조색5 15 3" xfId="2485" xr:uid="{00000000-0005-0000-0000-000001090000}"/>
    <cellStyle name="40% - 강조색5 16" xfId="2486" xr:uid="{00000000-0005-0000-0000-000002090000}"/>
    <cellStyle name="40% - 강조색5 16 2" xfId="2487" xr:uid="{00000000-0005-0000-0000-000003090000}"/>
    <cellStyle name="40% - 강조색5 16 3" xfId="2488" xr:uid="{00000000-0005-0000-0000-000004090000}"/>
    <cellStyle name="40% - 강조색5 17" xfId="2489" xr:uid="{00000000-0005-0000-0000-000005090000}"/>
    <cellStyle name="40% - 강조색5 17 2" xfId="2490" xr:uid="{00000000-0005-0000-0000-000006090000}"/>
    <cellStyle name="40% - 강조색5 17 3" xfId="2491" xr:uid="{00000000-0005-0000-0000-000007090000}"/>
    <cellStyle name="40% - 강조색5 18" xfId="2492" xr:uid="{00000000-0005-0000-0000-000008090000}"/>
    <cellStyle name="40% - 강조색5 18 2" xfId="2493" xr:uid="{00000000-0005-0000-0000-000009090000}"/>
    <cellStyle name="40% - 강조색5 18 3" xfId="2494" xr:uid="{00000000-0005-0000-0000-00000A090000}"/>
    <cellStyle name="40% - 강조색5 19" xfId="2495" xr:uid="{00000000-0005-0000-0000-00000B090000}"/>
    <cellStyle name="40% - 강조색5 19 2" xfId="2496" xr:uid="{00000000-0005-0000-0000-00000C090000}"/>
    <cellStyle name="40% - 강조색5 19 3" xfId="2497" xr:uid="{00000000-0005-0000-0000-00000D090000}"/>
    <cellStyle name="40% - 강조색5 2" xfId="2498" xr:uid="{00000000-0005-0000-0000-00000E090000}"/>
    <cellStyle name="40% - 강조색5 2 10" xfId="2499" xr:uid="{00000000-0005-0000-0000-00000F090000}"/>
    <cellStyle name="40% - 강조색5 2 11" xfId="2500" xr:uid="{00000000-0005-0000-0000-000010090000}"/>
    <cellStyle name="40% - 강조색5 2 12" xfId="2501" xr:uid="{00000000-0005-0000-0000-000011090000}"/>
    <cellStyle name="40% - 강조색5 2 13" xfId="2502" xr:uid="{00000000-0005-0000-0000-000012090000}"/>
    <cellStyle name="40% - 강조색5 2 14" xfId="2503" xr:uid="{00000000-0005-0000-0000-000013090000}"/>
    <cellStyle name="40% - 강조색5 2 15" xfId="2504" xr:uid="{00000000-0005-0000-0000-000014090000}"/>
    <cellStyle name="40% - 강조색5 2 16" xfId="2505" xr:uid="{00000000-0005-0000-0000-000015090000}"/>
    <cellStyle name="40% - 강조색5 2 17" xfId="2506" xr:uid="{00000000-0005-0000-0000-000016090000}"/>
    <cellStyle name="40% - 강조색5 2 18" xfId="2507" xr:uid="{00000000-0005-0000-0000-000017090000}"/>
    <cellStyle name="40% - 강조색5 2 19" xfId="2508" xr:uid="{00000000-0005-0000-0000-000018090000}"/>
    <cellStyle name="40% - 강조색5 2 2" xfId="2509" xr:uid="{00000000-0005-0000-0000-000019090000}"/>
    <cellStyle name="40% - 강조색5 2 20" xfId="2510" xr:uid="{00000000-0005-0000-0000-00001A090000}"/>
    <cellStyle name="40% - 강조색5 2 21" xfId="2511" xr:uid="{00000000-0005-0000-0000-00001B090000}"/>
    <cellStyle name="40% - 강조색5 2 22" xfId="2512" xr:uid="{00000000-0005-0000-0000-00001C090000}"/>
    <cellStyle name="40% - 강조색5 2 23" xfId="2513" xr:uid="{00000000-0005-0000-0000-00001D090000}"/>
    <cellStyle name="40% - 강조색5 2 24" xfId="2514" xr:uid="{00000000-0005-0000-0000-00001E090000}"/>
    <cellStyle name="40% - 강조색5 2 25" xfId="2515" xr:uid="{00000000-0005-0000-0000-00001F090000}"/>
    <cellStyle name="40% - 강조색5 2 26" xfId="2516" xr:uid="{00000000-0005-0000-0000-000020090000}"/>
    <cellStyle name="40% - 강조색5 2 27" xfId="2517" xr:uid="{00000000-0005-0000-0000-000021090000}"/>
    <cellStyle name="40% - 강조색5 2 28" xfId="2518" xr:uid="{00000000-0005-0000-0000-000022090000}"/>
    <cellStyle name="40% - 강조색5 2 29" xfId="2519" xr:uid="{00000000-0005-0000-0000-000023090000}"/>
    <cellStyle name="40% - 강조색5 2 3" xfId="2520" xr:uid="{00000000-0005-0000-0000-000024090000}"/>
    <cellStyle name="40% - 강조색5 2 30" xfId="2521" xr:uid="{00000000-0005-0000-0000-000025090000}"/>
    <cellStyle name="40% - 강조색5 2 31" xfId="2522" xr:uid="{00000000-0005-0000-0000-000026090000}"/>
    <cellStyle name="40% - 강조색5 2 32" xfId="2523" xr:uid="{00000000-0005-0000-0000-000027090000}"/>
    <cellStyle name="40% - 강조색5 2 33" xfId="2524" xr:uid="{00000000-0005-0000-0000-000028090000}"/>
    <cellStyle name="40% - 강조색5 2 34" xfId="2525" xr:uid="{00000000-0005-0000-0000-000029090000}"/>
    <cellStyle name="40% - 강조색5 2 35" xfId="2526" xr:uid="{00000000-0005-0000-0000-00002A090000}"/>
    <cellStyle name="40% - 강조색5 2 36" xfId="2527" xr:uid="{00000000-0005-0000-0000-00002B090000}"/>
    <cellStyle name="40% - 강조색5 2 37" xfId="2528" xr:uid="{00000000-0005-0000-0000-00002C090000}"/>
    <cellStyle name="40% - 강조색5 2 38" xfId="2529" xr:uid="{00000000-0005-0000-0000-00002D090000}"/>
    <cellStyle name="40% - 강조색5 2 39" xfId="2530" xr:uid="{00000000-0005-0000-0000-00002E090000}"/>
    <cellStyle name="40% - 강조색5 2 4" xfId="2531" xr:uid="{00000000-0005-0000-0000-00002F090000}"/>
    <cellStyle name="40% - 강조색5 2 5" xfId="2532" xr:uid="{00000000-0005-0000-0000-000030090000}"/>
    <cellStyle name="40% - 강조색5 2 6" xfId="2533" xr:uid="{00000000-0005-0000-0000-000031090000}"/>
    <cellStyle name="40% - 강조색5 2 7" xfId="2534" xr:uid="{00000000-0005-0000-0000-000032090000}"/>
    <cellStyle name="40% - 강조색5 2 8" xfId="2535" xr:uid="{00000000-0005-0000-0000-000033090000}"/>
    <cellStyle name="40% - 강조색5 2 9" xfId="2536" xr:uid="{00000000-0005-0000-0000-000034090000}"/>
    <cellStyle name="40% - 강조색5 20" xfId="2537" xr:uid="{00000000-0005-0000-0000-000035090000}"/>
    <cellStyle name="40% - 강조색5 21" xfId="2538" xr:uid="{00000000-0005-0000-0000-000036090000}"/>
    <cellStyle name="40% - 강조색5 22" xfId="2539" xr:uid="{00000000-0005-0000-0000-000037090000}"/>
    <cellStyle name="40% - 강조색5 23" xfId="2540" xr:uid="{00000000-0005-0000-0000-000038090000}"/>
    <cellStyle name="40% - 강조색5 24" xfId="2541" xr:uid="{00000000-0005-0000-0000-000039090000}"/>
    <cellStyle name="40% - 강조색5 25" xfId="2542" xr:uid="{00000000-0005-0000-0000-00003A090000}"/>
    <cellStyle name="40% - 강조색5 26" xfId="2543" xr:uid="{00000000-0005-0000-0000-00003B090000}"/>
    <cellStyle name="40% - 강조색5 27" xfId="2544" xr:uid="{00000000-0005-0000-0000-00003C090000}"/>
    <cellStyle name="40% - 강조색5 27 2" xfId="2545" xr:uid="{00000000-0005-0000-0000-00003D090000}"/>
    <cellStyle name="40% - 강조색5 28" xfId="2546" xr:uid="{00000000-0005-0000-0000-00003E090000}"/>
    <cellStyle name="40% - 강조색5 29" xfId="2547" xr:uid="{00000000-0005-0000-0000-00003F090000}"/>
    <cellStyle name="40% - 강조색5 3" xfId="2548" xr:uid="{00000000-0005-0000-0000-000040090000}"/>
    <cellStyle name="40% - 강조색5 3 2" xfId="2549" xr:uid="{00000000-0005-0000-0000-000041090000}"/>
    <cellStyle name="40% - 강조색5 3 3" xfId="2550" xr:uid="{00000000-0005-0000-0000-000042090000}"/>
    <cellStyle name="40% - 강조색5 3 4" xfId="2551" xr:uid="{00000000-0005-0000-0000-000043090000}"/>
    <cellStyle name="40% - 강조색5 30" xfId="2552" xr:uid="{00000000-0005-0000-0000-000044090000}"/>
    <cellStyle name="40% - 강조색5 31" xfId="2553" xr:uid="{00000000-0005-0000-0000-000045090000}"/>
    <cellStyle name="40% - 강조색5 32" xfId="2554" xr:uid="{00000000-0005-0000-0000-000046090000}"/>
    <cellStyle name="40% - 강조색5 33" xfId="2555" xr:uid="{00000000-0005-0000-0000-000047090000}"/>
    <cellStyle name="40% - 강조색5 34" xfId="2556" xr:uid="{00000000-0005-0000-0000-000048090000}"/>
    <cellStyle name="40% - 강조색5 35" xfId="2557" xr:uid="{00000000-0005-0000-0000-000049090000}"/>
    <cellStyle name="40% - 강조색5 35 2" xfId="2558" xr:uid="{00000000-0005-0000-0000-00004A090000}"/>
    <cellStyle name="40% - 강조색5 35 2 2" xfId="2559" xr:uid="{00000000-0005-0000-0000-00004B090000}"/>
    <cellStyle name="40% - 강조색5 35 2 3" xfId="2560" xr:uid="{00000000-0005-0000-0000-00004C090000}"/>
    <cellStyle name="40% - 강조색5 35 3" xfId="2561" xr:uid="{00000000-0005-0000-0000-00004D090000}"/>
    <cellStyle name="40% - 강조색5 35 4" xfId="2562" xr:uid="{00000000-0005-0000-0000-00004E090000}"/>
    <cellStyle name="40% - 강조색5 36" xfId="2563" xr:uid="{00000000-0005-0000-0000-00004F090000}"/>
    <cellStyle name="40% - 강조색5 36 2" xfId="2564" xr:uid="{00000000-0005-0000-0000-000050090000}"/>
    <cellStyle name="40% - 강조색5 36 2 2" xfId="2565" xr:uid="{00000000-0005-0000-0000-000051090000}"/>
    <cellStyle name="40% - 강조색5 36 2 3" xfId="2566" xr:uid="{00000000-0005-0000-0000-000052090000}"/>
    <cellStyle name="40% - 강조색5 36 3" xfId="2567" xr:uid="{00000000-0005-0000-0000-000053090000}"/>
    <cellStyle name="40% - 강조색5 36 4" xfId="2568" xr:uid="{00000000-0005-0000-0000-000054090000}"/>
    <cellStyle name="40% - 강조색5 37" xfId="2569" xr:uid="{00000000-0005-0000-0000-000055090000}"/>
    <cellStyle name="40% - 강조색5 37 2" xfId="2570" xr:uid="{00000000-0005-0000-0000-000056090000}"/>
    <cellStyle name="40% - 강조색5 37 3" xfId="2571" xr:uid="{00000000-0005-0000-0000-000057090000}"/>
    <cellStyle name="40% - 강조색5 37 4" xfId="2572" xr:uid="{00000000-0005-0000-0000-000058090000}"/>
    <cellStyle name="40% - 강조색5 38" xfId="2573" xr:uid="{00000000-0005-0000-0000-000059090000}"/>
    <cellStyle name="40% - 강조색5 39" xfId="2574" xr:uid="{00000000-0005-0000-0000-00005A090000}"/>
    <cellStyle name="40% - 강조색5 4" xfId="2575" xr:uid="{00000000-0005-0000-0000-00005B090000}"/>
    <cellStyle name="40% - 강조색5 4 2" xfId="2576" xr:uid="{00000000-0005-0000-0000-00005C090000}"/>
    <cellStyle name="40% - 강조색5 4 3" xfId="2577" xr:uid="{00000000-0005-0000-0000-00005D090000}"/>
    <cellStyle name="40% - 강조색5 4 4" xfId="2578" xr:uid="{00000000-0005-0000-0000-00005E090000}"/>
    <cellStyle name="40% - 강조색5 40" xfId="2579" xr:uid="{00000000-0005-0000-0000-00005F090000}"/>
    <cellStyle name="40% - 강조색5 41" xfId="2580" xr:uid="{00000000-0005-0000-0000-000060090000}"/>
    <cellStyle name="40% - 강조색5 42" xfId="2581" xr:uid="{00000000-0005-0000-0000-000061090000}"/>
    <cellStyle name="40% - 강조색5 43" xfId="2582" xr:uid="{00000000-0005-0000-0000-000062090000}"/>
    <cellStyle name="40% - 강조색5 44" xfId="2583" xr:uid="{00000000-0005-0000-0000-000063090000}"/>
    <cellStyle name="40% - 강조색5 44 2" xfId="2584" xr:uid="{00000000-0005-0000-0000-000064090000}"/>
    <cellStyle name="40% - 강조색5 44 3" xfId="2585" xr:uid="{00000000-0005-0000-0000-000065090000}"/>
    <cellStyle name="40% - 강조색5 45" xfId="2586" xr:uid="{00000000-0005-0000-0000-000066090000}"/>
    <cellStyle name="40% - 강조색5 45 2" xfId="2587" xr:uid="{00000000-0005-0000-0000-000067090000}"/>
    <cellStyle name="40% - 강조색5 45 3" xfId="2588" xr:uid="{00000000-0005-0000-0000-000068090000}"/>
    <cellStyle name="40% - 강조색5 46" xfId="2589" xr:uid="{00000000-0005-0000-0000-000069090000}"/>
    <cellStyle name="40% - 강조색5 47" xfId="2590" xr:uid="{00000000-0005-0000-0000-00006A090000}"/>
    <cellStyle name="40% - 강조색5 48" xfId="2591" xr:uid="{00000000-0005-0000-0000-00006B090000}"/>
    <cellStyle name="40% - 강조색5 49" xfId="2592" xr:uid="{00000000-0005-0000-0000-00006C090000}"/>
    <cellStyle name="40% - 강조색5 5" xfId="2593" xr:uid="{00000000-0005-0000-0000-00006D090000}"/>
    <cellStyle name="40% - 강조색5 5 2" xfId="2594" xr:uid="{00000000-0005-0000-0000-00006E090000}"/>
    <cellStyle name="40% - 강조색5 5 3" xfId="2595" xr:uid="{00000000-0005-0000-0000-00006F090000}"/>
    <cellStyle name="40% - 강조색5 5 4" xfId="2596" xr:uid="{00000000-0005-0000-0000-000070090000}"/>
    <cellStyle name="40% - 강조색5 50" xfId="2597" xr:uid="{00000000-0005-0000-0000-000071090000}"/>
    <cellStyle name="40% - 강조색5 51" xfId="2598" xr:uid="{00000000-0005-0000-0000-000072090000}"/>
    <cellStyle name="40% - 강조색5 52" xfId="2599" xr:uid="{00000000-0005-0000-0000-000073090000}"/>
    <cellStyle name="40% - 강조색5 53" xfId="2600" xr:uid="{00000000-0005-0000-0000-000074090000}"/>
    <cellStyle name="40% - 강조색5 54" xfId="2601" xr:uid="{00000000-0005-0000-0000-000075090000}"/>
    <cellStyle name="40% - 강조색5 55" xfId="2602" xr:uid="{00000000-0005-0000-0000-000076090000}"/>
    <cellStyle name="40% - 강조색5 6" xfId="2603" xr:uid="{00000000-0005-0000-0000-000077090000}"/>
    <cellStyle name="40% - 강조색5 6 2" xfId="2604" xr:uid="{00000000-0005-0000-0000-000078090000}"/>
    <cellStyle name="40% - 강조색5 6 3" xfId="2605" xr:uid="{00000000-0005-0000-0000-000079090000}"/>
    <cellStyle name="40% - 강조색5 6 4" xfId="2606" xr:uid="{00000000-0005-0000-0000-00007A090000}"/>
    <cellStyle name="40% - 강조색5 7" xfId="2607" xr:uid="{00000000-0005-0000-0000-00007B090000}"/>
    <cellStyle name="40% - 강조색5 7 2" xfId="2608" xr:uid="{00000000-0005-0000-0000-00007C090000}"/>
    <cellStyle name="40% - 강조색5 7 3" xfId="2609" xr:uid="{00000000-0005-0000-0000-00007D090000}"/>
    <cellStyle name="40% - 강조색5 7 4" xfId="2610" xr:uid="{00000000-0005-0000-0000-00007E090000}"/>
    <cellStyle name="40% - 강조색5 8" xfId="2611" xr:uid="{00000000-0005-0000-0000-00007F090000}"/>
    <cellStyle name="40% - 강조색5 9" xfId="2612" xr:uid="{00000000-0005-0000-0000-000080090000}"/>
    <cellStyle name="40% - 강조색6 10" xfId="2613" xr:uid="{00000000-0005-0000-0000-000081090000}"/>
    <cellStyle name="40% - 강조색6 11" xfId="2614" xr:uid="{00000000-0005-0000-0000-000082090000}"/>
    <cellStyle name="40% - 강조색6 12" xfId="2615" xr:uid="{00000000-0005-0000-0000-000083090000}"/>
    <cellStyle name="40% - 강조색6 13" xfId="2616" xr:uid="{00000000-0005-0000-0000-000084090000}"/>
    <cellStyle name="40% - 강조색6 14" xfId="2617" xr:uid="{00000000-0005-0000-0000-000085090000}"/>
    <cellStyle name="40% - 강조색6 14 2" xfId="2618" xr:uid="{00000000-0005-0000-0000-000086090000}"/>
    <cellStyle name="40% - 강조색6 14 3" xfId="2619" xr:uid="{00000000-0005-0000-0000-000087090000}"/>
    <cellStyle name="40% - 강조색6 15" xfId="2620" xr:uid="{00000000-0005-0000-0000-000088090000}"/>
    <cellStyle name="40% - 강조색6 15 2" xfId="2621" xr:uid="{00000000-0005-0000-0000-000089090000}"/>
    <cellStyle name="40% - 강조색6 15 3" xfId="2622" xr:uid="{00000000-0005-0000-0000-00008A090000}"/>
    <cellStyle name="40% - 강조색6 16" xfId="2623" xr:uid="{00000000-0005-0000-0000-00008B090000}"/>
    <cellStyle name="40% - 강조색6 16 2" xfId="2624" xr:uid="{00000000-0005-0000-0000-00008C090000}"/>
    <cellStyle name="40% - 강조색6 16 3" xfId="2625" xr:uid="{00000000-0005-0000-0000-00008D090000}"/>
    <cellStyle name="40% - 강조색6 17" xfId="2626" xr:uid="{00000000-0005-0000-0000-00008E090000}"/>
    <cellStyle name="40% - 강조색6 17 2" xfId="2627" xr:uid="{00000000-0005-0000-0000-00008F090000}"/>
    <cellStyle name="40% - 강조색6 17 3" xfId="2628" xr:uid="{00000000-0005-0000-0000-000090090000}"/>
    <cellStyle name="40% - 강조색6 18" xfId="2629" xr:uid="{00000000-0005-0000-0000-000091090000}"/>
    <cellStyle name="40% - 강조색6 18 2" xfId="2630" xr:uid="{00000000-0005-0000-0000-000092090000}"/>
    <cellStyle name="40% - 강조색6 18 3" xfId="2631" xr:uid="{00000000-0005-0000-0000-000093090000}"/>
    <cellStyle name="40% - 강조색6 19" xfId="2632" xr:uid="{00000000-0005-0000-0000-000094090000}"/>
    <cellStyle name="40% - 강조색6 19 2" xfId="2633" xr:uid="{00000000-0005-0000-0000-000095090000}"/>
    <cellStyle name="40% - 강조색6 19 3" xfId="2634" xr:uid="{00000000-0005-0000-0000-000096090000}"/>
    <cellStyle name="40% - 강조색6 2" xfId="2635" xr:uid="{00000000-0005-0000-0000-000097090000}"/>
    <cellStyle name="40% - 강조색6 2 10" xfId="2636" xr:uid="{00000000-0005-0000-0000-000098090000}"/>
    <cellStyle name="40% - 강조색6 2 11" xfId="2637" xr:uid="{00000000-0005-0000-0000-000099090000}"/>
    <cellStyle name="40% - 강조색6 2 12" xfId="2638" xr:uid="{00000000-0005-0000-0000-00009A090000}"/>
    <cellStyle name="40% - 강조색6 2 13" xfId="2639" xr:uid="{00000000-0005-0000-0000-00009B090000}"/>
    <cellStyle name="40% - 강조색6 2 14" xfId="2640" xr:uid="{00000000-0005-0000-0000-00009C090000}"/>
    <cellStyle name="40% - 강조색6 2 15" xfId="2641" xr:uid="{00000000-0005-0000-0000-00009D090000}"/>
    <cellStyle name="40% - 강조색6 2 16" xfId="2642" xr:uid="{00000000-0005-0000-0000-00009E090000}"/>
    <cellStyle name="40% - 강조색6 2 17" xfId="2643" xr:uid="{00000000-0005-0000-0000-00009F090000}"/>
    <cellStyle name="40% - 강조색6 2 18" xfId="2644" xr:uid="{00000000-0005-0000-0000-0000A0090000}"/>
    <cellStyle name="40% - 강조색6 2 19" xfId="2645" xr:uid="{00000000-0005-0000-0000-0000A1090000}"/>
    <cellStyle name="40% - 강조색6 2 2" xfId="2646" xr:uid="{00000000-0005-0000-0000-0000A2090000}"/>
    <cellStyle name="40% - 강조색6 2 20" xfId="2647" xr:uid="{00000000-0005-0000-0000-0000A3090000}"/>
    <cellStyle name="40% - 강조색6 2 21" xfId="2648" xr:uid="{00000000-0005-0000-0000-0000A4090000}"/>
    <cellStyle name="40% - 강조색6 2 22" xfId="2649" xr:uid="{00000000-0005-0000-0000-0000A5090000}"/>
    <cellStyle name="40% - 강조색6 2 23" xfId="2650" xr:uid="{00000000-0005-0000-0000-0000A6090000}"/>
    <cellStyle name="40% - 강조색6 2 24" xfId="2651" xr:uid="{00000000-0005-0000-0000-0000A7090000}"/>
    <cellStyle name="40% - 강조색6 2 25" xfId="2652" xr:uid="{00000000-0005-0000-0000-0000A8090000}"/>
    <cellStyle name="40% - 강조색6 2 26" xfId="2653" xr:uid="{00000000-0005-0000-0000-0000A9090000}"/>
    <cellStyle name="40% - 강조색6 2 27" xfId="2654" xr:uid="{00000000-0005-0000-0000-0000AA090000}"/>
    <cellStyle name="40% - 강조색6 2 28" xfId="2655" xr:uid="{00000000-0005-0000-0000-0000AB090000}"/>
    <cellStyle name="40% - 강조색6 2 29" xfId="2656" xr:uid="{00000000-0005-0000-0000-0000AC090000}"/>
    <cellStyle name="40% - 강조색6 2 3" xfId="2657" xr:uid="{00000000-0005-0000-0000-0000AD090000}"/>
    <cellStyle name="40% - 강조색6 2 30" xfId="2658" xr:uid="{00000000-0005-0000-0000-0000AE090000}"/>
    <cellStyle name="40% - 강조색6 2 31" xfId="2659" xr:uid="{00000000-0005-0000-0000-0000AF090000}"/>
    <cellStyle name="40% - 강조색6 2 32" xfId="2660" xr:uid="{00000000-0005-0000-0000-0000B0090000}"/>
    <cellStyle name="40% - 강조색6 2 33" xfId="2661" xr:uid="{00000000-0005-0000-0000-0000B1090000}"/>
    <cellStyle name="40% - 강조색6 2 34" xfId="2662" xr:uid="{00000000-0005-0000-0000-0000B2090000}"/>
    <cellStyle name="40% - 강조색6 2 35" xfId="2663" xr:uid="{00000000-0005-0000-0000-0000B3090000}"/>
    <cellStyle name="40% - 강조색6 2 36" xfId="2664" xr:uid="{00000000-0005-0000-0000-0000B4090000}"/>
    <cellStyle name="40% - 강조색6 2 37" xfId="2665" xr:uid="{00000000-0005-0000-0000-0000B5090000}"/>
    <cellStyle name="40% - 강조색6 2 38" xfId="2666" xr:uid="{00000000-0005-0000-0000-0000B6090000}"/>
    <cellStyle name="40% - 강조색6 2 39" xfId="2667" xr:uid="{00000000-0005-0000-0000-0000B7090000}"/>
    <cellStyle name="40% - 강조색6 2 4" xfId="2668" xr:uid="{00000000-0005-0000-0000-0000B8090000}"/>
    <cellStyle name="40% - 강조색6 2 5" xfId="2669" xr:uid="{00000000-0005-0000-0000-0000B9090000}"/>
    <cellStyle name="40% - 강조색6 2 6" xfId="2670" xr:uid="{00000000-0005-0000-0000-0000BA090000}"/>
    <cellStyle name="40% - 강조색6 2 7" xfId="2671" xr:uid="{00000000-0005-0000-0000-0000BB090000}"/>
    <cellStyle name="40% - 강조색6 2 8" xfId="2672" xr:uid="{00000000-0005-0000-0000-0000BC090000}"/>
    <cellStyle name="40% - 강조색6 2 9" xfId="2673" xr:uid="{00000000-0005-0000-0000-0000BD090000}"/>
    <cellStyle name="40% - 강조색6 20" xfId="2674" xr:uid="{00000000-0005-0000-0000-0000BE090000}"/>
    <cellStyle name="40% - 강조색6 21" xfId="2675" xr:uid="{00000000-0005-0000-0000-0000BF090000}"/>
    <cellStyle name="40% - 강조색6 22" xfId="2676" xr:uid="{00000000-0005-0000-0000-0000C0090000}"/>
    <cellStyle name="40% - 강조색6 23" xfId="2677" xr:uid="{00000000-0005-0000-0000-0000C1090000}"/>
    <cellStyle name="40% - 강조색6 24" xfId="2678" xr:uid="{00000000-0005-0000-0000-0000C2090000}"/>
    <cellStyle name="40% - 강조색6 25" xfId="2679" xr:uid="{00000000-0005-0000-0000-0000C3090000}"/>
    <cellStyle name="40% - 강조색6 26" xfId="2680" xr:uid="{00000000-0005-0000-0000-0000C4090000}"/>
    <cellStyle name="40% - 강조색6 27" xfId="2681" xr:uid="{00000000-0005-0000-0000-0000C5090000}"/>
    <cellStyle name="40% - 강조색6 27 2" xfId="2682" xr:uid="{00000000-0005-0000-0000-0000C6090000}"/>
    <cellStyle name="40% - 강조색6 28" xfId="2683" xr:uid="{00000000-0005-0000-0000-0000C7090000}"/>
    <cellStyle name="40% - 강조색6 29" xfId="2684" xr:uid="{00000000-0005-0000-0000-0000C8090000}"/>
    <cellStyle name="40% - 강조색6 3" xfId="2685" xr:uid="{00000000-0005-0000-0000-0000C9090000}"/>
    <cellStyle name="40% - 강조색6 3 2" xfId="2686" xr:uid="{00000000-0005-0000-0000-0000CA090000}"/>
    <cellStyle name="40% - 강조색6 3 3" xfId="2687" xr:uid="{00000000-0005-0000-0000-0000CB090000}"/>
    <cellStyle name="40% - 강조색6 3 4" xfId="2688" xr:uid="{00000000-0005-0000-0000-0000CC090000}"/>
    <cellStyle name="40% - 강조색6 30" xfId="2689" xr:uid="{00000000-0005-0000-0000-0000CD090000}"/>
    <cellStyle name="40% - 강조색6 31" xfId="2690" xr:uid="{00000000-0005-0000-0000-0000CE090000}"/>
    <cellStyle name="40% - 강조색6 32" xfId="2691" xr:uid="{00000000-0005-0000-0000-0000CF090000}"/>
    <cellStyle name="40% - 강조색6 33" xfId="2692" xr:uid="{00000000-0005-0000-0000-0000D0090000}"/>
    <cellStyle name="40% - 강조색6 34" xfId="2693" xr:uid="{00000000-0005-0000-0000-0000D1090000}"/>
    <cellStyle name="40% - 강조색6 35" xfId="2694" xr:uid="{00000000-0005-0000-0000-0000D2090000}"/>
    <cellStyle name="40% - 강조색6 35 2" xfId="2695" xr:uid="{00000000-0005-0000-0000-0000D3090000}"/>
    <cellStyle name="40% - 강조색6 35 2 2" xfId="2696" xr:uid="{00000000-0005-0000-0000-0000D4090000}"/>
    <cellStyle name="40% - 강조색6 35 2 3" xfId="2697" xr:uid="{00000000-0005-0000-0000-0000D5090000}"/>
    <cellStyle name="40% - 강조색6 35 3" xfId="2698" xr:uid="{00000000-0005-0000-0000-0000D6090000}"/>
    <cellStyle name="40% - 강조색6 35 4" xfId="2699" xr:uid="{00000000-0005-0000-0000-0000D7090000}"/>
    <cellStyle name="40% - 강조색6 36" xfId="2700" xr:uid="{00000000-0005-0000-0000-0000D8090000}"/>
    <cellStyle name="40% - 강조색6 36 2" xfId="2701" xr:uid="{00000000-0005-0000-0000-0000D9090000}"/>
    <cellStyle name="40% - 강조색6 36 2 2" xfId="2702" xr:uid="{00000000-0005-0000-0000-0000DA090000}"/>
    <cellStyle name="40% - 강조색6 36 2 3" xfId="2703" xr:uid="{00000000-0005-0000-0000-0000DB090000}"/>
    <cellStyle name="40% - 강조색6 36 3" xfId="2704" xr:uid="{00000000-0005-0000-0000-0000DC090000}"/>
    <cellStyle name="40% - 강조색6 36 4" xfId="2705" xr:uid="{00000000-0005-0000-0000-0000DD090000}"/>
    <cellStyle name="40% - 강조색6 37" xfId="2706" xr:uid="{00000000-0005-0000-0000-0000DE090000}"/>
    <cellStyle name="40% - 강조색6 37 2" xfId="2707" xr:uid="{00000000-0005-0000-0000-0000DF090000}"/>
    <cellStyle name="40% - 강조색6 37 3" xfId="2708" xr:uid="{00000000-0005-0000-0000-0000E0090000}"/>
    <cellStyle name="40% - 강조색6 37 4" xfId="2709" xr:uid="{00000000-0005-0000-0000-0000E1090000}"/>
    <cellStyle name="40% - 강조색6 38" xfId="2710" xr:uid="{00000000-0005-0000-0000-0000E2090000}"/>
    <cellStyle name="40% - 강조색6 39" xfId="2711" xr:uid="{00000000-0005-0000-0000-0000E3090000}"/>
    <cellStyle name="40% - 강조색6 4" xfId="2712" xr:uid="{00000000-0005-0000-0000-0000E4090000}"/>
    <cellStyle name="40% - 강조색6 4 2" xfId="2713" xr:uid="{00000000-0005-0000-0000-0000E5090000}"/>
    <cellStyle name="40% - 강조색6 4 3" xfId="2714" xr:uid="{00000000-0005-0000-0000-0000E6090000}"/>
    <cellStyle name="40% - 강조색6 4 4" xfId="2715" xr:uid="{00000000-0005-0000-0000-0000E7090000}"/>
    <cellStyle name="40% - 강조색6 40" xfId="2716" xr:uid="{00000000-0005-0000-0000-0000E8090000}"/>
    <cellStyle name="40% - 강조색6 41" xfId="2717" xr:uid="{00000000-0005-0000-0000-0000E9090000}"/>
    <cellStyle name="40% - 강조색6 42" xfId="2718" xr:uid="{00000000-0005-0000-0000-0000EA090000}"/>
    <cellStyle name="40% - 강조색6 43" xfId="2719" xr:uid="{00000000-0005-0000-0000-0000EB090000}"/>
    <cellStyle name="40% - 강조색6 44" xfId="2720" xr:uid="{00000000-0005-0000-0000-0000EC090000}"/>
    <cellStyle name="40% - 강조색6 44 2" xfId="2721" xr:uid="{00000000-0005-0000-0000-0000ED090000}"/>
    <cellStyle name="40% - 강조색6 44 3" xfId="2722" xr:uid="{00000000-0005-0000-0000-0000EE090000}"/>
    <cellStyle name="40% - 강조색6 45" xfId="2723" xr:uid="{00000000-0005-0000-0000-0000EF090000}"/>
    <cellStyle name="40% - 강조색6 45 2" xfId="2724" xr:uid="{00000000-0005-0000-0000-0000F0090000}"/>
    <cellStyle name="40% - 강조색6 45 3" xfId="2725" xr:uid="{00000000-0005-0000-0000-0000F1090000}"/>
    <cellStyle name="40% - 강조색6 46" xfId="2726" xr:uid="{00000000-0005-0000-0000-0000F2090000}"/>
    <cellStyle name="40% - 강조색6 47" xfId="2727" xr:uid="{00000000-0005-0000-0000-0000F3090000}"/>
    <cellStyle name="40% - 강조색6 48" xfId="2728" xr:uid="{00000000-0005-0000-0000-0000F4090000}"/>
    <cellStyle name="40% - 강조색6 49" xfId="2729" xr:uid="{00000000-0005-0000-0000-0000F5090000}"/>
    <cellStyle name="40% - 강조색6 5" xfId="2730" xr:uid="{00000000-0005-0000-0000-0000F6090000}"/>
    <cellStyle name="40% - 강조색6 5 2" xfId="2731" xr:uid="{00000000-0005-0000-0000-0000F7090000}"/>
    <cellStyle name="40% - 강조색6 5 3" xfId="2732" xr:uid="{00000000-0005-0000-0000-0000F8090000}"/>
    <cellStyle name="40% - 강조색6 5 4" xfId="2733" xr:uid="{00000000-0005-0000-0000-0000F9090000}"/>
    <cellStyle name="40% - 강조색6 50" xfId="2734" xr:uid="{00000000-0005-0000-0000-0000FA090000}"/>
    <cellStyle name="40% - 강조색6 51" xfId="2735" xr:uid="{00000000-0005-0000-0000-0000FB090000}"/>
    <cellStyle name="40% - 강조색6 52" xfId="2736" xr:uid="{00000000-0005-0000-0000-0000FC090000}"/>
    <cellStyle name="40% - 강조색6 53" xfId="2737" xr:uid="{00000000-0005-0000-0000-0000FD090000}"/>
    <cellStyle name="40% - 강조색6 54" xfId="2738" xr:uid="{00000000-0005-0000-0000-0000FE090000}"/>
    <cellStyle name="40% - 강조색6 55" xfId="2739" xr:uid="{00000000-0005-0000-0000-0000FF090000}"/>
    <cellStyle name="40% - 강조색6 6" xfId="2740" xr:uid="{00000000-0005-0000-0000-0000000A0000}"/>
    <cellStyle name="40% - 강조색6 6 2" xfId="2741" xr:uid="{00000000-0005-0000-0000-0000010A0000}"/>
    <cellStyle name="40% - 강조색6 6 3" xfId="2742" xr:uid="{00000000-0005-0000-0000-0000020A0000}"/>
    <cellStyle name="40% - 강조색6 6 4" xfId="2743" xr:uid="{00000000-0005-0000-0000-0000030A0000}"/>
    <cellStyle name="40% - 강조색6 7" xfId="2744" xr:uid="{00000000-0005-0000-0000-0000040A0000}"/>
    <cellStyle name="40% - 강조색6 7 2" xfId="2745" xr:uid="{00000000-0005-0000-0000-0000050A0000}"/>
    <cellStyle name="40% - 강조색6 7 3" xfId="2746" xr:uid="{00000000-0005-0000-0000-0000060A0000}"/>
    <cellStyle name="40% - 강조색6 7 4" xfId="2747" xr:uid="{00000000-0005-0000-0000-0000070A0000}"/>
    <cellStyle name="40% - 강조색6 8" xfId="2748" xr:uid="{00000000-0005-0000-0000-0000080A0000}"/>
    <cellStyle name="40% - 강조색6 9" xfId="2749" xr:uid="{00000000-0005-0000-0000-0000090A0000}"/>
    <cellStyle name="60% - Accent1" xfId="2750" xr:uid="{00000000-0005-0000-0000-00000A0A0000}"/>
    <cellStyle name="60% - Accent2" xfId="2751" xr:uid="{00000000-0005-0000-0000-00000B0A0000}"/>
    <cellStyle name="60% - Accent3" xfId="2752" xr:uid="{00000000-0005-0000-0000-00000C0A0000}"/>
    <cellStyle name="60% - Accent4" xfId="2753" xr:uid="{00000000-0005-0000-0000-00000D0A0000}"/>
    <cellStyle name="60% - Accent5" xfId="2754" xr:uid="{00000000-0005-0000-0000-00000E0A0000}"/>
    <cellStyle name="60% - Accent6" xfId="2755" xr:uid="{00000000-0005-0000-0000-00000F0A0000}"/>
    <cellStyle name="60% - 강조색1 10" xfId="2756" xr:uid="{00000000-0005-0000-0000-0000100A0000}"/>
    <cellStyle name="60% - 강조색1 11" xfId="2757" xr:uid="{00000000-0005-0000-0000-0000110A0000}"/>
    <cellStyle name="60% - 강조색1 12" xfId="2758" xr:uid="{00000000-0005-0000-0000-0000120A0000}"/>
    <cellStyle name="60% - 강조색1 13" xfId="2759" xr:uid="{00000000-0005-0000-0000-0000130A0000}"/>
    <cellStyle name="60% - 강조색1 14" xfId="2760" xr:uid="{00000000-0005-0000-0000-0000140A0000}"/>
    <cellStyle name="60% - 강조색1 14 2" xfId="2761" xr:uid="{00000000-0005-0000-0000-0000150A0000}"/>
    <cellStyle name="60% - 강조색1 14 3" xfId="2762" xr:uid="{00000000-0005-0000-0000-0000160A0000}"/>
    <cellStyle name="60% - 강조색1 15" xfId="2763" xr:uid="{00000000-0005-0000-0000-0000170A0000}"/>
    <cellStyle name="60% - 강조색1 15 2" xfId="2764" xr:uid="{00000000-0005-0000-0000-0000180A0000}"/>
    <cellStyle name="60% - 강조색1 15 3" xfId="2765" xr:uid="{00000000-0005-0000-0000-0000190A0000}"/>
    <cellStyle name="60% - 강조색1 16" xfId="2766" xr:uid="{00000000-0005-0000-0000-00001A0A0000}"/>
    <cellStyle name="60% - 강조색1 16 2" xfId="2767" xr:uid="{00000000-0005-0000-0000-00001B0A0000}"/>
    <cellStyle name="60% - 강조색1 16 3" xfId="2768" xr:uid="{00000000-0005-0000-0000-00001C0A0000}"/>
    <cellStyle name="60% - 강조색1 17" xfId="2769" xr:uid="{00000000-0005-0000-0000-00001D0A0000}"/>
    <cellStyle name="60% - 강조색1 17 2" xfId="2770" xr:uid="{00000000-0005-0000-0000-00001E0A0000}"/>
    <cellStyle name="60% - 강조색1 17 3" xfId="2771" xr:uid="{00000000-0005-0000-0000-00001F0A0000}"/>
    <cellStyle name="60% - 강조색1 18" xfId="2772" xr:uid="{00000000-0005-0000-0000-0000200A0000}"/>
    <cellStyle name="60% - 강조색1 18 2" xfId="2773" xr:uid="{00000000-0005-0000-0000-0000210A0000}"/>
    <cellStyle name="60% - 강조색1 18 3" xfId="2774" xr:uid="{00000000-0005-0000-0000-0000220A0000}"/>
    <cellStyle name="60% - 강조색1 19" xfId="2775" xr:uid="{00000000-0005-0000-0000-0000230A0000}"/>
    <cellStyle name="60% - 강조색1 19 2" xfId="2776" xr:uid="{00000000-0005-0000-0000-0000240A0000}"/>
    <cellStyle name="60% - 강조색1 19 3" xfId="2777" xr:uid="{00000000-0005-0000-0000-0000250A0000}"/>
    <cellStyle name="60% - 강조색1 2" xfId="2778" xr:uid="{00000000-0005-0000-0000-0000260A0000}"/>
    <cellStyle name="60% - 강조색1 2 10" xfId="2779" xr:uid="{00000000-0005-0000-0000-0000270A0000}"/>
    <cellStyle name="60% - 강조색1 2 11" xfId="2780" xr:uid="{00000000-0005-0000-0000-0000280A0000}"/>
    <cellStyle name="60% - 강조색1 2 12" xfId="2781" xr:uid="{00000000-0005-0000-0000-0000290A0000}"/>
    <cellStyle name="60% - 강조색1 2 13" xfId="2782" xr:uid="{00000000-0005-0000-0000-00002A0A0000}"/>
    <cellStyle name="60% - 강조색1 2 14" xfId="2783" xr:uid="{00000000-0005-0000-0000-00002B0A0000}"/>
    <cellStyle name="60% - 강조색1 2 15" xfId="2784" xr:uid="{00000000-0005-0000-0000-00002C0A0000}"/>
    <cellStyle name="60% - 강조색1 2 16" xfId="2785" xr:uid="{00000000-0005-0000-0000-00002D0A0000}"/>
    <cellStyle name="60% - 강조색1 2 17" xfId="2786" xr:uid="{00000000-0005-0000-0000-00002E0A0000}"/>
    <cellStyle name="60% - 강조색1 2 18" xfId="2787" xr:uid="{00000000-0005-0000-0000-00002F0A0000}"/>
    <cellStyle name="60% - 강조색1 2 19" xfId="2788" xr:uid="{00000000-0005-0000-0000-0000300A0000}"/>
    <cellStyle name="60% - 강조색1 2 2" xfId="2789" xr:uid="{00000000-0005-0000-0000-0000310A0000}"/>
    <cellStyle name="60% - 강조색1 2 20" xfId="2790" xr:uid="{00000000-0005-0000-0000-0000320A0000}"/>
    <cellStyle name="60% - 강조색1 2 21" xfId="2791" xr:uid="{00000000-0005-0000-0000-0000330A0000}"/>
    <cellStyle name="60% - 강조색1 2 22" xfId="2792" xr:uid="{00000000-0005-0000-0000-0000340A0000}"/>
    <cellStyle name="60% - 강조색1 2 23" xfId="2793" xr:uid="{00000000-0005-0000-0000-0000350A0000}"/>
    <cellStyle name="60% - 강조색1 2 24" xfId="2794" xr:uid="{00000000-0005-0000-0000-0000360A0000}"/>
    <cellStyle name="60% - 강조색1 2 25" xfId="2795" xr:uid="{00000000-0005-0000-0000-0000370A0000}"/>
    <cellStyle name="60% - 강조색1 2 26" xfId="2796" xr:uid="{00000000-0005-0000-0000-0000380A0000}"/>
    <cellStyle name="60% - 강조색1 2 27" xfId="2797" xr:uid="{00000000-0005-0000-0000-0000390A0000}"/>
    <cellStyle name="60% - 강조색1 2 28" xfId="2798" xr:uid="{00000000-0005-0000-0000-00003A0A0000}"/>
    <cellStyle name="60% - 강조색1 2 29" xfId="2799" xr:uid="{00000000-0005-0000-0000-00003B0A0000}"/>
    <cellStyle name="60% - 강조색1 2 3" xfId="2800" xr:uid="{00000000-0005-0000-0000-00003C0A0000}"/>
    <cellStyle name="60% - 강조색1 2 30" xfId="2801" xr:uid="{00000000-0005-0000-0000-00003D0A0000}"/>
    <cellStyle name="60% - 강조색1 2 31" xfId="2802" xr:uid="{00000000-0005-0000-0000-00003E0A0000}"/>
    <cellStyle name="60% - 강조색1 2 32" xfId="2803" xr:uid="{00000000-0005-0000-0000-00003F0A0000}"/>
    <cellStyle name="60% - 강조색1 2 33" xfId="2804" xr:uid="{00000000-0005-0000-0000-0000400A0000}"/>
    <cellStyle name="60% - 강조색1 2 34" xfId="2805" xr:uid="{00000000-0005-0000-0000-0000410A0000}"/>
    <cellStyle name="60% - 강조색1 2 35" xfId="2806" xr:uid="{00000000-0005-0000-0000-0000420A0000}"/>
    <cellStyle name="60% - 강조색1 2 36" xfId="2807" xr:uid="{00000000-0005-0000-0000-0000430A0000}"/>
    <cellStyle name="60% - 강조색1 2 37" xfId="2808" xr:uid="{00000000-0005-0000-0000-0000440A0000}"/>
    <cellStyle name="60% - 강조색1 2 38" xfId="2809" xr:uid="{00000000-0005-0000-0000-0000450A0000}"/>
    <cellStyle name="60% - 강조색1 2 39" xfId="2810" xr:uid="{00000000-0005-0000-0000-0000460A0000}"/>
    <cellStyle name="60% - 강조색1 2 4" xfId="2811" xr:uid="{00000000-0005-0000-0000-0000470A0000}"/>
    <cellStyle name="60% - 강조색1 2 5" xfId="2812" xr:uid="{00000000-0005-0000-0000-0000480A0000}"/>
    <cellStyle name="60% - 강조색1 2 6" xfId="2813" xr:uid="{00000000-0005-0000-0000-0000490A0000}"/>
    <cellStyle name="60% - 강조색1 2 7" xfId="2814" xr:uid="{00000000-0005-0000-0000-00004A0A0000}"/>
    <cellStyle name="60% - 강조색1 2 8" xfId="2815" xr:uid="{00000000-0005-0000-0000-00004B0A0000}"/>
    <cellStyle name="60% - 강조색1 2 9" xfId="2816" xr:uid="{00000000-0005-0000-0000-00004C0A0000}"/>
    <cellStyle name="60% - 강조색1 20" xfId="2817" xr:uid="{00000000-0005-0000-0000-00004D0A0000}"/>
    <cellStyle name="60% - 강조색1 21" xfId="2818" xr:uid="{00000000-0005-0000-0000-00004E0A0000}"/>
    <cellStyle name="60% - 강조색1 22" xfId="2819" xr:uid="{00000000-0005-0000-0000-00004F0A0000}"/>
    <cellStyle name="60% - 강조색1 23" xfId="2820" xr:uid="{00000000-0005-0000-0000-0000500A0000}"/>
    <cellStyle name="60% - 강조색1 24" xfId="2821" xr:uid="{00000000-0005-0000-0000-0000510A0000}"/>
    <cellStyle name="60% - 강조색1 25" xfId="2822" xr:uid="{00000000-0005-0000-0000-0000520A0000}"/>
    <cellStyle name="60% - 강조색1 26" xfId="2823" xr:uid="{00000000-0005-0000-0000-0000530A0000}"/>
    <cellStyle name="60% - 강조색1 27" xfId="2824" xr:uid="{00000000-0005-0000-0000-0000540A0000}"/>
    <cellStyle name="60% - 강조색1 27 2" xfId="2825" xr:uid="{00000000-0005-0000-0000-0000550A0000}"/>
    <cellStyle name="60% - 강조색1 28" xfId="2826" xr:uid="{00000000-0005-0000-0000-0000560A0000}"/>
    <cellStyle name="60% - 강조색1 29" xfId="2827" xr:uid="{00000000-0005-0000-0000-0000570A0000}"/>
    <cellStyle name="60% - 강조색1 3" xfId="2828" xr:uid="{00000000-0005-0000-0000-0000580A0000}"/>
    <cellStyle name="60% - 강조색1 3 2" xfId="2829" xr:uid="{00000000-0005-0000-0000-0000590A0000}"/>
    <cellStyle name="60% - 강조색1 3 3" xfId="2830" xr:uid="{00000000-0005-0000-0000-00005A0A0000}"/>
    <cellStyle name="60% - 강조색1 3 4" xfId="2831" xr:uid="{00000000-0005-0000-0000-00005B0A0000}"/>
    <cellStyle name="60% - 강조색1 30" xfId="2832" xr:uid="{00000000-0005-0000-0000-00005C0A0000}"/>
    <cellStyle name="60% - 강조색1 31" xfId="2833" xr:uid="{00000000-0005-0000-0000-00005D0A0000}"/>
    <cellStyle name="60% - 강조색1 32" xfId="2834" xr:uid="{00000000-0005-0000-0000-00005E0A0000}"/>
    <cellStyle name="60% - 강조색1 33" xfId="2835" xr:uid="{00000000-0005-0000-0000-00005F0A0000}"/>
    <cellStyle name="60% - 강조색1 34" xfId="2836" xr:uid="{00000000-0005-0000-0000-0000600A0000}"/>
    <cellStyle name="60% - 강조색1 35" xfId="2837" xr:uid="{00000000-0005-0000-0000-0000610A0000}"/>
    <cellStyle name="60% - 강조색1 36" xfId="2838" xr:uid="{00000000-0005-0000-0000-0000620A0000}"/>
    <cellStyle name="60% - 강조색1 37" xfId="2839" xr:uid="{00000000-0005-0000-0000-0000630A0000}"/>
    <cellStyle name="60% - 강조색1 37 2" xfId="2840" xr:uid="{00000000-0005-0000-0000-0000640A0000}"/>
    <cellStyle name="60% - 강조색1 38" xfId="2841" xr:uid="{00000000-0005-0000-0000-0000650A0000}"/>
    <cellStyle name="60% - 강조색1 39" xfId="2842" xr:uid="{00000000-0005-0000-0000-0000660A0000}"/>
    <cellStyle name="60% - 강조색1 4" xfId="2843" xr:uid="{00000000-0005-0000-0000-0000670A0000}"/>
    <cellStyle name="60% - 강조색1 4 2" xfId="2844" xr:uid="{00000000-0005-0000-0000-0000680A0000}"/>
    <cellStyle name="60% - 강조색1 4 3" xfId="2845" xr:uid="{00000000-0005-0000-0000-0000690A0000}"/>
    <cellStyle name="60% - 강조색1 4 4" xfId="2846" xr:uid="{00000000-0005-0000-0000-00006A0A0000}"/>
    <cellStyle name="60% - 강조색1 40" xfId="2847" xr:uid="{00000000-0005-0000-0000-00006B0A0000}"/>
    <cellStyle name="60% - 강조색1 41" xfId="2848" xr:uid="{00000000-0005-0000-0000-00006C0A0000}"/>
    <cellStyle name="60% - 강조색1 42" xfId="2849" xr:uid="{00000000-0005-0000-0000-00006D0A0000}"/>
    <cellStyle name="60% - 강조색1 43" xfId="2850" xr:uid="{00000000-0005-0000-0000-00006E0A0000}"/>
    <cellStyle name="60% - 강조색1 44" xfId="2851" xr:uid="{00000000-0005-0000-0000-00006F0A0000}"/>
    <cellStyle name="60% - 강조색1 45" xfId="2852" xr:uid="{00000000-0005-0000-0000-0000700A0000}"/>
    <cellStyle name="60% - 강조색1 45 2" xfId="2853" xr:uid="{00000000-0005-0000-0000-0000710A0000}"/>
    <cellStyle name="60% - 강조색1 45 3" xfId="2854" xr:uid="{00000000-0005-0000-0000-0000720A0000}"/>
    <cellStyle name="60% - 강조색1 46" xfId="2855" xr:uid="{00000000-0005-0000-0000-0000730A0000}"/>
    <cellStyle name="60% - 강조색1 47" xfId="2856" xr:uid="{00000000-0005-0000-0000-0000740A0000}"/>
    <cellStyle name="60% - 강조색1 48" xfId="2857" xr:uid="{00000000-0005-0000-0000-0000750A0000}"/>
    <cellStyle name="60% - 강조색1 49" xfId="2858" xr:uid="{00000000-0005-0000-0000-0000760A0000}"/>
    <cellStyle name="60% - 강조색1 5" xfId="2859" xr:uid="{00000000-0005-0000-0000-0000770A0000}"/>
    <cellStyle name="60% - 강조색1 5 2" xfId="2860" xr:uid="{00000000-0005-0000-0000-0000780A0000}"/>
    <cellStyle name="60% - 강조색1 5 3" xfId="2861" xr:uid="{00000000-0005-0000-0000-0000790A0000}"/>
    <cellStyle name="60% - 강조색1 5 4" xfId="2862" xr:uid="{00000000-0005-0000-0000-00007A0A0000}"/>
    <cellStyle name="60% - 강조색1 50" xfId="2863" xr:uid="{00000000-0005-0000-0000-00007B0A0000}"/>
    <cellStyle name="60% - 강조색1 51" xfId="2864" xr:uid="{00000000-0005-0000-0000-00007C0A0000}"/>
    <cellStyle name="60% - 강조색1 52" xfId="2865" xr:uid="{00000000-0005-0000-0000-00007D0A0000}"/>
    <cellStyle name="60% - 강조색1 53" xfId="2866" xr:uid="{00000000-0005-0000-0000-00007E0A0000}"/>
    <cellStyle name="60% - 강조색1 54" xfId="2867" xr:uid="{00000000-0005-0000-0000-00007F0A0000}"/>
    <cellStyle name="60% - 강조색1 55" xfId="2868" xr:uid="{00000000-0005-0000-0000-0000800A0000}"/>
    <cellStyle name="60% - 강조색1 6" xfId="2869" xr:uid="{00000000-0005-0000-0000-0000810A0000}"/>
    <cellStyle name="60% - 강조색1 6 2" xfId="2870" xr:uid="{00000000-0005-0000-0000-0000820A0000}"/>
    <cellStyle name="60% - 강조색1 6 3" xfId="2871" xr:uid="{00000000-0005-0000-0000-0000830A0000}"/>
    <cellStyle name="60% - 강조색1 6 4" xfId="2872" xr:uid="{00000000-0005-0000-0000-0000840A0000}"/>
    <cellStyle name="60% - 강조색1 7" xfId="2873" xr:uid="{00000000-0005-0000-0000-0000850A0000}"/>
    <cellStyle name="60% - 강조색1 7 2" xfId="2874" xr:uid="{00000000-0005-0000-0000-0000860A0000}"/>
    <cellStyle name="60% - 강조색1 7 3" xfId="2875" xr:uid="{00000000-0005-0000-0000-0000870A0000}"/>
    <cellStyle name="60% - 강조색1 7 4" xfId="2876" xr:uid="{00000000-0005-0000-0000-0000880A0000}"/>
    <cellStyle name="60% - 강조색1 8" xfId="2877" xr:uid="{00000000-0005-0000-0000-0000890A0000}"/>
    <cellStyle name="60% - 강조색1 9" xfId="2878" xr:uid="{00000000-0005-0000-0000-00008A0A0000}"/>
    <cellStyle name="60% - 강조색2 10" xfId="2879" xr:uid="{00000000-0005-0000-0000-00008B0A0000}"/>
    <cellStyle name="60% - 강조색2 11" xfId="2880" xr:uid="{00000000-0005-0000-0000-00008C0A0000}"/>
    <cellStyle name="60% - 강조색2 12" xfId="2881" xr:uid="{00000000-0005-0000-0000-00008D0A0000}"/>
    <cellStyle name="60% - 강조색2 13" xfId="2882" xr:uid="{00000000-0005-0000-0000-00008E0A0000}"/>
    <cellStyle name="60% - 강조색2 14" xfId="2883" xr:uid="{00000000-0005-0000-0000-00008F0A0000}"/>
    <cellStyle name="60% - 강조색2 14 2" xfId="2884" xr:uid="{00000000-0005-0000-0000-0000900A0000}"/>
    <cellStyle name="60% - 강조색2 14 3" xfId="2885" xr:uid="{00000000-0005-0000-0000-0000910A0000}"/>
    <cellStyle name="60% - 강조색2 15" xfId="2886" xr:uid="{00000000-0005-0000-0000-0000920A0000}"/>
    <cellStyle name="60% - 강조색2 15 2" xfId="2887" xr:uid="{00000000-0005-0000-0000-0000930A0000}"/>
    <cellStyle name="60% - 강조색2 15 3" xfId="2888" xr:uid="{00000000-0005-0000-0000-0000940A0000}"/>
    <cellStyle name="60% - 강조색2 16" xfId="2889" xr:uid="{00000000-0005-0000-0000-0000950A0000}"/>
    <cellStyle name="60% - 강조색2 16 2" xfId="2890" xr:uid="{00000000-0005-0000-0000-0000960A0000}"/>
    <cellStyle name="60% - 강조색2 16 3" xfId="2891" xr:uid="{00000000-0005-0000-0000-0000970A0000}"/>
    <cellStyle name="60% - 강조색2 17" xfId="2892" xr:uid="{00000000-0005-0000-0000-0000980A0000}"/>
    <cellStyle name="60% - 강조색2 17 2" xfId="2893" xr:uid="{00000000-0005-0000-0000-0000990A0000}"/>
    <cellStyle name="60% - 강조색2 17 3" xfId="2894" xr:uid="{00000000-0005-0000-0000-00009A0A0000}"/>
    <cellStyle name="60% - 강조색2 18" xfId="2895" xr:uid="{00000000-0005-0000-0000-00009B0A0000}"/>
    <cellStyle name="60% - 강조색2 18 2" xfId="2896" xr:uid="{00000000-0005-0000-0000-00009C0A0000}"/>
    <cellStyle name="60% - 강조색2 18 3" xfId="2897" xr:uid="{00000000-0005-0000-0000-00009D0A0000}"/>
    <cellStyle name="60% - 강조색2 19" xfId="2898" xr:uid="{00000000-0005-0000-0000-00009E0A0000}"/>
    <cellStyle name="60% - 강조색2 19 2" xfId="2899" xr:uid="{00000000-0005-0000-0000-00009F0A0000}"/>
    <cellStyle name="60% - 강조색2 19 3" xfId="2900" xr:uid="{00000000-0005-0000-0000-0000A00A0000}"/>
    <cellStyle name="60% - 강조색2 2" xfId="2901" xr:uid="{00000000-0005-0000-0000-0000A10A0000}"/>
    <cellStyle name="60% - 강조색2 2 10" xfId="2902" xr:uid="{00000000-0005-0000-0000-0000A20A0000}"/>
    <cellStyle name="60% - 강조색2 2 11" xfId="2903" xr:uid="{00000000-0005-0000-0000-0000A30A0000}"/>
    <cellStyle name="60% - 강조색2 2 12" xfId="2904" xr:uid="{00000000-0005-0000-0000-0000A40A0000}"/>
    <cellStyle name="60% - 강조색2 2 13" xfId="2905" xr:uid="{00000000-0005-0000-0000-0000A50A0000}"/>
    <cellStyle name="60% - 강조색2 2 14" xfId="2906" xr:uid="{00000000-0005-0000-0000-0000A60A0000}"/>
    <cellStyle name="60% - 강조색2 2 15" xfId="2907" xr:uid="{00000000-0005-0000-0000-0000A70A0000}"/>
    <cellStyle name="60% - 강조색2 2 16" xfId="2908" xr:uid="{00000000-0005-0000-0000-0000A80A0000}"/>
    <cellStyle name="60% - 강조색2 2 17" xfId="2909" xr:uid="{00000000-0005-0000-0000-0000A90A0000}"/>
    <cellStyle name="60% - 강조색2 2 18" xfId="2910" xr:uid="{00000000-0005-0000-0000-0000AA0A0000}"/>
    <cellStyle name="60% - 강조색2 2 19" xfId="2911" xr:uid="{00000000-0005-0000-0000-0000AB0A0000}"/>
    <cellStyle name="60% - 강조색2 2 2" xfId="2912" xr:uid="{00000000-0005-0000-0000-0000AC0A0000}"/>
    <cellStyle name="60% - 강조색2 2 20" xfId="2913" xr:uid="{00000000-0005-0000-0000-0000AD0A0000}"/>
    <cellStyle name="60% - 강조색2 2 21" xfId="2914" xr:uid="{00000000-0005-0000-0000-0000AE0A0000}"/>
    <cellStyle name="60% - 강조색2 2 22" xfId="2915" xr:uid="{00000000-0005-0000-0000-0000AF0A0000}"/>
    <cellStyle name="60% - 강조색2 2 23" xfId="2916" xr:uid="{00000000-0005-0000-0000-0000B00A0000}"/>
    <cellStyle name="60% - 강조색2 2 24" xfId="2917" xr:uid="{00000000-0005-0000-0000-0000B10A0000}"/>
    <cellStyle name="60% - 강조색2 2 25" xfId="2918" xr:uid="{00000000-0005-0000-0000-0000B20A0000}"/>
    <cellStyle name="60% - 강조색2 2 26" xfId="2919" xr:uid="{00000000-0005-0000-0000-0000B30A0000}"/>
    <cellStyle name="60% - 강조색2 2 27" xfId="2920" xr:uid="{00000000-0005-0000-0000-0000B40A0000}"/>
    <cellStyle name="60% - 강조색2 2 28" xfId="2921" xr:uid="{00000000-0005-0000-0000-0000B50A0000}"/>
    <cellStyle name="60% - 강조색2 2 29" xfId="2922" xr:uid="{00000000-0005-0000-0000-0000B60A0000}"/>
    <cellStyle name="60% - 강조색2 2 3" xfId="2923" xr:uid="{00000000-0005-0000-0000-0000B70A0000}"/>
    <cellStyle name="60% - 강조색2 2 30" xfId="2924" xr:uid="{00000000-0005-0000-0000-0000B80A0000}"/>
    <cellStyle name="60% - 강조색2 2 31" xfId="2925" xr:uid="{00000000-0005-0000-0000-0000B90A0000}"/>
    <cellStyle name="60% - 강조색2 2 32" xfId="2926" xr:uid="{00000000-0005-0000-0000-0000BA0A0000}"/>
    <cellStyle name="60% - 강조색2 2 33" xfId="2927" xr:uid="{00000000-0005-0000-0000-0000BB0A0000}"/>
    <cellStyle name="60% - 강조색2 2 34" xfId="2928" xr:uid="{00000000-0005-0000-0000-0000BC0A0000}"/>
    <cellStyle name="60% - 강조색2 2 35" xfId="2929" xr:uid="{00000000-0005-0000-0000-0000BD0A0000}"/>
    <cellStyle name="60% - 강조색2 2 36" xfId="2930" xr:uid="{00000000-0005-0000-0000-0000BE0A0000}"/>
    <cellStyle name="60% - 강조색2 2 37" xfId="2931" xr:uid="{00000000-0005-0000-0000-0000BF0A0000}"/>
    <cellStyle name="60% - 강조색2 2 38" xfId="2932" xr:uid="{00000000-0005-0000-0000-0000C00A0000}"/>
    <cellStyle name="60% - 강조색2 2 39" xfId="2933" xr:uid="{00000000-0005-0000-0000-0000C10A0000}"/>
    <cellStyle name="60% - 강조색2 2 4" xfId="2934" xr:uid="{00000000-0005-0000-0000-0000C20A0000}"/>
    <cellStyle name="60% - 강조색2 2 5" xfId="2935" xr:uid="{00000000-0005-0000-0000-0000C30A0000}"/>
    <cellStyle name="60% - 강조색2 2 6" xfId="2936" xr:uid="{00000000-0005-0000-0000-0000C40A0000}"/>
    <cellStyle name="60% - 강조색2 2 7" xfId="2937" xr:uid="{00000000-0005-0000-0000-0000C50A0000}"/>
    <cellStyle name="60% - 강조색2 2 8" xfId="2938" xr:uid="{00000000-0005-0000-0000-0000C60A0000}"/>
    <cellStyle name="60% - 강조색2 2 9" xfId="2939" xr:uid="{00000000-0005-0000-0000-0000C70A0000}"/>
    <cellStyle name="60% - 강조색2 20" xfId="2940" xr:uid="{00000000-0005-0000-0000-0000C80A0000}"/>
    <cellStyle name="60% - 강조색2 21" xfId="2941" xr:uid="{00000000-0005-0000-0000-0000C90A0000}"/>
    <cellStyle name="60% - 강조색2 22" xfId="2942" xr:uid="{00000000-0005-0000-0000-0000CA0A0000}"/>
    <cellStyle name="60% - 강조색2 23" xfId="2943" xr:uid="{00000000-0005-0000-0000-0000CB0A0000}"/>
    <cellStyle name="60% - 강조색2 24" xfId="2944" xr:uid="{00000000-0005-0000-0000-0000CC0A0000}"/>
    <cellStyle name="60% - 강조색2 25" xfId="2945" xr:uid="{00000000-0005-0000-0000-0000CD0A0000}"/>
    <cellStyle name="60% - 강조색2 26" xfId="2946" xr:uid="{00000000-0005-0000-0000-0000CE0A0000}"/>
    <cellStyle name="60% - 강조색2 27" xfId="2947" xr:uid="{00000000-0005-0000-0000-0000CF0A0000}"/>
    <cellStyle name="60% - 강조색2 27 2" xfId="2948" xr:uid="{00000000-0005-0000-0000-0000D00A0000}"/>
    <cellStyle name="60% - 강조색2 28" xfId="2949" xr:uid="{00000000-0005-0000-0000-0000D10A0000}"/>
    <cellStyle name="60% - 강조색2 29" xfId="2950" xr:uid="{00000000-0005-0000-0000-0000D20A0000}"/>
    <cellStyle name="60% - 강조색2 3" xfId="2951" xr:uid="{00000000-0005-0000-0000-0000D30A0000}"/>
    <cellStyle name="60% - 강조색2 3 2" xfId="2952" xr:uid="{00000000-0005-0000-0000-0000D40A0000}"/>
    <cellStyle name="60% - 강조색2 3 3" xfId="2953" xr:uid="{00000000-0005-0000-0000-0000D50A0000}"/>
    <cellStyle name="60% - 강조색2 3 4" xfId="2954" xr:uid="{00000000-0005-0000-0000-0000D60A0000}"/>
    <cellStyle name="60% - 강조색2 30" xfId="2955" xr:uid="{00000000-0005-0000-0000-0000D70A0000}"/>
    <cellStyle name="60% - 강조색2 31" xfId="2956" xr:uid="{00000000-0005-0000-0000-0000D80A0000}"/>
    <cellStyle name="60% - 강조색2 32" xfId="2957" xr:uid="{00000000-0005-0000-0000-0000D90A0000}"/>
    <cellStyle name="60% - 강조색2 33" xfId="2958" xr:uid="{00000000-0005-0000-0000-0000DA0A0000}"/>
    <cellStyle name="60% - 강조색2 34" xfId="2959" xr:uid="{00000000-0005-0000-0000-0000DB0A0000}"/>
    <cellStyle name="60% - 강조색2 35" xfId="2960" xr:uid="{00000000-0005-0000-0000-0000DC0A0000}"/>
    <cellStyle name="60% - 강조색2 36" xfId="2961" xr:uid="{00000000-0005-0000-0000-0000DD0A0000}"/>
    <cellStyle name="60% - 강조색2 37" xfId="2962" xr:uid="{00000000-0005-0000-0000-0000DE0A0000}"/>
    <cellStyle name="60% - 강조색2 37 2" xfId="2963" xr:uid="{00000000-0005-0000-0000-0000DF0A0000}"/>
    <cellStyle name="60% - 강조색2 38" xfId="2964" xr:uid="{00000000-0005-0000-0000-0000E00A0000}"/>
    <cellStyle name="60% - 강조색2 39" xfId="2965" xr:uid="{00000000-0005-0000-0000-0000E10A0000}"/>
    <cellStyle name="60% - 강조색2 4" xfId="2966" xr:uid="{00000000-0005-0000-0000-0000E20A0000}"/>
    <cellStyle name="60% - 강조색2 4 2" xfId="2967" xr:uid="{00000000-0005-0000-0000-0000E30A0000}"/>
    <cellStyle name="60% - 강조색2 4 3" xfId="2968" xr:uid="{00000000-0005-0000-0000-0000E40A0000}"/>
    <cellStyle name="60% - 강조색2 4 4" xfId="2969" xr:uid="{00000000-0005-0000-0000-0000E50A0000}"/>
    <cellStyle name="60% - 강조색2 40" xfId="2970" xr:uid="{00000000-0005-0000-0000-0000E60A0000}"/>
    <cellStyle name="60% - 강조색2 41" xfId="2971" xr:uid="{00000000-0005-0000-0000-0000E70A0000}"/>
    <cellStyle name="60% - 강조색2 42" xfId="2972" xr:uid="{00000000-0005-0000-0000-0000E80A0000}"/>
    <cellStyle name="60% - 강조색2 43" xfId="2973" xr:uid="{00000000-0005-0000-0000-0000E90A0000}"/>
    <cellStyle name="60% - 강조색2 44" xfId="2974" xr:uid="{00000000-0005-0000-0000-0000EA0A0000}"/>
    <cellStyle name="60% - 강조색2 45" xfId="2975" xr:uid="{00000000-0005-0000-0000-0000EB0A0000}"/>
    <cellStyle name="60% - 강조색2 45 2" xfId="2976" xr:uid="{00000000-0005-0000-0000-0000EC0A0000}"/>
    <cellStyle name="60% - 강조색2 45 3" xfId="2977" xr:uid="{00000000-0005-0000-0000-0000ED0A0000}"/>
    <cellStyle name="60% - 강조색2 46" xfId="2978" xr:uid="{00000000-0005-0000-0000-0000EE0A0000}"/>
    <cellStyle name="60% - 강조색2 47" xfId="2979" xr:uid="{00000000-0005-0000-0000-0000EF0A0000}"/>
    <cellStyle name="60% - 강조색2 48" xfId="2980" xr:uid="{00000000-0005-0000-0000-0000F00A0000}"/>
    <cellStyle name="60% - 강조색2 49" xfId="2981" xr:uid="{00000000-0005-0000-0000-0000F10A0000}"/>
    <cellStyle name="60% - 강조색2 5" xfId="2982" xr:uid="{00000000-0005-0000-0000-0000F20A0000}"/>
    <cellStyle name="60% - 강조색2 5 2" xfId="2983" xr:uid="{00000000-0005-0000-0000-0000F30A0000}"/>
    <cellStyle name="60% - 강조색2 5 3" xfId="2984" xr:uid="{00000000-0005-0000-0000-0000F40A0000}"/>
    <cellStyle name="60% - 강조색2 5 4" xfId="2985" xr:uid="{00000000-0005-0000-0000-0000F50A0000}"/>
    <cellStyle name="60% - 강조색2 50" xfId="2986" xr:uid="{00000000-0005-0000-0000-0000F60A0000}"/>
    <cellStyle name="60% - 강조색2 51" xfId="2987" xr:uid="{00000000-0005-0000-0000-0000F70A0000}"/>
    <cellStyle name="60% - 강조색2 52" xfId="2988" xr:uid="{00000000-0005-0000-0000-0000F80A0000}"/>
    <cellStyle name="60% - 강조색2 53" xfId="2989" xr:uid="{00000000-0005-0000-0000-0000F90A0000}"/>
    <cellStyle name="60% - 강조색2 54" xfId="2990" xr:uid="{00000000-0005-0000-0000-0000FA0A0000}"/>
    <cellStyle name="60% - 강조색2 55" xfId="2991" xr:uid="{00000000-0005-0000-0000-0000FB0A0000}"/>
    <cellStyle name="60% - 강조색2 6" xfId="2992" xr:uid="{00000000-0005-0000-0000-0000FC0A0000}"/>
    <cellStyle name="60% - 강조색2 6 2" xfId="2993" xr:uid="{00000000-0005-0000-0000-0000FD0A0000}"/>
    <cellStyle name="60% - 강조색2 6 3" xfId="2994" xr:uid="{00000000-0005-0000-0000-0000FE0A0000}"/>
    <cellStyle name="60% - 강조색2 6 4" xfId="2995" xr:uid="{00000000-0005-0000-0000-0000FF0A0000}"/>
    <cellStyle name="60% - 강조색2 7" xfId="2996" xr:uid="{00000000-0005-0000-0000-0000000B0000}"/>
    <cellStyle name="60% - 강조색2 7 2" xfId="2997" xr:uid="{00000000-0005-0000-0000-0000010B0000}"/>
    <cellStyle name="60% - 강조색2 7 3" xfId="2998" xr:uid="{00000000-0005-0000-0000-0000020B0000}"/>
    <cellStyle name="60% - 강조색2 7 4" xfId="2999" xr:uid="{00000000-0005-0000-0000-0000030B0000}"/>
    <cellStyle name="60% - 강조색2 8" xfId="3000" xr:uid="{00000000-0005-0000-0000-0000040B0000}"/>
    <cellStyle name="60% - 강조색2 9" xfId="3001" xr:uid="{00000000-0005-0000-0000-0000050B0000}"/>
    <cellStyle name="60% - 강조색3 10" xfId="3002" xr:uid="{00000000-0005-0000-0000-0000060B0000}"/>
    <cellStyle name="60% - 강조색3 11" xfId="3003" xr:uid="{00000000-0005-0000-0000-0000070B0000}"/>
    <cellStyle name="60% - 강조색3 12" xfId="3004" xr:uid="{00000000-0005-0000-0000-0000080B0000}"/>
    <cellStyle name="60% - 강조색3 13" xfId="3005" xr:uid="{00000000-0005-0000-0000-0000090B0000}"/>
    <cellStyle name="60% - 강조색3 14" xfId="3006" xr:uid="{00000000-0005-0000-0000-00000A0B0000}"/>
    <cellStyle name="60% - 강조색3 14 2" xfId="3007" xr:uid="{00000000-0005-0000-0000-00000B0B0000}"/>
    <cellStyle name="60% - 강조색3 14 3" xfId="3008" xr:uid="{00000000-0005-0000-0000-00000C0B0000}"/>
    <cellStyle name="60% - 강조색3 15" xfId="3009" xr:uid="{00000000-0005-0000-0000-00000D0B0000}"/>
    <cellStyle name="60% - 강조색3 15 2" xfId="3010" xr:uid="{00000000-0005-0000-0000-00000E0B0000}"/>
    <cellStyle name="60% - 강조색3 15 3" xfId="3011" xr:uid="{00000000-0005-0000-0000-00000F0B0000}"/>
    <cellStyle name="60% - 강조색3 16" xfId="3012" xr:uid="{00000000-0005-0000-0000-0000100B0000}"/>
    <cellStyle name="60% - 강조색3 16 2" xfId="3013" xr:uid="{00000000-0005-0000-0000-0000110B0000}"/>
    <cellStyle name="60% - 강조색3 16 3" xfId="3014" xr:uid="{00000000-0005-0000-0000-0000120B0000}"/>
    <cellStyle name="60% - 강조색3 17" xfId="3015" xr:uid="{00000000-0005-0000-0000-0000130B0000}"/>
    <cellStyle name="60% - 강조색3 17 2" xfId="3016" xr:uid="{00000000-0005-0000-0000-0000140B0000}"/>
    <cellStyle name="60% - 강조색3 17 3" xfId="3017" xr:uid="{00000000-0005-0000-0000-0000150B0000}"/>
    <cellStyle name="60% - 강조색3 18" xfId="3018" xr:uid="{00000000-0005-0000-0000-0000160B0000}"/>
    <cellStyle name="60% - 강조색3 18 2" xfId="3019" xr:uid="{00000000-0005-0000-0000-0000170B0000}"/>
    <cellStyle name="60% - 강조색3 18 3" xfId="3020" xr:uid="{00000000-0005-0000-0000-0000180B0000}"/>
    <cellStyle name="60% - 강조색3 19" xfId="3021" xr:uid="{00000000-0005-0000-0000-0000190B0000}"/>
    <cellStyle name="60% - 강조색3 19 2" xfId="3022" xr:uid="{00000000-0005-0000-0000-00001A0B0000}"/>
    <cellStyle name="60% - 강조색3 19 3" xfId="3023" xr:uid="{00000000-0005-0000-0000-00001B0B0000}"/>
    <cellStyle name="60% - 강조색3 2" xfId="3024" xr:uid="{00000000-0005-0000-0000-00001C0B0000}"/>
    <cellStyle name="60% - 강조색3 2 10" xfId="3025" xr:uid="{00000000-0005-0000-0000-00001D0B0000}"/>
    <cellStyle name="60% - 강조색3 2 11" xfId="3026" xr:uid="{00000000-0005-0000-0000-00001E0B0000}"/>
    <cellStyle name="60% - 강조색3 2 12" xfId="3027" xr:uid="{00000000-0005-0000-0000-00001F0B0000}"/>
    <cellStyle name="60% - 강조색3 2 13" xfId="3028" xr:uid="{00000000-0005-0000-0000-0000200B0000}"/>
    <cellStyle name="60% - 강조색3 2 14" xfId="3029" xr:uid="{00000000-0005-0000-0000-0000210B0000}"/>
    <cellStyle name="60% - 강조색3 2 15" xfId="3030" xr:uid="{00000000-0005-0000-0000-0000220B0000}"/>
    <cellStyle name="60% - 강조색3 2 16" xfId="3031" xr:uid="{00000000-0005-0000-0000-0000230B0000}"/>
    <cellStyle name="60% - 강조색3 2 17" xfId="3032" xr:uid="{00000000-0005-0000-0000-0000240B0000}"/>
    <cellStyle name="60% - 강조색3 2 18" xfId="3033" xr:uid="{00000000-0005-0000-0000-0000250B0000}"/>
    <cellStyle name="60% - 강조색3 2 19" xfId="3034" xr:uid="{00000000-0005-0000-0000-0000260B0000}"/>
    <cellStyle name="60% - 강조색3 2 2" xfId="3035" xr:uid="{00000000-0005-0000-0000-0000270B0000}"/>
    <cellStyle name="60% - 강조색3 2 20" xfId="3036" xr:uid="{00000000-0005-0000-0000-0000280B0000}"/>
    <cellStyle name="60% - 강조색3 2 21" xfId="3037" xr:uid="{00000000-0005-0000-0000-0000290B0000}"/>
    <cellStyle name="60% - 강조색3 2 22" xfId="3038" xr:uid="{00000000-0005-0000-0000-00002A0B0000}"/>
    <cellStyle name="60% - 강조색3 2 23" xfId="3039" xr:uid="{00000000-0005-0000-0000-00002B0B0000}"/>
    <cellStyle name="60% - 강조색3 2 24" xfId="3040" xr:uid="{00000000-0005-0000-0000-00002C0B0000}"/>
    <cellStyle name="60% - 강조색3 2 25" xfId="3041" xr:uid="{00000000-0005-0000-0000-00002D0B0000}"/>
    <cellStyle name="60% - 강조색3 2 26" xfId="3042" xr:uid="{00000000-0005-0000-0000-00002E0B0000}"/>
    <cellStyle name="60% - 강조색3 2 27" xfId="3043" xr:uid="{00000000-0005-0000-0000-00002F0B0000}"/>
    <cellStyle name="60% - 강조색3 2 28" xfId="3044" xr:uid="{00000000-0005-0000-0000-0000300B0000}"/>
    <cellStyle name="60% - 강조색3 2 29" xfId="3045" xr:uid="{00000000-0005-0000-0000-0000310B0000}"/>
    <cellStyle name="60% - 강조색3 2 3" xfId="3046" xr:uid="{00000000-0005-0000-0000-0000320B0000}"/>
    <cellStyle name="60% - 강조색3 2 30" xfId="3047" xr:uid="{00000000-0005-0000-0000-0000330B0000}"/>
    <cellStyle name="60% - 강조색3 2 31" xfId="3048" xr:uid="{00000000-0005-0000-0000-0000340B0000}"/>
    <cellStyle name="60% - 강조색3 2 32" xfId="3049" xr:uid="{00000000-0005-0000-0000-0000350B0000}"/>
    <cellStyle name="60% - 강조색3 2 33" xfId="3050" xr:uid="{00000000-0005-0000-0000-0000360B0000}"/>
    <cellStyle name="60% - 강조색3 2 34" xfId="3051" xr:uid="{00000000-0005-0000-0000-0000370B0000}"/>
    <cellStyle name="60% - 강조색3 2 35" xfId="3052" xr:uid="{00000000-0005-0000-0000-0000380B0000}"/>
    <cellStyle name="60% - 강조색3 2 36" xfId="3053" xr:uid="{00000000-0005-0000-0000-0000390B0000}"/>
    <cellStyle name="60% - 강조색3 2 37" xfId="3054" xr:uid="{00000000-0005-0000-0000-00003A0B0000}"/>
    <cellStyle name="60% - 강조색3 2 38" xfId="3055" xr:uid="{00000000-0005-0000-0000-00003B0B0000}"/>
    <cellStyle name="60% - 강조색3 2 39" xfId="3056" xr:uid="{00000000-0005-0000-0000-00003C0B0000}"/>
    <cellStyle name="60% - 강조색3 2 4" xfId="3057" xr:uid="{00000000-0005-0000-0000-00003D0B0000}"/>
    <cellStyle name="60% - 강조색3 2 5" xfId="3058" xr:uid="{00000000-0005-0000-0000-00003E0B0000}"/>
    <cellStyle name="60% - 강조색3 2 6" xfId="3059" xr:uid="{00000000-0005-0000-0000-00003F0B0000}"/>
    <cellStyle name="60% - 강조색3 2 7" xfId="3060" xr:uid="{00000000-0005-0000-0000-0000400B0000}"/>
    <cellStyle name="60% - 강조색3 2 8" xfId="3061" xr:uid="{00000000-0005-0000-0000-0000410B0000}"/>
    <cellStyle name="60% - 강조색3 2 9" xfId="3062" xr:uid="{00000000-0005-0000-0000-0000420B0000}"/>
    <cellStyle name="60% - 강조색3 20" xfId="3063" xr:uid="{00000000-0005-0000-0000-0000430B0000}"/>
    <cellStyle name="60% - 강조색3 21" xfId="3064" xr:uid="{00000000-0005-0000-0000-0000440B0000}"/>
    <cellStyle name="60% - 강조색3 22" xfId="3065" xr:uid="{00000000-0005-0000-0000-0000450B0000}"/>
    <cellStyle name="60% - 강조색3 23" xfId="3066" xr:uid="{00000000-0005-0000-0000-0000460B0000}"/>
    <cellStyle name="60% - 강조색3 24" xfId="3067" xr:uid="{00000000-0005-0000-0000-0000470B0000}"/>
    <cellStyle name="60% - 강조색3 25" xfId="3068" xr:uid="{00000000-0005-0000-0000-0000480B0000}"/>
    <cellStyle name="60% - 강조색3 26" xfId="3069" xr:uid="{00000000-0005-0000-0000-0000490B0000}"/>
    <cellStyle name="60% - 강조색3 27" xfId="3070" xr:uid="{00000000-0005-0000-0000-00004A0B0000}"/>
    <cellStyle name="60% - 강조색3 27 2" xfId="3071" xr:uid="{00000000-0005-0000-0000-00004B0B0000}"/>
    <cellStyle name="60% - 강조색3 28" xfId="3072" xr:uid="{00000000-0005-0000-0000-00004C0B0000}"/>
    <cellStyle name="60% - 강조색3 29" xfId="3073" xr:uid="{00000000-0005-0000-0000-00004D0B0000}"/>
    <cellStyle name="60% - 강조색3 3" xfId="3074" xr:uid="{00000000-0005-0000-0000-00004E0B0000}"/>
    <cellStyle name="60% - 강조색3 3 2" xfId="3075" xr:uid="{00000000-0005-0000-0000-00004F0B0000}"/>
    <cellStyle name="60% - 강조색3 3 3" xfId="3076" xr:uid="{00000000-0005-0000-0000-0000500B0000}"/>
    <cellStyle name="60% - 강조색3 3 4" xfId="3077" xr:uid="{00000000-0005-0000-0000-0000510B0000}"/>
    <cellStyle name="60% - 강조색3 30" xfId="3078" xr:uid="{00000000-0005-0000-0000-0000520B0000}"/>
    <cellStyle name="60% - 강조색3 31" xfId="3079" xr:uid="{00000000-0005-0000-0000-0000530B0000}"/>
    <cellStyle name="60% - 강조색3 32" xfId="3080" xr:uid="{00000000-0005-0000-0000-0000540B0000}"/>
    <cellStyle name="60% - 강조색3 33" xfId="3081" xr:uid="{00000000-0005-0000-0000-0000550B0000}"/>
    <cellStyle name="60% - 강조색3 34" xfId="3082" xr:uid="{00000000-0005-0000-0000-0000560B0000}"/>
    <cellStyle name="60% - 강조색3 35" xfId="3083" xr:uid="{00000000-0005-0000-0000-0000570B0000}"/>
    <cellStyle name="60% - 강조색3 36" xfId="3084" xr:uid="{00000000-0005-0000-0000-0000580B0000}"/>
    <cellStyle name="60% - 강조색3 37" xfId="3085" xr:uid="{00000000-0005-0000-0000-0000590B0000}"/>
    <cellStyle name="60% - 강조색3 37 2" xfId="3086" xr:uid="{00000000-0005-0000-0000-00005A0B0000}"/>
    <cellStyle name="60% - 강조색3 38" xfId="3087" xr:uid="{00000000-0005-0000-0000-00005B0B0000}"/>
    <cellStyle name="60% - 강조색3 39" xfId="3088" xr:uid="{00000000-0005-0000-0000-00005C0B0000}"/>
    <cellStyle name="60% - 강조색3 4" xfId="3089" xr:uid="{00000000-0005-0000-0000-00005D0B0000}"/>
    <cellStyle name="60% - 강조색3 4 2" xfId="3090" xr:uid="{00000000-0005-0000-0000-00005E0B0000}"/>
    <cellStyle name="60% - 강조색3 4 3" xfId="3091" xr:uid="{00000000-0005-0000-0000-00005F0B0000}"/>
    <cellStyle name="60% - 강조색3 4 4" xfId="3092" xr:uid="{00000000-0005-0000-0000-0000600B0000}"/>
    <cellStyle name="60% - 강조색3 40" xfId="3093" xr:uid="{00000000-0005-0000-0000-0000610B0000}"/>
    <cellStyle name="60% - 강조색3 41" xfId="3094" xr:uid="{00000000-0005-0000-0000-0000620B0000}"/>
    <cellStyle name="60% - 강조색3 42" xfId="3095" xr:uid="{00000000-0005-0000-0000-0000630B0000}"/>
    <cellStyle name="60% - 강조색3 43" xfId="3096" xr:uid="{00000000-0005-0000-0000-0000640B0000}"/>
    <cellStyle name="60% - 강조색3 44" xfId="3097" xr:uid="{00000000-0005-0000-0000-0000650B0000}"/>
    <cellStyle name="60% - 강조색3 45" xfId="3098" xr:uid="{00000000-0005-0000-0000-0000660B0000}"/>
    <cellStyle name="60% - 강조색3 45 2" xfId="3099" xr:uid="{00000000-0005-0000-0000-0000670B0000}"/>
    <cellStyle name="60% - 강조색3 45 3" xfId="3100" xr:uid="{00000000-0005-0000-0000-0000680B0000}"/>
    <cellStyle name="60% - 강조색3 46" xfId="3101" xr:uid="{00000000-0005-0000-0000-0000690B0000}"/>
    <cellStyle name="60% - 강조색3 47" xfId="3102" xr:uid="{00000000-0005-0000-0000-00006A0B0000}"/>
    <cellStyle name="60% - 강조색3 48" xfId="3103" xr:uid="{00000000-0005-0000-0000-00006B0B0000}"/>
    <cellStyle name="60% - 강조색3 49" xfId="3104" xr:uid="{00000000-0005-0000-0000-00006C0B0000}"/>
    <cellStyle name="60% - 강조색3 5" xfId="3105" xr:uid="{00000000-0005-0000-0000-00006D0B0000}"/>
    <cellStyle name="60% - 강조색3 5 2" xfId="3106" xr:uid="{00000000-0005-0000-0000-00006E0B0000}"/>
    <cellStyle name="60% - 강조색3 5 3" xfId="3107" xr:uid="{00000000-0005-0000-0000-00006F0B0000}"/>
    <cellStyle name="60% - 강조색3 5 4" xfId="3108" xr:uid="{00000000-0005-0000-0000-0000700B0000}"/>
    <cellStyle name="60% - 강조색3 50" xfId="3109" xr:uid="{00000000-0005-0000-0000-0000710B0000}"/>
    <cellStyle name="60% - 강조색3 51" xfId="3110" xr:uid="{00000000-0005-0000-0000-0000720B0000}"/>
    <cellStyle name="60% - 강조색3 52" xfId="3111" xr:uid="{00000000-0005-0000-0000-0000730B0000}"/>
    <cellStyle name="60% - 강조색3 53" xfId="3112" xr:uid="{00000000-0005-0000-0000-0000740B0000}"/>
    <cellStyle name="60% - 강조색3 54" xfId="3113" xr:uid="{00000000-0005-0000-0000-0000750B0000}"/>
    <cellStyle name="60% - 강조색3 55" xfId="3114" xr:uid="{00000000-0005-0000-0000-0000760B0000}"/>
    <cellStyle name="60% - 강조색3 6" xfId="3115" xr:uid="{00000000-0005-0000-0000-0000770B0000}"/>
    <cellStyle name="60% - 강조색3 6 2" xfId="3116" xr:uid="{00000000-0005-0000-0000-0000780B0000}"/>
    <cellStyle name="60% - 강조색3 6 3" xfId="3117" xr:uid="{00000000-0005-0000-0000-0000790B0000}"/>
    <cellStyle name="60% - 강조색3 6 4" xfId="3118" xr:uid="{00000000-0005-0000-0000-00007A0B0000}"/>
    <cellStyle name="60% - 강조색3 7" xfId="3119" xr:uid="{00000000-0005-0000-0000-00007B0B0000}"/>
    <cellStyle name="60% - 강조색3 7 2" xfId="3120" xr:uid="{00000000-0005-0000-0000-00007C0B0000}"/>
    <cellStyle name="60% - 강조색3 7 3" xfId="3121" xr:uid="{00000000-0005-0000-0000-00007D0B0000}"/>
    <cellStyle name="60% - 강조색3 7 4" xfId="3122" xr:uid="{00000000-0005-0000-0000-00007E0B0000}"/>
    <cellStyle name="60% - 강조색3 8" xfId="3123" xr:uid="{00000000-0005-0000-0000-00007F0B0000}"/>
    <cellStyle name="60% - 강조색3 9" xfId="3124" xr:uid="{00000000-0005-0000-0000-0000800B0000}"/>
    <cellStyle name="60% - 강조색4 10" xfId="3125" xr:uid="{00000000-0005-0000-0000-0000810B0000}"/>
    <cellStyle name="60% - 강조색4 11" xfId="3126" xr:uid="{00000000-0005-0000-0000-0000820B0000}"/>
    <cellStyle name="60% - 강조색4 12" xfId="3127" xr:uid="{00000000-0005-0000-0000-0000830B0000}"/>
    <cellStyle name="60% - 강조색4 13" xfId="3128" xr:uid="{00000000-0005-0000-0000-0000840B0000}"/>
    <cellStyle name="60% - 강조색4 14" xfId="3129" xr:uid="{00000000-0005-0000-0000-0000850B0000}"/>
    <cellStyle name="60% - 강조색4 14 2" xfId="3130" xr:uid="{00000000-0005-0000-0000-0000860B0000}"/>
    <cellStyle name="60% - 강조색4 14 3" xfId="3131" xr:uid="{00000000-0005-0000-0000-0000870B0000}"/>
    <cellStyle name="60% - 강조색4 15" xfId="3132" xr:uid="{00000000-0005-0000-0000-0000880B0000}"/>
    <cellStyle name="60% - 강조색4 15 2" xfId="3133" xr:uid="{00000000-0005-0000-0000-0000890B0000}"/>
    <cellStyle name="60% - 강조색4 15 3" xfId="3134" xr:uid="{00000000-0005-0000-0000-00008A0B0000}"/>
    <cellStyle name="60% - 강조색4 16" xfId="3135" xr:uid="{00000000-0005-0000-0000-00008B0B0000}"/>
    <cellStyle name="60% - 강조색4 16 2" xfId="3136" xr:uid="{00000000-0005-0000-0000-00008C0B0000}"/>
    <cellStyle name="60% - 강조색4 16 3" xfId="3137" xr:uid="{00000000-0005-0000-0000-00008D0B0000}"/>
    <cellStyle name="60% - 강조색4 17" xfId="3138" xr:uid="{00000000-0005-0000-0000-00008E0B0000}"/>
    <cellStyle name="60% - 강조색4 17 2" xfId="3139" xr:uid="{00000000-0005-0000-0000-00008F0B0000}"/>
    <cellStyle name="60% - 강조색4 17 3" xfId="3140" xr:uid="{00000000-0005-0000-0000-0000900B0000}"/>
    <cellStyle name="60% - 강조색4 18" xfId="3141" xr:uid="{00000000-0005-0000-0000-0000910B0000}"/>
    <cellStyle name="60% - 강조색4 18 2" xfId="3142" xr:uid="{00000000-0005-0000-0000-0000920B0000}"/>
    <cellStyle name="60% - 강조색4 18 3" xfId="3143" xr:uid="{00000000-0005-0000-0000-0000930B0000}"/>
    <cellStyle name="60% - 강조색4 19" xfId="3144" xr:uid="{00000000-0005-0000-0000-0000940B0000}"/>
    <cellStyle name="60% - 강조색4 19 2" xfId="3145" xr:uid="{00000000-0005-0000-0000-0000950B0000}"/>
    <cellStyle name="60% - 강조색4 19 3" xfId="3146" xr:uid="{00000000-0005-0000-0000-0000960B0000}"/>
    <cellStyle name="60% - 강조색4 2" xfId="3147" xr:uid="{00000000-0005-0000-0000-0000970B0000}"/>
    <cellStyle name="60% - 강조색4 2 10" xfId="3148" xr:uid="{00000000-0005-0000-0000-0000980B0000}"/>
    <cellStyle name="60% - 강조색4 2 11" xfId="3149" xr:uid="{00000000-0005-0000-0000-0000990B0000}"/>
    <cellStyle name="60% - 강조색4 2 12" xfId="3150" xr:uid="{00000000-0005-0000-0000-00009A0B0000}"/>
    <cellStyle name="60% - 강조색4 2 13" xfId="3151" xr:uid="{00000000-0005-0000-0000-00009B0B0000}"/>
    <cellStyle name="60% - 강조색4 2 14" xfId="3152" xr:uid="{00000000-0005-0000-0000-00009C0B0000}"/>
    <cellStyle name="60% - 강조색4 2 15" xfId="3153" xr:uid="{00000000-0005-0000-0000-00009D0B0000}"/>
    <cellStyle name="60% - 강조색4 2 16" xfId="3154" xr:uid="{00000000-0005-0000-0000-00009E0B0000}"/>
    <cellStyle name="60% - 강조색4 2 17" xfId="3155" xr:uid="{00000000-0005-0000-0000-00009F0B0000}"/>
    <cellStyle name="60% - 강조색4 2 18" xfId="3156" xr:uid="{00000000-0005-0000-0000-0000A00B0000}"/>
    <cellStyle name="60% - 강조색4 2 19" xfId="3157" xr:uid="{00000000-0005-0000-0000-0000A10B0000}"/>
    <cellStyle name="60% - 강조색4 2 2" xfId="3158" xr:uid="{00000000-0005-0000-0000-0000A20B0000}"/>
    <cellStyle name="60% - 강조색4 2 20" xfId="3159" xr:uid="{00000000-0005-0000-0000-0000A30B0000}"/>
    <cellStyle name="60% - 강조색4 2 21" xfId="3160" xr:uid="{00000000-0005-0000-0000-0000A40B0000}"/>
    <cellStyle name="60% - 강조색4 2 22" xfId="3161" xr:uid="{00000000-0005-0000-0000-0000A50B0000}"/>
    <cellStyle name="60% - 강조색4 2 23" xfId="3162" xr:uid="{00000000-0005-0000-0000-0000A60B0000}"/>
    <cellStyle name="60% - 강조색4 2 24" xfId="3163" xr:uid="{00000000-0005-0000-0000-0000A70B0000}"/>
    <cellStyle name="60% - 강조색4 2 25" xfId="3164" xr:uid="{00000000-0005-0000-0000-0000A80B0000}"/>
    <cellStyle name="60% - 강조색4 2 26" xfId="3165" xr:uid="{00000000-0005-0000-0000-0000A90B0000}"/>
    <cellStyle name="60% - 강조색4 2 27" xfId="3166" xr:uid="{00000000-0005-0000-0000-0000AA0B0000}"/>
    <cellStyle name="60% - 강조색4 2 28" xfId="3167" xr:uid="{00000000-0005-0000-0000-0000AB0B0000}"/>
    <cellStyle name="60% - 강조색4 2 29" xfId="3168" xr:uid="{00000000-0005-0000-0000-0000AC0B0000}"/>
    <cellStyle name="60% - 강조색4 2 3" xfId="3169" xr:uid="{00000000-0005-0000-0000-0000AD0B0000}"/>
    <cellStyle name="60% - 강조색4 2 30" xfId="3170" xr:uid="{00000000-0005-0000-0000-0000AE0B0000}"/>
    <cellStyle name="60% - 강조색4 2 31" xfId="3171" xr:uid="{00000000-0005-0000-0000-0000AF0B0000}"/>
    <cellStyle name="60% - 강조색4 2 32" xfId="3172" xr:uid="{00000000-0005-0000-0000-0000B00B0000}"/>
    <cellStyle name="60% - 강조색4 2 33" xfId="3173" xr:uid="{00000000-0005-0000-0000-0000B10B0000}"/>
    <cellStyle name="60% - 강조색4 2 34" xfId="3174" xr:uid="{00000000-0005-0000-0000-0000B20B0000}"/>
    <cellStyle name="60% - 강조색4 2 35" xfId="3175" xr:uid="{00000000-0005-0000-0000-0000B30B0000}"/>
    <cellStyle name="60% - 강조색4 2 36" xfId="3176" xr:uid="{00000000-0005-0000-0000-0000B40B0000}"/>
    <cellStyle name="60% - 강조색4 2 37" xfId="3177" xr:uid="{00000000-0005-0000-0000-0000B50B0000}"/>
    <cellStyle name="60% - 강조색4 2 38" xfId="3178" xr:uid="{00000000-0005-0000-0000-0000B60B0000}"/>
    <cellStyle name="60% - 강조색4 2 39" xfId="3179" xr:uid="{00000000-0005-0000-0000-0000B70B0000}"/>
    <cellStyle name="60% - 강조색4 2 4" xfId="3180" xr:uid="{00000000-0005-0000-0000-0000B80B0000}"/>
    <cellStyle name="60% - 강조색4 2 5" xfId="3181" xr:uid="{00000000-0005-0000-0000-0000B90B0000}"/>
    <cellStyle name="60% - 강조색4 2 6" xfId="3182" xr:uid="{00000000-0005-0000-0000-0000BA0B0000}"/>
    <cellStyle name="60% - 강조색4 2 7" xfId="3183" xr:uid="{00000000-0005-0000-0000-0000BB0B0000}"/>
    <cellStyle name="60% - 강조색4 2 8" xfId="3184" xr:uid="{00000000-0005-0000-0000-0000BC0B0000}"/>
    <cellStyle name="60% - 강조색4 2 9" xfId="3185" xr:uid="{00000000-0005-0000-0000-0000BD0B0000}"/>
    <cellStyle name="60% - 강조색4 20" xfId="3186" xr:uid="{00000000-0005-0000-0000-0000BE0B0000}"/>
    <cellStyle name="60% - 강조색4 21" xfId="3187" xr:uid="{00000000-0005-0000-0000-0000BF0B0000}"/>
    <cellStyle name="60% - 강조색4 22" xfId="3188" xr:uid="{00000000-0005-0000-0000-0000C00B0000}"/>
    <cellStyle name="60% - 강조색4 23" xfId="3189" xr:uid="{00000000-0005-0000-0000-0000C10B0000}"/>
    <cellStyle name="60% - 강조색4 24" xfId="3190" xr:uid="{00000000-0005-0000-0000-0000C20B0000}"/>
    <cellStyle name="60% - 강조색4 25" xfId="3191" xr:uid="{00000000-0005-0000-0000-0000C30B0000}"/>
    <cellStyle name="60% - 강조색4 26" xfId="3192" xr:uid="{00000000-0005-0000-0000-0000C40B0000}"/>
    <cellStyle name="60% - 강조색4 27" xfId="3193" xr:uid="{00000000-0005-0000-0000-0000C50B0000}"/>
    <cellStyle name="60% - 강조색4 27 2" xfId="3194" xr:uid="{00000000-0005-0000-0000-0000C60B0000}"/>
    <cellStyle name="60% - 강조색4 28" xfId="3195" xr:uid="{00000000-0005-0000-0000-0000C70B0000}"/>
    <cellStyle name="60% - 강조색4 29" xfId="3196" xr:uid="{00000000-0005-0000-0000-0000C80B0000}"/>
    <cellStyle name="60% - 강조색4 3" xfId="3197" xr:uid="{00000000-0005-0000-0000-0000C90B0000}"/>
    <cellStyle name="60% - 강조색4 3 2" xfId="3198" xr:uid="{00000000-0005-0000-0000-0000CA0B0000}"/>
    <cellStyle name="60% - 강조색4 3 3" xfId="3199" xr:uid="{00000000-0005-0000-0000-0000CB0B0000}"/>
    <cellStyle name="60% - 강조색4 3 4" xfId="3200" xr:uid="{00000000-0005-0000-0000-0000CC0B0000}"/>
    <cellStyle name="60% - 강조색4 30" xfId="3201" xr:uid="{00000000-0005-0000-0000-0000CD0B0000}"/>
    <cellStyle name="60% - 강조색4 31" xfId="3202" xr:uid="{00000000-0005-0000-0000-0000CE0B0000}"/>
    <cellStyle name="60% - 강조색4 32" xfId="3203" xr:uid="{00000000-0005-0000-0000-0000CF0B0000}"/>
    <cellStyle name="60% - 강조색4 33" xfId="3204" xr:uid="{00000000-0005-0000-0000-0000D00B0000}"/>
    <cellStyle name="60% - 강조색4 34" xfId="3205" xr:uid="{00000000-0005-0000-0000-0000D10B0000}"/>
    <cellStyle name="60% - 강조색4 35" xfId="3206" xr:uid="{00000000-0005-0000-0000-0000D20B0000}"/>
    <cellStyle name="60% - 강조색4 36" xfId="3207" xr:uid="{00000000-0005-0000-0000-0000D30B0000}"/>
    <cellStyle name="60% - 강조색4 37" xfId="3208" xr:uid="{00000000-0005-0000-0000-0000D40B0000}"/>
    <cellStyle name="60% - 강조색4 37 2" xfId="3209" xr:uid="{00000000-0005-0000-0000-0000D50B0000}"/>
    <cellStyle name="60% - 강조색4 38" xfId="3210" xr:uid="{00000000-0005-0000-0000-0000D60B0000}"/>
    <cellStyle name="60% - 강조색4 39" xfId="3211" xr:uid="{00000000-0005-0000-0000-0000D70B0000}"/>
    <cellStyle name="60% - 강조색4 4" xfId="3212" xr:uid="{00000000-0005-0000-0000-0000D80B0000}"/>
    <cellStyle name="60% - 강조색4 4 2" xfId="3213" xr:uid="{00000000-0005-0000-0000-0000D90B0000}"/>
    <cellStyle name="60% - 강조색4 4 3" xfId="3214" xr:uid="{00000000-0005-0000-0000-0000DA0B0000}"/>
    <cellStyle name="60% - 강조색4 4 4" xfId="3215" xr:uid="{00000000-0005-0000-0000-0000DB0B0000}"/>
    <cellStyle name="60% - 강조색4 40" xfId="3216" xr:uid="{00000000-0005-0000-0000-0000DC0B0000}"/>
    <cellStyle name="60% - 강조색4 41" xfId="3217" xr:uid="{00000000-0005-0000-0000-0000DD0B0000}"/>
    <cellStyle name="60% - 강조색4 42" xfId="3218" xr:uid="{00000000-0005-0000-0000-0000DE0B0000}"/>
    <cellStyle name="60% - 강조색4 43" xfId="3219" xr:uid="{00000000-0005-0000-0000-0000DF0B0000}"/>
    <cellStyle name="60% - 강조색4 44" xfId="3220" xr:uid="{00000000-0005-0000-0000-0000E00B0000}"/>
    <cellStyle name="60% - 강조색4 45" xfId="3221" xr:uid="{00000000-0005-0000-0000-0000E10B0000}"/>
    <cellStyle name="60% - 강조색4 45 2" xfId="3222" xr:uid="{00000000-0005-0000-0000-0000E20B0000}"/>
    <cellStyle name="60% - 강조색4 45 3" xfId="3223" xr:uid="{00000000-0005-0000-0000-0000E30B0000}"/>
    <cellStyle name="60% - 강조색4 46" xfId="3224" xr:uid="{00000000-0005-0000-0000-0000E40B0000}"/>
    <cellStyle name="60% - 강조색4 47" xfId="3225" xr:uid="{00000000-0005-0000-0000-0000E50B0000}"/>
    <cellStyle name="60% - 강조색4 48" xfId="3226" xr:uid="{00000000-0005-0000-0000-0000E60B0000}"/>
    <cellStyle name="60% - 강조색4 49" xfId="3227" xr:uid="{00000000-0005-0000-0000-0000E70B0000}"/>
    <cellStyle name="60% - 강조색4 5" xfId="3228" xr:uid="{00000000-0005-0000-0000-0000E80B0000}"/>
    <cellStyle name="60% - 강조색4 5 2" xfId="3229" xr:uid="{00000000-0005-0000-0000-0000E90B0000}"/>
    <cellStyle name="60% - 강조색4 5 3" xfId="3230" xr:uid="{00000000-0005-0000-0000-0000EA0B0000}"/>
    <cellStyle name="60% - 강조색4 5 4" xfId="3231" xr:uid="{00000000-0005-0000-0000-0000EB0B0000}"/>
    <cellStyle name="60% - 강조색4 50" xfId="3232" xr:uid="{00000000-0005-0000-0000-0000EC0B0000}"/>
    <cellStyle name="60% - 강조색4 51" xfId="3233" xr:uid="{00000000-0005-0000-0000-0000ED0B0000}"/>
    <cellStyle name="60% - 강조색4 52" xfId="3234" xr:uid="{00000000-0005-0000-0000-0000EE0B0000}"/>
    <cellStyle name="60% - 강조색4 53" xfId="3235" xr:uid="{00000000-0005-0000-0000-0000EF0B0000}"/>
    <cellStyle name="60% - 강조색4 54" xfId="3236" xr:uid="{00000000-0005-0000-0000-0000F00B0000}"/>
    <cellStyle name="60% - 강조색4 55" xfId="3237" xr:uid="{00000000-0005-0000-0000-0000F10B0000}"/>
    <cellStyle name="60% - 강조색4 6" xfId="3238" xr:uid="{00000000-0005-0000-0000-0000F20B0000}"/>
    <cellStyle name="60% - 강조색4 6 2" xfId="3239" xr:uid="{00000000-0005-0000-0000-0000F30B0000}"/>
    <cellStyle name="60% - 강조색4 6 3" xfId="3240" xr:uid="{00000000-0005-0000-0000-0000F40B0000}"/>
    <cellStyle name="60% - 강조색4 6 4" xfId="3241" xr:uid="{00000000-0005-0000-0000-0000F50B0000}"/>
    <cellStyle name="60% - 강조색4 7" xfId="3242" xr:uid="{00000000-0005-0000-0000-0000F60B0000}"/>
    <cellStyle name="60% - 강조색4 7 2" xfId="3243" xr:uid="{00000000-0005-0000-0000-0000F70B0000}"/>
    <cellStyle name="60% - 강조색4 7 3" xfId="3244" xr:uid="{00000000-0005-0000-0000-0000F80B0000}"/>
    <cellStyle name="60% - 강조색4 7 4" xfId="3245" xr:uid="{00000000-0005-0000-0000-0000F90B0000}"/>
    <cellStyle name="60% - 강조색4 8" xfId="3246" xr:uid="{00000000-0005-0000-0000-0000FA0B0000}"/>
    <cellStyle name="60% - 강조색4 9" xfId="3247" xr:uid="{00000000-0005-0000-0000-0000FB0B0000}"/>
    <cellStyle name="60% - 강조색5 10" xfId="3248" xr:uid="{00000000-0005-0000-0000-0000FC0B0000}"/>
    <cellStyle name="60% - 강조색5 11" xfId="3249" xr:uid="{00000000-0005-0000-0000-0000FD0B0000}"/>
    <cellStyle name="60% - 강조색5 12" xfId="3250" xr:uid="{00000000-0005-0000-0000-0000FE0B0000}"/>
    <cellStyle name="60% - 강조색5 13" xfId="3251" xr:uid="{00000000-0005-0000-0000-0000FF0B0000}"/>
    <cellStyle name="60% - 강조색5 14" xfId="3252" xr:uid="{00000000-0005-0000-0000-0000000C0000}"/>
    <cellStyle name="60% - 강조색5 14 2" xfId="3253" xr:uid="{00000000-0005-0000-0000-0000010C0000}"/>
    <cellStyle name="60% - 강조색5 14 3" xfId="3254" xr:uid="{00000000-0005-0000-0000-0000020C0000}"/>
    <cellStyle name="60% - 강조색5 15" xfId="3255" xr:uid="{00000000-0005-0000-0000-0000030C0000}"/>
    <cellStyle name="60% - 강조색5 15 2" xfId="3256" xr:uid="{00000000-0005-0000-0000-0000040C0000}"/>
    <cellStyle name="60% - 강조색5 15 3" xfId="3257" xr:uid="{00000000-0005-0000-0000-0000050C0000}"/>
    <cellStyle name="60% - 강조색5 16" xfId="3258" xr:uid="{00000000-0005-0000-0000-0000060C0000}"/>
    <cellStyle name="60% - 강조색5 16 2" xfId="3259" xr:uid="{00000000-0005-0000-0000-0000070C0000}"/>
    <cellStyle name="60% - 강조색5 16 3" xfId="3260" xr:uid="{00000000-0005-0000-0000-0000080C0000}"/>
    <cellStyle name="60% - 강조색5 17" xfId="3261" xr:uid="{00000000-0005-0000-0000-0000090C0000}"/>
    <cellStyle name="60% - 강조색5 17 2" xfId="3262" xr:uid="{00000000-0005-0000-0000-00000A0C0000}"/>
    <cellStyle name="60% - 강조색5 17 3" xfId="3263" xr:uid="{00000000-0005-0000-0000-00000B0C0000}"/>
    <cellStyle name="60% - 강조색5 18" xfId="3264" xr:uid="{00000000-0005-0000-0000-00000C0C0000}"/>
    <cellStyle name="60% - 강조색5 18 2" xfId="3265" xr:uid="{00000000-0005-0000-0000-00000D0C0000}"/>
    <cellStyle name="60% - 강조색5 18 3" xfId="3266" xr:uid="{00000000-0005-0000-0000-00000E0C0000}"/>
    <cellStyle name="60% - 강조색5 19" xfId="3267" xr:uid="{00000000-0005-0000-0000-00000F0C0000}"/>
    <cellStyle name="60% - 강조색5 19 2" xfId="3268" xr:uid="{00000000-0005-0000-0000-0000100C0000}"/>
    <cellStyle name="60% - 강조색5 19 3" xfId="3269" xr:uid="{00000000-0005-0000-0000-0000110C0000}"/>
    <cellStyle name="60% - 강조색5 2" xfId="3270" xr:uid="{00000000-0005-0000-0000-0000120C0000}"/>
    <cellStyle name="60% - 강조색5 2 10" xfId="3271" xr:uid="{00000000-0005-0000-0000-0000130C0000}"/>
    <cellStyle name="60% - 강조색5 2 11" xfId="3272" xr:uid="{00000000-0005-0000-0000-0000140C0000}"/>
    <cellStyle name="60% - 강조색5 2 12" xfId="3273" xr:uid="{00000000-0005-0000-0000-0000150C0000}"/>
    <cellStyle name="60% - 강조색5 2 13" xfId="3274" xr:uid="{00000000-0005-0000-0000-0000160C0000}"/>
    <cellStyle name="60% - 강조색5 2 14" xfId="3275" xr:uid="{00000000-0005-0000-0000-0000170C0000}"/>
    <cellStyle name="60% - 강조색5 2 15" xfId="3276" xr:uid="{00000000-0005-0000-0000-0000180C0000}"/>
    <cellStyle name="60% - 강조색5 2 16" xfId="3277" xr:uid="{00000000-0005-0000-0000-0000190C0000}"/>
    <cellStyle name="60% - 강조색5 2 17" xfId="3278" xr:uid="{00000000-0005-0000-0000-00001A0C0000}"/>
    <cellStyle name="60% - 강조색5 2 18" xfId="3279" xr:uid="{00000000-0005-0000-0000-00001B0C0000}"/>
    <cellStyle name="60% - 강조색5 2 19" xfId="3280" xr:uid="{00000000-0005-0000-0000-00001C0C0000}"/>
    <cellStyle name="60% - 강조색5 2 2" xfId="3281" xr:uid="{00000000-0005-0000-0000-00001D0C0000}"/>
    <cellStyle name="60% - 강조색5 2 20" xfId="3282" xr:uid="{00000000-0005-0000-0000-00001E0C0000}"/>
    <cellStyle name="60% - 강조색5 2 21" xfId="3283" xr:uid="{00000000-0005-0000-0000-00001F0C0000}"/>
    <cellStyle name="60% - 강조색5 2 22" xfId="3284" xr:uid="{00000000-0005-0000-0000-0000200C0000}"/>
    <cellStyle name="60% - 강조색5 2 23" xfId="3285" xr:uid="{00000000-0005-0000-0000-0000210C0000}"/>
    <cellStyle name="60% - 강조색5 2 24" xfId="3286" xr:uid="{00000000-0005-0000-0000-0000220C0000}"/>
    <cellStyle name="60% - 강조색5 2 25" xfId="3287" xr:uid="{00000000-0005-0000-0000-0000230C0000}"/>
    <cellStyle name="60% - 강조색5 2 26" xfId="3288" xr:uid="{00000000-0005-0000-0000-0000240C0000}"/>
    <cellStyle name="60% - 강조색5 2 27" xfId="3289" xr:uid="{00000000-0005-0000-0000-0000250C0000}"/>
    <cellStyle name="60% - 강조색5 2 28" xfId="3290" xr:uid="{00000000-0005-0000-0000-0000260C0000}"/>
    <cellStyle name="60% - 강조색5 2 29" xfId="3291" xr:uid="{00000000-0005-0000-0000-0000270C0000}"/>
    <cellStyle name="60% - 강조색5 2 3" xfId="3292" xr:uid="{00000000-0005-0000-0000-0000280C0000}"/>
    <cellStyle name="60% - 강조색5 2 30" xfId="3293" xr:uid="{00000000-0005-0000-0000-0000290C0000}"/>
    <cellStyle name="60% - 강조색5 2 31" xfId="3294" xr:uid="{00000000-0005-0000-0000-00002A0C0000}"/>
    <cellStyle name="60% - 강조색5 2 32" xfId="3295" xr:uid="{00000000-0005-0000-0000-00002B0C0000}"/>
    <cellStyle name="60% - 강조색5 2 33" xfId="3296" xr:uid="{00000000-0005-0000-0000-00002C0C0000}"/>
    <cellStyle name="60% - 강조색5 2 34" xfId="3297" xr:uid="{00000000-0005-0000-0000-00002D0C0000}"/>
    <cellStyle name="60% - 강조색5 2 35" xfId="3298" xr:uid="{00000000-0005-0000-0000-00002E0C0000}"/>
    <cellStyle name="60% - 강조색5 2 36" xfId="3299" xr:uid="{00000000-0005-0000-0000-00002F0C0000}"/>
    <cellStyle name="60% - 강조색5 2 37" xfId="3300" xr:uid="{00000000-0005-0000-0000-0000300C0000}"/>
    <cellStyle name="60% - 강조색5 2 38" xfId="3301" xr:uid="{00000000-0005-0000-0000-0000310C0000}"/>
    <cellStyle name="60% - 강조색5 2 39" xfId="3302" xr:uid="{00000000-0005-0000-0000-0000320C0000}"/>
    <cellStyle name="60% - 강조색5 2 4" xfId="3303" xr:uid="{00000000-0005-0000-0000-0000330C0000}"/>
    <cellStyle name="60% - 강조색5 2 5" xfId="3304" xr:uid="{00000000-0005-0000-0000-0000340C0000}"/>
    <cellStyle name="60% - 강조색5 2 6" xfId="3305" xr:uid="{00000000-0005-0000-0000-0000350C0000}"/>
    <cellStyle name="60% - 강조색5 2 7" xfId="3306" xr:uid="{00000000-0005-0000-0000-0000360C0000}"/>
    <cellStyle name="60% - 강조색5 2 8" xfId="3307" xr:uid="{00000000-0005-0000-0000-0000370C0000}"/>
    <cellStyle name="60% - 강조색5 2 9" xfId="3308" xr:uid="{00000000-0005-0000-0000-0000380C0000}"/>
    <cellStyle name="60% - 강조색5 20" xfId="3309" xr:uid="{00000000-0005-0000-0000-0000390C0000}"/>
    <cellStyle name="60% - 강조색5 21" xfId="3310" xr:uid="{00000000-0005-0000-0000-00003A0C0000}"/>
    <cellStyle name="60% - 강조색5 22" xfId="3311" xr:uid="{00000000-0005-0000-0000-00003B0C0000}"/>
    <cellStyle name="60% - 강조색5 23" xfId="3312" xr:uid="{00000000-0005-0000-0000-00003C0C0000}"/>
    <cellStyle name="60% - 강조색5 24" xfId="3313" xr:uid="{00000000-0005-0000-0000-00003D0C0000}"/>
    <cellStyle name="60% - 강조색5 25" xfId="3314" xr:uid="{00000000-0005-0000-0000-00003E0C0000}"/>
    <cellStyle name="60% - 강조색5 26" xfId="3315" xr:uid="{00000000-0005-0000-0000-00003F0C0000}"/>
    <cellStyle name="60% - 강조색5 27" xfId="3316" xr:uid="{00000000-0005-0000-0000-0000400C0000}"/>
    <cellStyle name="60% - 강조색5 27 2" xfId="3317" xr:uid="{00000000-0005-0000-0000-0000410C0000}"/>
    <cellStyle name="60% - 강조색5 28" xfId="3318" xr:uid="{00000000-0005-0000-0000-0000420C0000}"/>
    <cellStyle name="60% - 강조색5 29" xfId="3319" xr:uid="{00000000-0005-0000-0000-0000430C0000}"/>
    <cellStyle name="60% - 강조색5 3" xfId="3320" xr:uid="{00000000-0005-0000-0000-0000440C0000}"/>
    <cellStyle name="60% - 강조색5 3 2" xfId="3321" xr:uid="{00000000-0005-0000-0000-0000450C0000}"/>
    <cellStyle name="60% - 강조색5 3 3" xfId="3322" xr:uid="{00000000-0005-0000-0000-0000460C0000}"/>
    <cellStyle name="60% - 강조색5 3 4" xfId="3323" xr:uid="{00000000-0005-0000-0000-0000470C0000}"/>
    <cellStyle name="60% - 강조색5 30" xfId="3324" xr:uid="{00000000-0005-0000-0000-0000480C0000}"/>
    <cellStyle name="60% - 강조색5 31" xfId="3325" xr:uid="{00000000-0005-0000-0000-0000490C0000}"/>
    <cellStyle name="60% - 강조색5 32" xfId="3326" xr:uid="{00000000-0005-0000-0000-00004A0C0000}"/>
    <cellStyle name="60% - 강조색5 33" xfId="3327" xr:uid="{00000000-0005-0000-0000-00004B0C0000}"/>
    <cellStyle name="60% - 강조색5 34" xfId="3328" xr:uid="{00000000-0005-0000-0000-00004C0C0000}"/>
    <cellStyle name="60% - 강조색5 35" xfId="3329" xr:uid="{00000000-0005-0000-0000-00004D0C0000}"/>
    <cellStyle name="60% - 강조색5 36" xfId="3330" xr:uid="{00000000-0005-0000-0000-00004E0C0000}"/>
    <cellStyle name="60% - 강조색5 37" xfId="3331" xr:uid="{00000000-0005-0000-0000-00004F0C0000}"/>
    <cellStyle name="60% - 강조색5 37 2" xfId="3332" xr:uid="{00000000-0005-0000-0000-0000500C0000}"/>
    <cellStyle name="60% - 강조색5 38" xfId="3333" xr:uid="{00000000-0005-0000-0000-0000510C0000}"/>
    <cellStyle name="60% - 강조색5 39" xfId="3334" xr:uid="{00000000-0005-0000-0000-0000520C0000}"/>
    <cellStyle name="60% - 강조색5 4" xfId="3335" xr:uid="{00000000-0005-0000-0000-0000530C0000}"/>
    <cellStyle name="60% - 강조색5 4 2" xfId="3336" xr:uid="{00000000-0005-0000-0000-0000540C0000}"/>
    <cellStyle name="60% - 강조색5 4 3" xfId="3337" xr:uid="{00000000-0005-0000-0000-0000550C0000}"/>
    <cellStyle name="60% - 강조색5 4 4" xfId="3338" xr:uid="{00000000-0005-0000-0000-0000560C0000}"/>
    <cellStyle name="60% - 강조색5 40" xfId="3339" xr:uid="{00000000-0005-0000-0000-0000570C0000}"/>
    <cellStyle name="60% - 강조색5 41" xfId="3340" xr:uid="{00000000-0005-0000-0000-0000580C0000}"/>
    <cellStyle name="60% - 강조색5 42" xfId="3341" xr:uid="{00000000-0005-0000-0000-0000590C0000}"/>
    <cellStyle name="60% - 강조색5 43" xfId="3342" xr:uid="{00000000-0005-0000-0000-00005A0C0000}"/>
    <cellStyle name="60% - 강조색5 44" xfId="3343" xr:uid="{00000000-0005-0000-0000-00005B0C0000}"/>
    <cellStyle name="60% - 강조색5 45" xfId="3344" xr:uid="{00000000-0005-0000-0000-00005C0C0000}"/>
    <cellStyle name="60% - 강조색5 45 2" xfId="3345" xr:uid="{00000000-0005-0000-0000-00005D0C0000}"/>
    <cellStyle name="60% - 강조색5 45 3" xfId="3346" xr:uid="{00000000-0005-0000-0000-00005E0C0000}"/>
    <cellStyle name="60% - 강조색5 46" xfId="3347" xr:uid="{00000000-0005-0000-0000-00005F0C0000}"/>
    <cellStyle name="60% - 강조색5 47" xfId="3348" xr:uid="{00000000-0005-0000-0000-0000600C0000}"/>
    <cellStyle name="60% - 강조색5 48" xfId="3349" xr:uid="{00000000-0005-0000-0000-0000610C0000}"/>
    <cellStyle name="60% - 강조색5 49" xfId="3350" xr:uid="{00000000-0005-0000-0000-0000620C0000}"/>
    <cellStyle name="60% - 강조색5 5" xfId="3351" xr:uid="{00000000-0005-0000-0000-0000630C0000}"/>
    <cellStyle name="60% - 강조색5 5 2" xfId="3352" xr:uid="{00000000-0005-0000-0000-0000640C0000}"/>
    <cellStyle name="60% - 강조색5 5 3" xfId="3353" xr:uid="{00000000-0005-0000-0000-0000650C0000}"/>
    <cellStyle name="60% - 강조색5 5 4" xfId="3354" xr:uid="{00000000-0005-0000-0000-0000660C0000}"/>
    <cellStyle name="60% - 강조색5 50" xfId="3355" xr:uid="{00000000-0005-0000-0000-0000670C0000}"/>
    <cellStyle name="60% - 강조색5 51" xfId="3356" xr:uid="{00000000-0005-0000-0000-0000680C0000}"/>
    <cellStyle name="60% - 강조색5 52" xfId="3357" xr:uid="{00000000-0005-0000-0000-0000690C0000}"/>
    <cellStyle name="60% - 강조색5 53" xfId="3358" xr:uid="{00000000-0005-0000-0000-00006A0C0000}"/>
    <cellStyle name="60% - 강조색5 54" xfId="3359" xr:uid="{00000000-0005-0000-0000-00006B0C0000}"/>
    <cellStyle name="60% - 강조색5 55" xfId="3360" xr:uid="{00000000-0005-0000-0000-00006C0C0000}"/>
    <cellStyle name="60% - 강조색5 6" xfId="3361" xr:uid="{00000000-0005-0000-0000-00006D0C0000}"/>
    <cellStyle name="60% - 강조색5 6 2" xfId="3362" xr:uid="{00000000-0005-0000-0000-00006E0C0000}"/>
    <cellStyle name="60% - 강조색5 6 3" xfId="3363" xr:uid="{00000000-0005-0000-0000-00006F0C0000}"/>
    <cellStyle name="60% - 강조색5 6 4" xfId="3364" xr:uid="{00000000-0005-0000-0000-0000700C0000}"/>
    <cellStyle name="60% - 강조색5 7" xfId="3365" xr:uid="{00000000-0005-0000-0000-0000710C0000}"/>
    <cellStyle name="60% - 강조색5 7 2" xfId="3366" xr:uid="{00000000-0005-0000-0000-0000720C0000}"/>
    <cellStyle name="60% - 강조색5 7 3" xfId="3367" xr:uid="{00000000-0005-0000-0000-0000730C0000}"/>
    <cellStyle name="60% - 강조색5 7 4" xfId="3368" xr:uid="{00000000-0005-0000-0000-0000740C0000}"/>
    <cellStyle name="60% - 강조색5 8" xfId="3369" xr:uid="{00000000-0005-0000-0000-0000750C0000}"/>
    <cellStyle name="60% - 강조색5 9" xfId="3370" xr:uid="{00000000-0005-0000-0000-0000760C0000}"/>
    <cellStyle name="60% - 강조색6 10" xfId="3371" xr:uid="{00000000-0005-0000-0000-0000770C0000}"/>
    <cellStyle name="60% - 강조색6 11" xfId="3372" xr:uid="{00000000-0005-0000-0000-0000780C0000}"/>
    <cellStyle name="60% - 강조색6 12" xfId="3373" xr:uid="{00000000-0005-0000-0000-0000790C0000}"/>
    <cellStyle name="60% - 강조색6 13" xfId="3374" xr:uid="{00000000-0005-0000-0000-00007A0C0000}"/>
    <cellStyle name="60% - 강조색6 14" xfId="3375" xr:uid="{00000000-0005-0000-0000-00007B0C0000}"/>
    <cellStyle name="60% - 강조색6 14 2" xfId="3376" xr:uid="{00000000-0005-0000-0000-00007C0C0000}"/>
    <cellStyle name="60% - 강조색6 14 3" xfId="3377" xr:uid="{00000000-0005-0000-0000-00007D0C0000}"/>
    <cellStyle name="60% - 강조색6 15" xfId="3378" xr:uid="{00000000-0005-0000-0000-00007E0C0000}"/>
    <cellStyle name="60% - 강조색6 15 2" xfId="3379" xr:uid="{00000000-0005-0000-0000-00007F0C0000}"/>
    <cellStyle name="60% - 강조색6 15 3" xfId="3380" xr:uid="{00000000-0005-0000-0000-0000800C0000}"/>
    <cellStyle name="60% - 강조색6 16" xfId="3381" xr:uid="{00000000-0005-0000-0000-0000810C0000}"/>
    <cellStyle name="60% - 강조색6 16 2" xfId="3382" xr:uid="{00000000-0005-0000-0000-0000820C0000}"/>
    <cellStyle name="60% - 강조색6 16 3" xfId="3383" xr:uid="{00000000-0005-0000-0000-0000830C0000}"/>
    <cellStyle name="60% - 강조색6 17" xfId="3384" xr:uid="{00000000-0005-0000-0000-0000840C0000}"/>
    <cellStyle name="60% - 강조색6 17 2" xfId="3385" xr:uid="{00000000-0005-0000-0000-0000850C0000}"/>
    <cellStyle name="60% - 강조색6 17 3" xfId="3386" xr:uid="{00000000-0005-0000-0000-0000860C0000}"/>
    <cellStyle name="60% - 강조색6 18" xfId="3387" xr:uid="{00000000-0005-0000-0000-0000870C0000}"/>
    <cellStyle name="60% - 강조색6 18 2" xfId="3388" xr:uid="{00000000-0005-0000-0000-0000880C0000}"/>
    <cellStyle name="60% - 강조색6 18 3" xfId="3389" xr:uid="{00000000-0005-0000-0000-0000890C0000}"/>
    <cellStyle name="60% - 강조색6 19" xfId="3390" xr:uid="{00000000-0005-0000-0000-00008A0C0000}"/>
    <cellStyle name="60% - 강조색6 19 2" xfId="3391" xr:uid="{00000000-0005-0000-0000-00008B0C0000}"/>
    <cellStyle name="60% - 강조색6 19 3" xfId="3392" xr:uid="{00000000-0005-0000-0000-00008C0C0000}"/>
    <cellStyle name="60% - 강조색6 2" xfId="3393" xr:uid="{00000000-0005-0000-0000-00008D0C0000}"/>
    <cellStyle name="60% - 강조색6 2 10" xfId="3394" xr:uid="{00000000-0005-0000-0000-00008E0C0000}"/>
    <cellStyle name="60% - 강조색6 2 11" xfId="3395" xr:uid="{00000000-0005-0000-0000-00008F0C0000}"/>
    <cellStyle name="60% - 강조색6 2 12" xfId="3396" xr:uid="{00000000-0005-0000-0000-0000900C0000}"/>
    <cellStyle name="60% - 강조색6 2 13" xfId="3397" xr:uid="{00000000-0005-0000-0000-0000910C0000}"/>
    <cellStyle name="60% - 강조색6 2 14" xfId="3398" xr:uid="{00000000-0005-0000-0000-0000920C0000}"/>
    <cellStyle name="60% - 강조색6 2 15" xfId="3399" xr:uid="{00000000-0005-0000-0000-0000930C0000}"/>
    <cellStyle name="60% - 강조색6 2 16" xfId="3400" xr:uid="{00000000-0005-0000-0000-0000940C0000}"/>
    <cellStyle name="60% - 강조색6 2 17" xfId="3401" xr:uid="{00000000-0005-0000-0000-0000950C0000}"/>
    <cellStyle name="60% - 강조색6 2 18" xfId="3402" xr:uid="{00000000-0005-0000-0000-0000960C0000}"/>
    <cellStyle name="60% - 강조색6 2 19" xfId="3403" xr:uid="{00000000-0005-0000-0000-0000970C0000}"/>
    <cellStyle name="60% - 강조색6 2 2" xfId="3404" xr:uid="{00000000-0005-0000-0000-0000980C0000}"/>
    <cellStyle name="60% - 강조색6 2 20" xfId="3405" xr:uid="{00000000-0005-0000-0000-0000990C0000}"/>
    <cellStyle name="60% - 강조색6 2 21" xfId="3406" xr:uid="{00000000-0005-0000-0000-00009A0C0000}"/>
    <cellStyle name="60% - 강조색6 2 22" xfId="3407" xr:uid="{00000000-0005-0000-0000-00009B0C0000}"/>
    <cellStyle name="60% - 강조색6 2 23" xfId="3408" xr:uid="{00000000-0005-0000-0000-00009C0C0000}"/>
    <cellStyle name="60% - 강조색6 2 24" xfId="3409" xr:uid="{00000000-0005-0000-0000-00009D0C0000}"/>
    <cellStyle name="60% - 강조색6 2 25" xfId="3410" xr:uid="{00000000-0005-0000-0000-00009E0C0000}"/>
    <cellStyle name="60% - 강조색6 2 26" xfId="3411" xr:uid="{00000000-0005-0000-0000-00009F0C0000}"/>
    <cellStyle name="60% - 강조색6 2 27" xfId="3412" xr:uid="{00000000-0005-0000-0000-0000A00C0000}"/>
    <cellStyle name="60% - 강조색6 2 28" xfId="3413" xr:uid="{00000000-0005-0000-0000-0000A10C0000}"/>
    <cellStyle name="60% - 강조색6 2 29" xfId="3414" xr:uid="{00000000-0005-0000-0000-0000A20C0000}"/>
    <cellStyle name="60% - 강조색6 2 3" xfId="3415" xr:uid="{00000000-0005-0000-0000-0000A30C0000}"/>
    <cellStyle name="60% - 강조색6 2 30" xfId="3416" xr:uid="{00000000-0005-0000-0000-0000A40C0000}"/>
    <cellStyle name="60% - 강조색6 2 31" xfId="3417" xr:uid="{00000000-0005-0000-0000-0000A50C0000}"/>
    <cellStyle name="60% - 강조색6 2 32" xfId="3418" xr:uid="{00000000-0005-0000-0000-0000A60C0000}"/>
    <cellStyle name="60% - 강조색6 2 33" xfId="3419" xr:uid="{00000000-0005-0000-0000-0000A70C0000}"/>
    <cellStyle name="60% - 강조색6 2 34" xfId="3420" xr:uid="{00000000-0005-0000-0000-0000A80C0000}"/>
    <cellStyle name="60% - 강조색6 2 35" xfId="3421" xr:uid="{00000000-0005-0000-0000-0000A90C0000}"/>
    <cellStyle name="60% - 강조색6 2 36" xfId="3422" xr:uid="{00000000-0005-0000-0000-0000AA0C0000}"/>
    <cellStyle name="60% - 강조색6 2 37" xfId="3423" xr:uid="{00000000-0005-0000-0000-0000AB0C0000}"/>
    <cellStyle name="60% - 강조색6 2 38" xfId="3424" xr:uid="{00000000-0005-0000-0000-0000AC0C0000}"/>
    <cellStyle name="60% - 강조색6 2 39" xfId="3425" xr:uid="{00000000-0005-0000-0000-0000AD0C0000}"/>
    <cellStyle name="60% - 강조색6 2 4" xfId="3426" xr:uid="{00000000-0005-0000-0000-0000AE0C0000}"/>
    <cellStyle name="60% - 강조색6 2 5" xfId="3427" xr:uid="{00000000-0005-0000-0000-0000AF0C0000}"/>
    <cellStyle name="60% - 강조색6 2 6" xfId="3428" xr:uid="{00000000-0005-0000-0000-0000B00C0000}"/>
    <cellStyle name="60% - 강조색6 2 7" xfId="3429" xr:uid="{00000000-0005-0000-0000-0000B10C0000}"/>
    <cellStyle name="60% - 강조색6 2 8" xfId="3430" xr:uid="{00000000-0005-0000-0000-0000B20C0000}"/>
    <cellStyle name="60% - 강조색6 2 9" xfId="3431" xr:uid="{00000000-0005-0000-0000-0000B30C0000}"/>
    <cellStyle name="60% - 강조색6 20" xfId="3432" xr:uid="{00000000-0005-0000-0000-0000B40C0000}"/>
    <cellStyle name="60% - 강조색6 21" xfId="3433" xr:uid="{00000000-0005-0000-0000-0000B50C0000}"/>
    <cellStyle name="60% - 강조색6 22" xfId="3434" xr:uid="{00000000-0005-0000-0000-0000B60C0000}"/>
    <cellStyle name="60% - 강조색6 23" xfId="3435" xr:uid="{00000000-0005-0000-0000-0000B70C0000}"/>
    <cellStyle name="60% - 강조색6 24" xfId="3436" xr:uid="{00000000-0005-0000-0000-0000B80C0000}"/>
    <cellStyle name="60% - 강조색6 25" xfId="3437" xr:uid="{00000000-0005-0000-0000-0000B90C0000}"/>
    <cellStyle name="60% - 강조색6 26" xfId="3438" xr:uid="{00000000-0005-0000-0000-0000BA0C0000}"/>
    <cellStyle name="60% - 강조색6 27" xfId="3439" xr:uid="{00000000-0005-0000-0000-0000BB0C0000}"/>
    <cellStyle name="60% - 강조색6 27 2" xfId="3440" xr:uid="{00000000-0005-0000-0000-0000BC0C0000}"/>
    <cellStyle name="60% - 강조색6 28" xfId="3441" xr:uid="{00000000-0005-0000-0000-0000BD0C0000}"/>
    <cellStyle name="60% - 강조색6 29" xfId="3442" xr:uid="{00000000-0005-0000-0000-0000BE0C0000}"/>
    <cellStyle name="60% - 강조색6 3" xfId="3443" xr:uid="{00000000-0005-0000-0000-0000BF0C0000}"/>
    <cellStyle name="60% - 강조색6 3 2" xfId="3444" xr:uid="{00000000-0005-0000-0000-0000C00C0000}"/>
    <cellStyle name="60% - 강조색6 3 3" xfId="3445" xr:uid="{00000000-0005-0000-0000-0000C10C0000}"/>
    <cellStyle name="60% - 강조색6 3 4" xfId="3446" xr:uid="{00000000-0005-0000-0000-0000C20C0000}"/>
    <cellStyle name="60% - 강조색6 30" xfId="3447" xr:uid="{00000000-0005-0000-0000-0000C30C0000}"/>
    <cellStyle name="60% - 강조색6 31" xfId="3448" xr:uid="{00000000-0005-0000-0000-0000C40C0000}"/>
    <cellStyle name="60% - 강조색6 32" xfId="3449" xr:uid="{00000000-0005-0000-0000-0000C50C0000}"/>
    <cellStyle name="60% - 강조색6 33" xfId="3450" xr:uid="{00000000-0005-0000-0000-0000C60C0000}"/>
    <cellStyle name="60% - 강조색6 34" xfId="3451" xr:uid="{00000000-0005-0000-0000-0000C70C0000}"/>
    <cellStyle name="60% - 강조색6 35" xfId="3452" xr:uid="{00000000-0005-0000-0000-0000C80C0000}"/>
    <cellStyle name="60% - 강조색6 36" xfId="3453" xr:uid="{00000000-0005-0000-0000-0000C90C0000}"/>
    <cellStyle name="60% - 강조색6 37" xfId="3454" xr:uid="{00000000-0005-0000-0000-0000CA0C0000}"/>
    <cellStyle name="60% - 강조색6 37 2" xfId="3455" xr:uid="{00000000-0005-0000-0000-0000CB0C0000}"/>
    <cellStyle name="60% - 강조색6 38" xfId="3456" xr:uid="{00000000-0005-0000-0000-0000CC0C0000}"/>
    <cellStyle name="60% - 강조색6 39" xfId="3457" xr:uid="{00000000-0005-0000-0000-0000CD0C0000}"/>
    <cellStyle name="60% - 강조색6 4" xfId="3458" xr:uid="{00000000-0005-0000-0000-0000CE0C0000}"/>
    <cellStyle name="60% - 강조색6 4 2" xfId="3459" xr:uid="{00000000-0005-0000-0000-0000CF0C0000}"/>
    <cellStyle name="60% - 강조색6 4 3" xfId="3460" xr:uid="{00000000-0005-0000-0000-0000D00C0000}"/>
    <cellStyle name="60% - 강조색6 4 4" xfId="3461" xr:uid="{00000000-0005-0000-0000-0000D10C0000}"/>
    <cellStyle name="60% - 강조색6 40" xfId="3462" xr:uid="{00000000-0005-0000-0000-0000D20C0000}"/>
    <cellStyle name="60% - 강조색6 41" xfId="3463" xr:uid="{00000000-0005-0000-0000-0000D30C0000}"/>
    <cellStyle name="60% - 강조색6 42" xfId="3464" xr:uid="{00000000-0005-0000-0000-0000D40C0000}"/>
    <cellStyle name="60% - 강조색6 43" xfId="3465" xr:uid="{00000000-0005-0000-0000-0000D50C0000}"/>
    <cellStyle name="60% - 강조색6 44" xfId="3466" xr:uid="{00000000-0005-0000-0000-0000D60C0000}"/>
    <cellStyle name="60% - 강조색6 45" xfId="3467" xr:uid="{00000000-0005-0000-0000-0000D70C0000}"/>
    <cellStyle name="60% - 강조색6 45 2" xfId="3468" xr:uid="{00000000-0005-0000-0000-0000D80C0000}"/>
    <cellStyle name="60% - 강조색6 45 3" xfId="3469" xr:uid="{00000000-0005-0000-0000-0000D90C0000}"/>
    <cellStyle name="60% - 강조색6 46" xfId="3470" xr:uid="{00000000-0005-0000-0000-0000DA0C0000}"/>
    <cellStyle name="60% - 강조색6 47" xfId="3471" xr:uid="{00000000-0005-0000-0000-0000DB0C0000}"/>
    <cellStyle name="60% - 강조색6 48" xfId="3472" xr:uid="{00000000-0005-0000-0000-0000DC0C0000}"/>
    <cellStyle name="60% - 강조색6 49" xfId="3473" xr:uid="{00000000-0005-0000-0000-0000DD0C0000}"/>
    <cellStyle name="60% - 강조색6 5" xfId="3474" xr:uid="{00000000-0005-0000-0000-0000DE0C0000}"/>
    <cellStyle name="60% - 강조색6 5 2" xfId="3475" xr:uid="{00000000-0005-0000-0000-0000DF0C0000}"/>
    <cellStyle name="60% - 강조색6 5 3" xfId="3476" xr:uid="{00000000-0005-0000-0000-0000E00C0000}"/>
    <cellStyle name="60% - 강조색6 5 4" xfId="3477" xr:uid="{00000000-0005-0000-0000-0000E10C0000}"/>
    <cellStyle name="60% - 강조색6 50" xfId="3478" xr:uid="{00000000-0005-0000-0000-0000E20C0000}"/>
    <cellStyle name="60% - 강조색6 51" xfId="3479" xr:uid="{00000000-0005-0000-0000-0000E30C0000}"/>
    <cellStyle name="60% - 강조색6 52" xfId="3480" xr:uid="{00000000-0005-0000-0000-0000E40C0000}"/>
    <cellStyle name="60% - 강조색6 53" xfId="3481" xr:uid="{00000000-0005-0000-0000-0000E50C0000}"/>
    <cellStyle name="60% - 강조색6 54" xfId="3482" xr:uid="{00000000-0005-0000-0000-0000E60C0000}"/>
    <cellStyle name="60% - 강조색6 55" xfId="3483" xr:uid="{00000000-0005-0000-0000-0000E70C0000}"/>
    <cellStyle name="60% - 강조색6 6" xfId="3484" xr:uid="{00000000-0005-0000-0000-0000E80C0000}"/>
    <cellStyle name="60% - 강조색6 6 2" xfId="3485" xr:uid="{00000000-0005-0000-0000-0000E90C0000}"/>
    <cellStyle name="60% - 강조색6 6 3" xfId="3486" xr:uid="{00000000-0005-0000-0000-0000EA0C0000}"/>
    <cellStyle name="60% - 강조색6 6 4" xfId="3487" xr:uid="{00000000-0005-0000-0000-0000EB0C0000}"/>
    <cellStyle name="60% - 강조색6 7" xfId="3488" xr:uid="{00000000-0005-0000-0000-0000EC0C0000}"/>
    <cellStyle name="60% - 강조색6 7 2" xfId="3489" xr:uid="{00000000-0005-0000-0000-0000ED0C0000}"/>
    <cellStyle name="60% - 강조색6 7 3" xfId="3490" xr:uid="{00000000-0005-0000-0000-0000EE0C0000}"/>
    <cellStyle name="60% - 강조색6 7 4" xfId="3491" xr:uid="{00000000-0005-0000-0000-0000EF0C0000}"/>
    <cellStyle name="60% - 강조색6 8" xfId="3492" xr:uid="{00000000-0005-0000-0000-0000F00C0000}"/>
    <cellStyle name="60% - 강조색6 9" xfId="3493" xr:uid="{00000000-0005-0000-0000-0000F10C0000}"/>
    <cellStyle name="7_WH-PAYRO_1" xfId="3494" xr:uid="{00000000-0005-0000-0000-0000F20C0000}"/>
    <cellStyle name="9" xfId="3495" xr:uid="{00000000-0005-0000-0000-0000F30C0000}"/>
    <cellStyle name="A" xfId="3496" xr:uid="{00000000-0005-0000-0000-0000F40C0000}"/>
    <cellStyle name="A???[0]_97 ?? " xfId="3497" xr:uid="{00000000-0005-0000-0000-0000F50C0000}"/>
    <cellStyle name="A???97 ?? " xfId="3498" xr:uid="{00000000-0005-0000-0000-0000F60C0000}"/>
    <cellStyle name="A???97?a?u? " xfId="3499" xr:uid="{00000000-0005-0000-0000-0000F70C0000}"/>
    <cellStyle name="A???97Ae?A? " xfId="3500" xr:uid="{00000000-0005-0000-0000-0000F80C0000}"/>
    <cellStyle name="A???98Ae?A? " xfId="3501" xr:uid="{00000000-0005-0000-0000-0000F90C0000}"/>
    <cellStyle name="A???AoAUAy캿C? " xfId="3502" xr:uid="{00000000-0005-0000-0000-0000FA0C0000}"/>
    <cellStyle name="A???C?Ao_AoAUAy캿C? " xfId="3503" xr:uid="{00000000-0005-0000-0000-0000FB0C0000}"/>
    <cellStyle name="A???CASH FLOW " xfId="3504" xr:uid="{00000000-0005-0000-0000-0000FC0C0000}"/>
    <cellStyle name="A??[0]_CASH FLOW " xfId="3505" xr:uid="{00000000-0005-0000-0000-0000FD0C0000}"/>
    <cellStyle name="A??CASH FLOW " xfId="3506" xr:uid="{00000000-0005-0000-0000-0000FE0C0000}"/>
    <cellStyle name="Ä?¸¶ [0]_´ëÇü±¸ " xfId="3507" xr:uid="{00000000-0005-0000-0000-0000FF0C0000}"/>
    <cellStyle name="Ä?¸¶_´ëÇü±¸ " xfId="3508" xr:uid="{00000000-0005-0000-0000-0000000D0000}"/>
    <cellStyle name="A_01_AM monthly_Lease_200208" xfId="3509" xr:uid="{00000000-0005-0000-0000-0000010D0000}"/>
    <cellStyle name="A_02_AM monthly_analysis_2000208" xfId="3510" xr:uid="{00000000-0005-0000-0000-0000020D0000}"/>
    <cellStyle name="A_03_yardi_한화_20028" xfId="3511" xr:uid="{00000000-0005-0000-0000-0000030D0000}"/>
    <cellStyle name="A_05_yardi_대한_200208" xfId="3512" xr:uid="{00000000-0005-0000-0000-0000040D0000}"/>
    <cellStyle name="A_cover_yardi_Yvette" xfId="3513" xr:uid="{00000000-0005-0000-0000-0000050D0000}"/>
    <cellStyle name="A_PM Monthly report_한화_송부" xfId="3514" xr:uid="{00000000-0005-0000-0000-0000060D0000}"/>
    <cellStyle name="A_Rev1_IS Report_by C&amp;W_for Sep" xfId="3515" xr:uid="{00000000-0005-0000-0000-0000070D0000}"/>
    <cellStyle name="A_Sheet11" xfId="3516" xr:uid="{00000000-0005-0000-0000-0000080D0000}"/>
    <cellStyle name="A_Sheet12" xfId="3517" xr:uid="{00000000-0005-0000-0000-0000090D0000}"/>
    <cellStyle name="A_Sheet5" xfId="3518" xr:uid="{00000000-0005-0000-0000-00000A0D0000}"/>
    <cellStyle name="A_Sheet6" xfId="3519" xr:uid="{00000000-0005-0000-0000-00000B0D0000}"/>
    <cellStyle name="A_한화_수익편차" xfId="3520" xr:uid="{00000000-0005-0000-0000-00000C0D0000}"/>
    <cellStyle name="A¡§¡ⓒ¡E¡þ¡EO [0]_¡§￠Ri¡§u¡§¡þ¡§¡þI¡§u￠R¨I" xfId="3521" xr:uid="{00000000-0005-0000-0000-00000D0D0000}"/>
    <cellStyle name="A¡§¡ⓒ¡E¡þ¡EO_¡§￠Ri¡§u¡§¡þ¡§¡þI¡§u￠R¨I" xfId="3522" xr:uid="{00000000-0005-0000-0000-00000E0D0000}"/>
    <cellStyle name="A¨­???? [0]_2000¨?OER " xfId="3523" xr:uid="{00000000-0005-0000-0000-00000F0D0000}"/>
    <cellStyle name="A¨­????_2000¨?OER " xfId="3524" xr:uid="{00000000-0005-0000-0000-0000100D0000}"/>
    <cellStyle name="A¨­￠￢￠O [0]_¡¾aA￠￢" xfId="3525" xr:uid="{00000000-0005-0000-0000-0000110D0000}"/>
    <cellStyle name="A¨­¢¬¢Ò [0]_2000¨ùOER " xfId="3526" xr:uid="{00000000-0005-0000-0000-0000120D0000}"/>
    <cellStyle name="A¨­￠￢￠O_¡¾aA￠￢" xfId="3527" xr:uid="{00000000-0005-0000-0000-0000130D0000}"/>
    <cellStyle name="A¨­¢¬¢Ò_2000¨ùOER " xfId="3528" xr:uid="{00000000-0005-0000-0000-0000140D0000}"/>
    <cellStyle name="A￠RERER¡ERER￠RER￠RE?￠RERER￠RER¡ER￠R￠?I￠RERERE￠RERER¡ER￠R¡¿I￠RER￠R¡×I￠REREREO [0]_¡ERER￠RER¡ER¡E?I￠RER¡ER￠R￠?I￠RER¡ER￠R￠?￠RERIa¡ERERER¡ERER￠RER¡ER¡E?￠RERER¡ERERERI￠RERER¡ERER￠RER￠RE?uc￠RERER¡ERER￠RER￠RE?oA" xfId="3529" xr:uid="{00000000-0005-0000-0000-0000150D0000}"/>
    <cellStyle name="A￠RERER¡ERER￠RER￠RE?￠RERER￠RER¡ER￠R￠?I￠RERERE￠RERER¡ER￠R¡¿I￠RER￠R¡×I￠REREREO_¡ERER￠RER¡ER¡E?I￠RER¡ER￠R￠?I￠RER¡ER￠R￠?￠RERIa¡ERERER¡ERER￠RER¡ER¡E?￠RERER¡ERERERI￠RERER¡ERER￠RER￠RE?uc￠RERER¡ERER￠RER￠RE?oA" xfId="3530" xr:uid="{00000000-0005-0000-0000-0000160D0000}"/>
    <cellStyle name="aa" xfId="3531" xr:uid="{00000000-0005-0000-0000-0000170D0000}"/>
    <cellStyle name="Accent1" xfId="3532" xr:uid="{00000000-0005-0000-0000-0000180D0000}"/>
    <cellStyle name="Accent2" xfId="3533" xr:uid="{00000000-0005-0000-0000-0000190D0000}"/>
    <cellStyle name="Accent3" xfId="3534" xr:uid="{00000000-0005-0000-0000-00001A0D0000}"/>
    <cellStyle name="Accent4" xfId="3535" xr:uid="{00000000-0005-0000-0000-00001B0D0000}"/>
    <cellStyle name="Accent5" xfId="3536" xr:uid="{00000000-0005-0000-0000-00001C0D0000}"/>
    <cellStyle name="Accent6" xfId="3537" xr:uid="{00000000-0005-0000-0000-00001D0D0000}"/>
    <cellStyle name="active" xfId="3538" xr:uid="{00000000-0005-0000-0000-00001E0D0000}"/>
    <cellStyle name="Actual Date" xfId="3539" xr:uid="{00000000-0005-0000-0000-00001F0D0000}"/>
    <cellStyle name="add" xfId="3540" xr:uid="{00000000-0005-0000-0000-0000200D0000}"/>
    <cellStyle name="Åëè­" xfId="3541" xr:uid="{00000000-0005-0000-0000-0000210D0000}"/>
    <cellStyle name="Åëè­ [0]" xfId="3542" xr:uid="{00000000-0005-0000-0000-0000220D0000}"/>
    <cellStyle name="AeE­ [0]_  A¾  CO  " xfId="3543" xr:uid="{00000000-0005-0000-0000-0000230D0000}"/>
    <cellStyle name="ÅëÈ­ [0]_´ë¿©±Ý" xfId="3544" xr:uid="{00000000-0005-0000-0000-0000240D0000}"/>
    <cellStyle name="AeE­ [0]_´e¿i" xfId="3545" xr:uid="{00000000-0005-0000-0000-0000250D0000}"/>
    <cellStyle name="AëE­ [0]_´ëÇü±¸ " xfId="3546" xr:uid="{00000000-0005-0000-0000-0000260D0000}"/>
    <cellStyle name="ÅëÈ­ [0]_´ëÇü±¸ " xfId="3547" xr:uid="{00000000-0005-0000-0000-0000270D0000}"/>
    <cellStyle name="AeE­ [0]_´U±aA÷AO98.12(A¶A¤)CR¾i¼­ " xfId="3548" xr:uid="{00000000-0005-0000-0000-0000280D0000}"/>
    <cellStyle name="ÅëÈ­ [0]_´Ü°èº° ±¸Ãà¾È" xfId="3549" xr:uid="{00000000-0005-0000-0000-0000290D0000}"/>
    <cellStyle name="AeE­ [0]_¸Þ¸ðAa" xfId="3550" xr:uid="{00000000-0005-0000-0000-00002A0D0000}"/>
    <cellStyle name="ÅëÈ­ [0]_¿µ¾÷ÀÌÀÍÁß°ø¾÷ " xfId="3551" xr:uid="{00000000-0005-0000-0000-00002B0D0000}"/>
    <cellStyle name="AeE­ [0]_±aA¸" xfId="3552" xr:uid="{00000000-0005-0000-0000-00002C0D0000}"/>
    <cellStyle name="ÅëÈ­ [0]_±âÅ¸" xfId="3553" xr:uid="{00000000-0005-0000-0000-00002D0D0000}"/>
    <cellStyle name="AeE­ [0]_±aA¸ 10" xfId="3554" xr:uid="{00000000-0005-0000-0000-00002E0D0000}"/>
    <cellStyle name="ÅëÈ­ [0]_°ü¸®¿ø°¡" xfId="3555" xr:uid="{00000000-0005-0000-0000-00002F0D0000}"/>
    <cellStyle name="AëE­ [0]_°ü¸®Ç×¸n_3÷Á3o° " xfId="3556" xr:uid="{00000000-0005-0000-0000-0000300D0000}"/>
    <cellStyle name="AeE­ [0]_¼oAa½CAu " xfId="3557" xr:uid="{00000000-0005-0000-0000-0000310D0000}"/>
    <cellStyle name="ÅëÈ­ [0]_½ÇÀû " xfId="3558" xr:uid="{00000000-0005-0000-0000-0000320D0000}"/>
    <cellStyle name="AëE­ [0]_1ÇAu " xfId="3559" xr:uid="{00000000-0005-0000-0000-0000330D0000}"/>
    <cellStyle name="ÅëÈ­ [0]_³»ºÎ°èÈ¹´ë ÃßÁ¤Â÷ÀÌ " xfId="3560" xr:uid="{00000000-0005-0000-0000-0000340D0000}"/>
    <cellStyle name="AeE­ [0]_³≫ºI°eE¹´e AßA¤A÷AI " xfId="3561" xr:uid="{00000000-0005-0000-0000-0000350D0000}"/>
    <cellStyle name="ÅëÈ­ [0]_Á¦Á¶1ºÎ1°ú ÇöÈ² " xfId="3562" xr:uid="{00000000-0005-0000-0000-0000360D0000}"/>
    <cellStyle name="AeE­ [0]_Ac°i°u¸® " xfId="3563" xr:uid="{00000000-0005-0000-0000-0000370D0000}"/>
    <cellStyle name="AëE­ [0]_Aç°í°ü¸® " xfId="3564" xr:uid="{00000000-0005-0000-0000-0000380D0000}"/>
    <cellStyle name="ÅëÈ­ [0]_Àç°í°ü¸® " xfId="3565" xr:uid="{00000000-0005-0000-0000-0000390D0000}"/>
    <cellStyle name="AeE­ [0]_AMT " xfId="3566" xr:uid="{00000000-0005-0000-0000-00003A0D0000}"/>
    <cellStyle name="ÅëÈ­ [0]_INQUIRY ¿µ¾÷ÃßÁø " xfId="3567" xr:uid="{00000000-0005-0000-0000-00003B0D0000}"/>
    <cellStyle name="AeE­ [0]_INQUIRY ¿μ¾÷AßAø " xfId="3568" xr:uid="{00000000-0005-0000-0000-00003C0D0000}"/>
    <cellStyle name="ÅëÈ­ [0]_PERSONAL" xfId="3569" xr:uid="{00000000-0005-0000-0000-00003D0D0000}"/>
    <cellStyle name="AëE­ [0]_SP 1°µ?1× ?ÜÁÖ " xfId="3570" xr:uid="{00000000-0005-0000-0000-00003E0D0000}"/>
    <cellStyle name="ÅëÈ­ [0]_SP ¹°µ¿¹× ¿ÜÁÖ " xfId="3571" xr:uid="{00000000-0005-0000-0000-00003F0D0000}"/>
    <cellStyle name="AeE­ [0]_SP ¹°μ¿¹× ¿UAO " xfId="3572" xr:uid="{00000000-0005-0000-0000-0000400D0000}"/>
    <cellStyle name="AeE?[0]_97 ?? " xfId="3573" xr:uid="{00000000-0005-0000-0000-0000410D0000}"/>
    <cellStyle name="AeE?97 ?? " xfId="3574" xr:uid="{00000000-0005-0000-0000-0000420D0000}"/>
    <cellStyle name="AeE?97?a?u? " xfId="3575" xr:uid="{00000000-0005-0000-0000-0000430D0000}"/>
    <cellStyle name="AeE?97Ae?A? " xfId="3576" xr:uid="{00000000-0005-0000-0000-0000440D0000}"/>
    <cellStyle name="AeE?98Ae?A? " xfId="3577" xr:uid="{00000000-0005-0000-0000-0000450D0000}"/>
    <cellStyle name="AeE?AoAUAy캿C? " xfId="3578" xr:uid="{00000000-0005-0000-0000-0000460D0000}"/>
    <cellStyle name="AeE?C?Ao_AoAUAy캿C? " xfId="3579" xr:uid="{00000000-0005-0000-0000-0000470D0000}"/>
    <cellStyle name="AeE?CASH FLOW " xfId="3580" xr:uid="{00000000-0005-0000-0000-0000480D0000}"/>
    <cellStyle name="AeE­_  A¾  CO  " xfId="3581" xr:uid="{00000000-0005-0000-0000-0000490D0000}"/>
    <cellStyle name="ÅëÈ­_´ë¿©±Ý" xfId="3582" xr:uid="{00000000-0005-0000-0000-00004A0D0000}"/>
    <cellStyle name="AeE­_´e¿i" xfId="3583" xr:uid="{00000000-0005-0000-0000-00004B0D0000}"/>
    <cellStyle name="ÅëÈ­_´ë¿ìÀÚµ¿Â÷°ü·Ã~~~" xfId="3584" xr:uid="{00000000-0005-0000-0000-00004C0D0000}"/>
    <cellStyle name="AeE­_´e¿iAUμ¿A÷°u·A~~~" xfId="3585" xr:uid="{00000000-0005-0000-0000-00004D0D0000}"/>
    <cellStyle name="AëE­_´ëÇü±¸ " xfId="3586" xr:uid="{00000000-0005-0000-0000-00004E0D0000}"/>
    <cellStyle name="ÅëÈ­_´ëÇü±¸ " xfId="3587" xr:uid="{00000000-0005-0000-0000-00004F0D0000}"/>
    <cellStyle name="AeE­_´U±aA÷AO98.12(A¶A¤)CR¾i¼­ " xfId="3588" xr:uid="{00000000-0005-0000-0000-0000500D0000}"/>
    <cellStyle name="ÅëÈ­_´Ü°èº° ±¸Ãà¾È" xfId="3589" xr:uid="{00000000-0005-0000-0000-0000510D0000}"/>
    <cellStyle name="AeE­_¸Þ¸ðAa" xfId="3590" xr:uid="{00000000-0005-0000-0000-0000520D0000}"/>
    <cellStyle name="ÅëÈ­_¿µ¾÷ÀÌÀÍÁß°ø¾÷ " xfId="3591" xr:uid="{00000000-0005-0000-0000-0000530D0000}"/>
    <cellStyle name="AeE­_±aA¸" xfId="3592" xr:uid="{00000000-0005-0000-0000-0000540D0000}"/>
    <cellStyle name="ÅëÈ­_±âÅ¸" xfId="3593" xr:uid="{00000000-0005-0000-0000-0000550D0000}"/>
    <cellStyle name="AeE­_±aA¸ 10" xfId="3594" xr:uid="{00000000-0005-0000-0000-0000560D0000}"/>
    <cellStyle name="AëE­_°ü¸®Ç×¸n_3÷Á3o° " xfId="3595" xr:uid="{00000000-0005-0000-0000-0000570D0000}"/>
    <cellStyle name="AeE­_¼oAa½CAu " xfId="3596" xr:uid="{00000000-0005-0000-0000-0000580D0000}"/>
    <cellStyle name="ÅëÈ­_½ÇÀû " xfId="3597" xr:uid="{00000000-0005-0000-0000-0000590D0000}"/>
    <cellStyle name="AëE­_1ÇAu " xfId="3598" xr:uid="{00000000-0005-0000-0000-00005A0D0000}"/>
    <cellStyle name="ÅëÈ­_³»ºÎ°èÈ¹´ë ÃßÁ¤Â÷ÀÌ " xfId="3599" xr:uid="{00000000-0005-0000-0000-00005B0D0000}"/>
    <cellStyle name="AeE­_³≫ºI°eE¹´e AßA¤A÷AI " xfId="3600" xr:uid="{00000000-0005-0000-0000-00005C0D0000}"/>
    <cellStyle name="ÅëÈ­_Á¦Á¶1ºÎ1°ú ÇöÈ² " xfId="3601" xr:uid="{00000000-0005-0000-0000-00005D0D0000}"/>
    <cellStyle name="AeE­_Ac°i°u¸® " xfId="3602" xr:uid="{00000000-0005-0000-0000-00005E0D0000}"/>
    <cellStyle name="AëE­_Aç°í°ü¸® " xfId="3603" xr:uid="{00000000-0005-0000-0000-00005F0D0000}"/>
    <cellStyle name="ÅëÈ­_Àç°í°ü¸® " xfId="3604" xr:uid="{00000000-0005-0000-0000-0000600D0000}"/>
    <cellStyle name="AeE­_AMT " xfId="3605" xr:uid="{00000000-0005-0000-0000-0000610D0000}"/>
    <cellStyle name="ÅëÈ­_INQUIRY ¿µ¾÷ÃßÁø " xfId="3606" xr:uid="{00000000-0005-0000-0000-0000620D0000}"/>
    <cellStyle name="AeE­_INQUIRY ¿μ¾÷AßAø " xfId="3607" xr:uid="{00000000-0005-0000-0000-0000630D0000}"/>
    <cellStyle name="ÅëÈ­_PERSONAL" xfId="3608" xr:uid="{00000000-0005-0000-0000-0000640D0000}"/>
    <cellStyle name="AëE­_SP 1°µ?1× ?ÜÁÖ " xfId="3609" xr:uid="{00000000-0005-0000-0000-0000650D0000}"/>
    <cellStyle name="ÅëÈ­_SP ¹°µ¿¹× ¿ÜÁÖ " xfId="3610" xr:uid="{00000000-0005-0000-0000-0000660D0000}"/>
    <cellStyle name="AeE­_SP ¹°μ¿¹× ¿UAO " xfId="3611" xr:uid="{00000000-0005-0000-0000-0000670D0000}"/>
    <cellStyle name="AeE¡? [0]_2000¨?OER " xfId="3612" xr:uid="{00000000-0005-0000-0000-0000680D0000}"/>
    <cellStyle name="AeE¡?_2000¨?OER " xfId="3613" xr:uid="{00000000-0005-0000-0000-0000690D0000}"/>
    <cellStyle name="AeE¡© [0]_2000¨ùOER " xfId="3614" xr:uid="{00000000-0005-0000-0000-00006A0D0000}"/>
    <cellStyle name="AeE¡©_2000¨ùOER " xfId="3615" xr:uid="{00000000-0005-0000-0000-00006B0D0000}"/>
    <cellStyle name="AeE¡ⓒ [0]_¡¾aA￠￢" xfId="3616" xr:uid="{00000000-0005-0000-0000-00006C0D0000}"/>
    <cellStyle name="AeE¡ⓒ_¡¾aA￠￢" xfId="3617" xr:uid="{00000000-0005-0000-0000-00006D0D0000}"/>
    <cellStyle name="AeE¡ERERER¡ERER￠RER¡ER¡E?I [0]_¡ERER￠RER¡ER¡E?I￠RER¡ER￠R￠?I￠RER¡ER￠R￠?￠RERIa¡ERERER¡ERER￠RER¡ER¡E?￠RERER¡ERERERI￠RERER¡ERER￠RER￠RE?uc￠RERER¡ERER￠RER￠RE?oA" xfId="3618" xr:uid="{00000000-0005-0000-0000-00006E0D0000}"/>
    <cellStyle name="AeE¡ERERER¡ERER￠RER¡ER¡E?I_¡ERER￠RER¡ER¡E?I￠RER¡ER￠R￠?I￠RER¡ER￠R￠?￠RERIa¡ERERER¡ERER￠RER¡ER¡E?￠RERER¡ERERERI￠RERER¡ERER￠RER￠RE?uc￠RERER¡ERER￠RER￠RE?oA" xfId="3619" xr:uid="{00000000-0005-0000-0000-00006F0D0000}"/>
    <cellStyle name="AeE￠R¨I [0]_¡§￠Ri¡§u¡§¡þ¡§¡þI¡§u￠R¨I" xfId="3620" xr:uid="{00000000-0005-0000-0000-0000700D0000}"/>
    <cellStyle name="AeE￠R¨I_¡§￠Ri¡§u¡§¡þ¡§¡þI¡§u￠R¨I" xfId="3621" xr:uid="{00000000-0005-0000-0000-0000710D0000}"/>
    <cellStyle name="ALIGNMENT" xfId="3622" xr:uid="{00000000-0005-0000-0000-0000720D0000}"/>
    <cellStyle name="args.style" xfId="3623" xr:uid="{00000000-0005-0000-0000-0000730D0000}"/>
    <cellStyle name="Arial 10" xfId="3624" xr:uid="{00000000-0005-0000-0000-0000740D0000}"/>
    <cellStyle name="Arial 12" xfId="3625" xr:uid="{00000000-0005-0000-0000-0000750D0000}"/>
    <cellStyle name="Äþ¸¶" xfId="3626" xr:uid="{00000000-0005-0000-0000-0000760D0000}"/>
    <cellStyle name="AÞ¸¶ [0]" xfId="3627" xr:uid="{00000000-0005-0000-0000-0000770D0000}"/>
    <cellStyle name="Äþ¸¶ [0]" xfId="3628" xr:uid="{00000000-0005-0000-0000-0000780D0000}"/>
    <cellStyle name="AÞ¸¶ [0]_  A¾  CO  " xfId="3629" xr:uid="{00000000-0005-0000-0000-0000790D0000}"/>
    <cellStyle name="ÄÞ¸¶ [0]_´ãº¸±ÇÀÌÀÚ" xfId="3630" xr:uid="{00000000-0005-0000-0000-00007A0D0000}"/>
    <cellStyle name="AÞ¸¶ [0]_´e¿i" xfId="3631" xr:uid="{00000000-0005-0000-0000-00007B0D0000}"/>
    <cellStyle name="ÄÞ¸¶ [0]_´ëÇü±¸ " xfId="3632" xr:uid="{00000000-0005-0000-0000-00007C0D0000}"/>
    <cellStyle name="AÞ¸¶ [0]_´U±aA÷AO98.12(A¶A¤)CR¾i¼­ " xfId="3633" xr:uid="{00000000-0005-0000-0000-00007D0D0000}"/>
    <cellStyle name="ÄÞ¸¶ [0]_´Ü°èº° ±¸Ãà¾È" xfId="3634" xr:uid="{00000000-0005-0000-0000-00007E0D0000}"/>
    <cellStyle name="AÞ¸¶ [0]_¸Þ¸ðAa" xfId="3635" xr:uid="{00000000-0005-0000-0000-00007F0D0000}"/>
    <cellStyle name="ÄÞ¸¶ [0]_¿µ¾÷ÀÌÀÍÁß°ø¾÷ " xfId="3636" xr:uid="{00000000-0005-0000-0000-0000800D0000}"/>
    <cellStyle name="AÞ¸¶ [0]_±aA¸" xfId="3637" xr:uid="{00000000-0005-0000-0000-0000810D0000}"/>
    <cellStyle name="ÄÞ¸¶ [0]_±âÅ¸" xfId="3638" xr:uid="{00000000-0005-0000-0000-0000820D0000}"/>
    <cellStyle name="AÞ¸¶ [0]_±aA¸ 10" xfId="3639" xr:uid="{00000000-0005-0000-0000-0000830D0000}"/>
    <cellStyle name="ÄÞ¸¶ [0]_°ü¸®¿ø°¡" xfId="3640" xr:uid="{00000000-0005-0000-0000-0000840D0000}"/>
    <cellStyle name="AÞ¸¶ [0]_¼oAa½CAu " xfId="3641" xr:uid="{00000000-0005-0000-0000-0000850D0000}"/>
    <cellStyle name="ÄÞ¸¶ [0]_³»ºÎ°èÈ¹´ë ÃßÁ¤Â÷ÀÌ " xfId="3642" xr:uid="{00000000-0005-0000-0000-0000860D0000}"/>
    <cellStyle name="AÞ¸¶ [0]_³≫ºI°eE¹´e AßA¤A÷AI " xfId="3643" xr:uid="{00000000-0005-0000-0000-0000870D0000}"/>
    <cellStyle name="ÄÞ¸¶ [0]_Á¤»êÇ¥(ÃßÁ¤) " xfId="3644" xr:uid="{00000000-0005-0000-0000-0000880D0000}"/>
    <cellStyle name="AÞ¸¶ [0]_AN°y(1.25) " xfId="3645" xr:uid="{00000000-0005-0000-0000-0000890D0000}"/>
    <cellStyle name="ÄÞ¸¶ [0]_INQUIRY ¿µ¾÷ÃßÁø " xfId="3646" xr:uid="{00000000-0005-0000-0000-00008A0D0000}"/>
    <cellStyle name="AÞ¸¶ [0]_INQUIRY ¿μ¾÷AßAø " xfId="3647" xr:uid="{00000000-0005-0000-0000-00008B0D0000}"/>
    <cellStyle name="ÄÞ¸¶ [0]_PERSONAL" xfId="3648" xr:uid="{00000000-0005-0000-0000-00008C0D0000}"/>
    <cellStyle name="AÞ¸¶_  A¾  CO  " xfId="3649" xr:uid="{00000000-0005-0000-0000-00008D0D0000}"/>
    <cellStyle name="ÄÞ¸¶_´ë¿©±Ý" xfId="3650" xr:uid="{00000000-0005-0000-0000-00008E0D0000}"/>
    <cellStyle name="AÞ¸¶_´e¿i" xfId="3651" xr:uid="{00000000-0005-0000-0000-00008F0D0000}"/>
    <cellStyle name="ÄÞ¸¶_´ë¿ìÀÚµ¿Â÷°ü·Ã~~~" xfId="3652" xr:uid="{00000000-0005-0000-0000-0000900D0000}"/>
    <cellStyle name="AÞ¸¶_´e¿iAUμ¿A÷°u·A~~~" xfId="3653" xr:uid="{00000000-0005-0000-0000-0000910D0000}"/>
    <cellStyle name="ÄÞ¸¶_´ëÇü±¸ " xfId="3654" xr:uid="{00000000-0005-0000-0000-0000920D0000}"/>
    <cellStyle name="AÞ¸¶_´U±aA÷AO98.12(A¶A¤)CR¾i¼­ " xfId="3655" xr:uid="{00000000-0005-0000-0000-0000930D0000}"/>
    <cellStyle name="ÄÞ¸¶_´Ü°èº° ±¸Ãà¾È" xfId="3656" xr:uid="{00000000-0005-0000-0000-0000940D0000}"/>
    <cellStyle name="AÞ¸¶_¸Þ¸ðAa" xfId="3657" xr:uid="{00000000-0005-0000-0000-0000950D0000}"/>
    <cellStyle name="ÄÞ¸¶_¿µ¾÷ÀÌÀÍÁß°ø¾÷ " xfId="3658" xr:uid="{00000000-0005-0000-0000-0000960D0000}"/>
    <cellStyle name="AÞ¸¶_±aA¸" xfId="3659" xr:uid="{00000000-0005-0000-0000-0000970D0000}"/>
    <cellStyle name="ÄÞ¸¶_±âÅ¸" xfId="3660" xr:uid="{00000000-0005-0000-0000-0000980D0000}"/>
    <cellStyle name="AÞ¸¶_±aA¸ 10" xfId="3661" xr:uid="{00000000-0005-0000-0000-0000990D0000}"/>
    <cellStyle name="ÄÞ¸¶_³»ºÎ°èÈ¹´ë ÃßÁ¤Â÷ÀÌ " xfId="3662" xr:uid="{00000000-0005-0000-0000-00009A0D0000}"/>
    <cellStyle name="AÞ¸¶_³≫ºI°eE¹´e AßA¤A÷AI " xfId="3663" xr:uid="{00000000-0005-0000-0000-00009B0D0000}"/>
    <cellStyle name="ÄÞ¸¶_Á¤»êÇ¥(ÃßÁ¤) " xfId="3664" xr:uid="{00000000-0005-0000-0000-00009C0D0000}"/>
    <cellStyle name="AÞ¸¶_AN°y(1.25) " xfId="3665" xr:uid="{00000000-0005-0000-0000-00009D0D0000}"/>
    <cellStyle name="ÄÞ¸¶_INQUIRY ¿µ¾÷ÃßÁø " xfId="3666" xr:uid="{00000000-0005-0000-0000-00009E0D0000}"/>
    <cellStyle name="AÞ¸¶_INQUIRY ¿μ¾÷AßAø " xfId="3667" xr:uid="{00000000-0005-0000-0000-00009F0D0000}"/>
    <cellStyle name="ÄÞ¸¶_PERSONAL" xfId="3668" xr:uid="{00000000-0005-0000-0000-0000A00D0000}"/>
    <cellStyle name="_x0001_b" xfId="3669" xr:uid="{00000000-0005-0000-0000-0000A10D0000}"/>
    <cellStyle name="_x0001_b 2" xfId="3670" xr:uid="{00000000-0005-0000-0000-0000A20D0000}"/>
    <cellStyle name="Bad" xfId="3671" xr:uid="{00000000-0005-0000-0000-0000A30D0000}"/>
    <cellStyle name="bb" xfId="3672" xr:uid="{00000000-0005-0000-0000-0000A40D0000}"/>
    <cellStyle name="black" xfId="3673" xr:uid="{00000000-0005-0000-0000-0000A50D0000}"/>
    <cellStyle name="blank" xfId="3674" xr:uid="{00000000-0005-0000-0000-0000A60D0000}"/>
    <cellStyle name="blank - Style1" xfId="3675" xr:uid="{00000000-0005-0000-0000-0000A70D0000}"/>
    <cellStyle name="blank_현대자산운용 201003_중요성기준_최종" xfId="3676" xr:uid="{00000000-0005-0000-0000-0000A80D0000}"/>
    <cellStyle name="bloue" xfId="3677" xr:uid="{00000000-0005-0000-0000-0000A90D0000}"/>
    <cellStyle name="blue" xfId="3678" xr:uid="{00000000-0005-0000-0000-0000AA0D0000}"/>
    <cellStyle name="blue2" xfId="3679" xr:uid="{00000000-0005-0000-0000-0000AB0D0000}"/>
    <cellStyle name="Body" xfId="3680" xr:uid="{00000000-0005-0000-0000-0000AC0D0000}"/>
    <cellStyle name="BOM-DOWN" xfId="3681" xr:uid="{00000000-0005-0000-0000-0000AD0D0000}"/>
    <cellStyle name="BookMult" xfId="3682" xr:uid="{00000000-0005-0000-0000-0000AE0D0000}"/>
    <cellStyle name="Border" xfId="3683" xr:uid="{00000000-0005-0000-0000-0000AF0D0000}"/>
    <cellStyle name="box" xfId="3684" xr:uid="{00000000-0005-0000-0000-0000B00D0000}"/>
    <cellStyle name="bp--" xfId="3685" xr:uid="{00000000-0005-0000-0000-0000B10D0000}"/>
    <cellStyle name="Break" xfId="3686" xr:uid="{00000000-0005-0000-0000-0000B20D0000}"/>
    <cellStyle name="British Pound" xfId="3687" xr:uid="{00000000-0005-0000-0000-0000B30D0000}"/>
    <cellStyle name="BuiltOption_Content" xfId="3688" xr:uid="{00000000-0005-0000-0000-0000B40D0000}"/>
    <cellStyle name="C?AO_?? " xfId="3689" xr:uid="{00000000-0005-0000-0000-0000B50D0000}"/>
    <cellStyle name="C?AØ_¿?¾÷CoE² " xfId="3690" xr:uid="{00000000-0005-0000-0000-0000B60D0000}"/>
    <cellStyle name="C¡?A¨ª_2000¨?OER " xfId="3691" xr:uid="{00000000-0005-0000-0000-0000B70D0000}"/>
    <cellStyle name="C¡ERERERIA￠RERER¡ERER￠RER￠RE?¡ERER￠RER¡ER¡E?¡ERERI_(A￠RERERE¡ERERE¡ERERI￠RERER¡ERER￠RER￠RE?￠RERER¡ER￠R¡¿I￠RER￠R¡×I￠RERERE￠RERER¡ER￠R¡¿I￠RER￠R¡×I￠RERER¡ERER￠RER￠RE?￠RERER¡ER￠R¡¿I￠RER￠R¡×II¡ERER￠RER¡ER¡E?" xfId="3692" xr:uid="{00000000-0005-0000-0000-0000B80D0000}"/>
    <cellStyle name="C¡ERIA￠R¡×¡§¡I_A¡ERAAO¡ER¡§uY6 (2)" xfId="3693" xr:uid="{00000000-0005-0000-0000-0000B90D0000}"/>
    <cellStyle name="C¡IA¨ª_ ¡Æⓒøⓒoⓒ￢" xfId="3694" xr:uid="{00000000-0005-0000-0000-0000BA0D0000}"/>
    <cellStyle name="C¡ÍA¨ª_2000¨ùOER " xfId="3695" xr:uid="{00000000-0005-0000-0000-0000BB0D0000}"/>
    <cellStyle name="C¡IA¨ª_2000¨uOER _1월채권" xfId="3696" xr:uid="{00000000-0005-0000-0000-0000BC0D0000}"/>
    <cellStyle name="C￠RIA¡§¨￡_#1,2" xfId="3697" xr:uid="{00000000-0005-0000-0000-0000BD0D0000}"/>
    <cellStyle name="Ç¥áø" xfId="3698" xr:uid="{00000000-0005-0000-0000-0000BE0D0000}"/>
    <cellStyle name="C￥AØ_  A¾  CO  " xfId="3699" xr:uid="{00000000-0005-0000-0000-0000BF0D0000}"/>
    <cellStyle name="Ç¥ÁØ_(Á¤º¸ºÎ¹®)¿ùº°ÀÎ¿ø°èÈ¹" xfId="3700" xr:uid="{00000000-0005-0000-0000-0000C00D0000}"/>
    <cellStyle name="C￥AØ_(A¤º¸ºI¹R)¿uº°AI¿ø°eE¹" xfId="3701" xr:uid="{00000000-0005-0000-0000-0000C10D0000}"/>
    <cellStyle name="Ç¥ÁØ_´ç¿ùÀÚ±Ý¼öÁö" xfId="3702" xr:uid="{00000000-0005-0000-0000-0000C20D0000}"/>
    <cellStyle name="C￥AØ_´U±aA÷AO98.12(A¶A¤)CR¾i¼­ " xfId="3703" xr:uid="{00000000-0005-0000-0000-0000C30D0000}"/>
    <cellStyle name="Ç¥ÁØ_´Ü°èº° ±¸Ãà¾È" xfId="3704" xr:uid="{00000000-0005-0000-0000-0000C40D0000}"/>
    <cellStyle name="C￥AØ_¸AAa.¼OAI " xfId="3705" xr:uid="{00000000-0005-0000-0000-0000C50D0000}"/>
    <cellStyle name="Ç¥ÁØ_¸í¼¼Ç¥" xfId="3706" xr:uid="{00000000-0005-0000-0000-0000C60D0000}"/>
    <cellStyle name="C￥AØ_¿­¸° INT" xfId="3707" xr:uid="{00000000-0005-0000-0000-0000C70D0000}"/>
    <cellStyle name="Ç¥ÁØ_¿µ¾÷ÀÌÀÍÁß°ø¾÷ " xfId="3708" xr:uid="{00000000-0005-0000-0000-0000C80D0000}"/>
    <cellStyle name="C￥AØ_¿¹≫e¿aA≫ " xfId="3709" xr:uid="{00000000-0005-0000-0000-0000C90D0000}"/>
    <cellStyle name="Ç¥ÁØ_¿ù°£¿ä¾àº¸°í" xfId="3710" xr:uid="{00000000-0005-0000-0000-0000CA0D0000}"/>
    <cellStyle name="C￥AØ_¿uº°A¸≫c½CAu_³≫ºI°eE¹´e AßA¤A÷AI " xfId="3711" xr:uid="{00000000-0005-0000-0000-0000CB0D0000}"/>
    <cellStyle name="Ç¥ÁØ_±â¾È¾ç½Ä (3)" xfId="3712" xr:uid="{00000000-0005-0000-0000-0000CC0D0000}"/>
    <cellStyle name="C￥AØ_≫c¾÷ºIº° AN°e " xfId="3713" xr:uid="{00000000-0005-0000-0000-0000CD0D0000}"/>
    <cellStyle name="Ç¥ÁØ_°ü¸®¿ø°¡" xfId="3714" xr:uid="{00000000-0005-0000-0000-0000CE0D0000}"/>
    <cellStyle name="C￥AØ_¼±³³9804" xfId="3715" xr:uid="{00000000-0005-0000-0000-0000CF0D0000}"/>
    <cellStyle name="Ç¥ÁØ_¼±ÅõÀç°í_³»ºÎ°èÈ¹´ë ÃßÁ¤Â÷ÀÌ " xfId="3716" xr:uid="{00000000-0005-0000-0000-0000D00D0000}"/>
    <cellStyle name="C￥AØ_¼±AoAc°i_³≫ºI°eE¹´e AßA¤A÷AI " xfId="3717" xr:uid="{00000000-0005-0000-0000-0000D10D0000}"/>
    <cellStyle name="Ç¥ÁØ_¼ÕÀÍÂ÷ (2)_1_³»ºÎ°èÈ¹´ë ÃßÁ¤Â÷ÀÌ " xfId="3718" xr:uid="{00000000-0005-0000-0000-0000D20D0000}"/>
    <cellStyle name="C￥AØ_¼OAIA÷ (2)_1_³≫ºI°eE¹´e AßA¤A÷AI " xfId="3719" xr:uid="{00000000-0005-0000-0000-0000D30D0000}"/>
    <cellStyle name="Ç¥ÁØ_¼ÕÀÍÂ÷ (2)_³»ºÎ°èÈ¹´ë ÃßÁ¤Â÷ÀÌ " xfId="3720" xr:uid="{00000000-0005-0000-0000-0000D40D0000}"/>
    <cellStyle name="C￥AØ_¼OAIA÷ (2)_³≫ºI°eE¹´e AßA¤A÷AI " xfId="3721" xr:uid="{00000000-0005-0000-0000-0000D50D0000}"/>
    <cellStyle name="Ç¥ÁØ_¼ÕÀÍÂ÷ÀÌ ¿øÀÎ " xfId="3722" xr:uid="{00000000-0005-0000-0000-0000D60D0000}"/>
    <cellStyle name="C￥AØ_12¿u " xfId="3723" xr:uid="{00000000-0005-0000-0000-0000D70D0000}"/>
    <cellStyle name="Ç¥ÁØ_12¿ù " xfId="3724" xr:uid="{00000000-0005-0000-0000-0000D80D0000}"/>
    <cellStyle name="C￥AØ_³≫ºI°eE¹´e AßA¤A÷AI " xfId="3725" xr:uid="{00000000-0005-0000-0000-0000D90D0000}"/>
    <cellStyle name="Ç¥ÁØ_5-1±¤°í " xfId="3726" xr:uid="{00000000-0005-0000-0000-0000DA0D0000}"/>
    <cellStyle name="C￥AØ_5-1±¤°i _●aBS계정비교" xfId="3727" xr:uid="{00000000-0005-0000-0000-0000DB0D0000}"/>
    <cellStyle name="Ç¥ÁØ_5-1±¤°í _●aBS계정비교" xfId="3728" xr:uid="{00000000-0005-0000-0000-0000DC0D0000}"/>
    <cellStyle name="C￥AØ_5-1±¤°i _●aBS계정비교 10" xfId="3729" xr:uid="{00000000-0005-0000-0000-0000DD0D0000}"/>
    <cellStyle name="Ç¥ÁØ_5-1±¤°í _○보고완3분기" xfId="3730" xr:uid="{00000000-0005-0000-0000-0000DE0D0000}"/>
    <cellStyle name="C￥AØ_5-1±¤°i _○보고완3분기 10" xfId="3731" xr:uid="{00000000-0005-0000-0000-0000DF0D0000}"/>
    <cellStyle name="Ç¥ÁØ_5-1±¤°í _○보고완3분기 10" xfId="3732" xr:uid="{00000000-0005-0000-0000-0000E00D0000}"/>
    <cellStyle name="C￥AØ_5-1±¤°i _○보고완3분기 11" xfId="3733" xr:uid="{00000000-0005-0000-0000-0000E10D0000}"/>
    <cellStyle name="Ç¥ÁØ_5-1±¤°í _○보고완3분기 11" xfId="3734" xr:uid="{00000000-0005-0000-0000-0000E20D0000}"/>
    <cellStyle name="C￥AØ_5-1±¤°i _○보고완3분기 12" xfId="3735" xr:uid="{00000000-0005-0000-0000-0000E30D0000}"/>
    <cellStyle name="Ç¥ÁØ_5-1±¤°í _○보고완3분기 12" xfId="3736" xr:uid="{00000000-0005-0000-0000-0000E40D0000}"/>
    <cellStyle name="C￥AØ_5-1±¤°i _○보고완3분기 13" xfId="3737" xr:uid="{00000000-0005-0000-0000-0000E50D0000}"/>
    <cellStyle name="Ç¥ÁØ_5-1±¤°í _○보고완3분기 13" xfId="3738" xr:uid="{00000000-0005-0000-0000-0000E60D0000}"/>
    <cellStyle name="C￥AØ_5-1±¤°i _○보고완3분기 14" xfId="3739" xr:uid="{00000000-0005-0000-0000-0000E70D0000}"/>
    <cellStyle name="Ç¥ÁØ_5-1±¤°í _○보고완3분기 14" xfId="3740" xr:uid="{00000000-0005-0000-0000-0000E80D0000}"/>
    <cellStyle name="C￥AØ_5-1±¤°i _○보고완3분기 15" xfId="3741" xr:uid="{00000000-0005-0000-0000-0000E90D0000}"/>
    <cellStyle name="Ç¥ÁØ_5-1±¤°í _○보고완3분기 15" xfId="3742" xr:uid="{00000000-0005-0000-0000-0000EA0D0000}"/>
    <cellStyle name="C￥AØ_5-1±¤°i _○보고완3분기 2" xfId="3743" xr:uid="{00000000-0005-0000-0000-0000EB0D0000}"/>
    <cellStyle name="Ç¥ÁØ_5-1±¤°í _○보고완3분기 2" xfId="3744" xr:uid="{00000000-0005-0000-0000-0000EC0D0000}"/>
    <cellStyle name="C￥AØ_5-1±¤°i _○보고완3분기 2 2" xfId="3745" xr:uid="{00000000-0005-0000-0000-0000ED0D0000}"/>
    <cellStyle name="Ç¥ÁØ_5-1±¤°í _○보고완3분기 3" xfId="3746" xr:uid="{00000000-0005-0000-0000-0000EE0D0000}"/>
    <cellStyle name="C￥AØ_5-1±¤°i _○보고완3분기 4" xfId="3747" xr:uid="{00000000-0005-0000-0000-0000EF0D0000}"/>
    <cellStyle name="Ç¥ÁØ_5-1±¤°í _○보고완3분기 4" xfId="3748" xr:uid="{00000000-0005-0000-0000-0000F00D0000}"/>
    <cellStyle name="C￥AØ_5-1±¤°i _○보고완3분기 5" xfId="3749" xr:uid="{00000000-0005-0000-0000-0000F10D0000}"/>
    <cellStyle name="Ç¥ÁØ_5-1±¤°í _○보고완3분기 5" xfId="3750" xr:uid="{00000000-0005-0000-0000-0000F20D0000}"/>
    <cellStyle name="C￥AØ_5-1±¤°i _○보고완3분기 6" xfId="3751" xr:uid="{00000000-0005-0000-0000-0000F30D0000}"/>
    <cellStyle name="Ç¥ÁØ_5-1±¤°í _○보고완3분기 6" xfId="3752" xr:uid="{00000000-0005-0000-0000-0000F40D0000}"/>
    <cellStyle name="C￥AØ_5-1±¤°i _○보고완3분기 7" xfId="3753" xr:uid="{00000000-0005-0000-0000-0000F50D0000}"/>
    <cellStyle name="Ç¥ÁØ_5-1±¤°í _○보고완3분기 7" xfId="3754" xr:uid="{00000000-0005-0000-0000-0000F60D0000}"/>
    <cellStyle name="C￥AØ_5-1±¤°i _○보고완3분기 8" xfId="3755" xr:uid="{00000000-0005-0000-0000-0000F70D0000}"/>
    <cellStyle name="Ç¥ÁØ_5-1±¤°í _○보고완3분기 8" xfId="3756" xr:uid="{00000000-0005-0000-0000-0000F80D0000}"/>
    <cellStyle name="C￥AØ_5-1±¤°i _○보고완3분기 9" xfId="3757" xr:uid="{00000000-0005-0000-0000-0000F90D0000}"/>
    <cellStyle name="Ç¥ÁØ_5-1±¤°í _○보고완3분기 9" xfId="3758" xr:uid="{00000000-0005-0000-0000-0000FA0D0000}"/>
    <cellStyle name="C￥AØ_5-1±¤°i _○보고완3분기_당좌자산" xfId="3759" xr:uid="{00000000-0005-0000-0000-0000FB0D0000}"/>
    <cellStyle name="Ç¥ÁØ_5-1±¤°í _○보고완3분기_당좌자산" xfId="3760" xr:uid="{00000000-0005-0000-0000-0000FC0D0000}"/>
    <cellStyle name="C￥AØ_5-1±¤°i _○보고완3분기_당좌자산 2" xfId="3761" xr:uid="{00000000-0005-0000-0000-0000FD0D0000}"/>
    <cellStyle name="Ç¥ÁØ_5-1±¤°í _02.12.대손세액xls" xfId="3762" xr:uid="{00000000-0005-0000-0000-0000FE0D0000}"/>
    <cellStyle name="C￥AØ_5-1±¤°i _02.12.대손세액xls 10" xfId="3763" xr:uid="{00000000-0005-0000-0000-0000FF0D0000}"/>
    <cellStyle name="Ç¥ÁØ_5-1±¤°í _34대손충당금완" xfId="3764" xr:uid="{00000000-0005-0000-0000-0000000E0000}"/>
    <cellStyle name="C￥AØ_5-1±¤°i _34대손충당금완 10" xfId="3765" xr:uid="{00000000-0005-0000-0000-0000010E0000}"/>
    <cellStyle name="Ç¥ÁØ_5-1±¤°í _34대손충당금완 10" xfId="3766" xr:uid="{00000000-0005-0000-0000-0000020E0000}"/>
    <cellStyle name="C￥AØ_5-1±¤°i _34대손충당금완 11" xfId="3767" xr:uid="{00000000-0005-0000-0000-0000030E0000}"/>
    <cellStyle name="Ç¥ÁØ_5-1±¤°í _34대손충당금완 11" xfId="3768" xr:uid="{00000000-0005-0000-0000-0000040E0000}"/>
    <cellStyle name="C￥AØ_5-1±¤°i _34대손충당금완 12" xfId="3769" xr:uid="{00000000-0005-0000-0000-0000050E0000}"/>
    <cellStyle name="Ç¥ÁØ_5-1±¤°í _34대손충당금완 12" xfId="3770" xr:uid="{00000000-0005-0000-0000-0000060E0000}"/>
    <cellStyle name="C￥AØ_5-1±¤°i _34대손충당금완 13" xfId="3771" xr:uid="{00000000-0005-0000-0000-0000070E0000}"/>
    <cellStyle name="Ç¥ÁØ_5-1±¤°í _34대손충당금완 13" xfId="3772" xr:uid="{00000000-0005-0000-0000-0000080E0000}"/>
    <cellStyle name="C￥AØ_5-1±¤°i _34대손충당금완 14" xfId="3773" xr:uid="{00000000-0005-0000-0000-0000090E0000}"/>
    <cellStyle name="Ç¥ÁØ_5-1±¤°í _34대손충당금완 14" xfId="3774" xr:uid="{00000000-0005-0000-0000-00000A0E0000}"/>
    <cellStyle name="C￥AØ_5-1±¤°i _34대손충당금완 15" xfId="3775" xr:uid="{00000000-0005-0000-0000-00000B0E0000}"/>
    <cellStyle name="Ç¥ÁØ_5-1±¤°í _34대손충당금완 15" xfId="3776" xr:uid="{00000000-0005-0000-0000-00000C0E0000}"/>
    <cellStyle name="C￥AØ_5-1±¤°i _34대손충당금완 2" xfId="3777" xr:uid="{00000000-0005-0000-0000-00000D0E0000}"/>
    <cellStyle name="Ç¥ÁØ_5-1±¤°í _34대손충당금완 2" xfId="3778" xr:uid="{00000000-0005-0000-0000-00000E0E0000}"/>
    <cellStyle name="C￥AØ_5-1±¤°i _34대손충당금완 2 2" xfId="3779" xr:uid="{00000000-0005-0000-0000-00000F0E0000}"/>
    <cellStyle name="Ç¥ÁØ_5-1±¤°í _34대손충당금완 3" xfId="3780" xr:uid="{00000000-0005-0000-0000-0000100E0000}"/>
    <cellStyle name="C￥AØ_5-1±¤°i _34대손충당금완 4" xfId="3781" xr:uid="{00000000-0005-0000-0000-0000110E0000}"/>
    <cellStyle name="Ç¥ÁØ_5-1±¤°í _34대손충당금완 4" xfId="3782" xr:uid="{00000000-0005-0000-0000-0000120E0000}"/>
    <cellStyle name="C￥AØ_5-1±¤°i _34대손충당금완 5" xfId="3783" xr:uid="{00000000-0005-0000-0000-0000130E0000}"/>
    <cellStyle name="Ç¥ÁØ_5-1±¤°í _34대손충당금완 5" xfId="3784" xr:uid="{00000000-0005-0000-0000-0000140E0000}"/>
    <cellStyle name="C￥AØ_5-1±¤°i _34대손충당금완 6" xfId="3785" xr:uid="{00000000-0005-0000-0000-0000150E0000}"/>
    <cellStyle name="Ç¥ÁØ_5-1±¤°í _34대손충당금완 6" xfId="3786" xr:uid="{00000000-0005-0000-0000-0000160E0000}"/>
    <cellStyle name="C￥AØ_5-1±¤°i _34대손충당금완 7" xfId="3787" xr:uid="{00000000-0005-0000-0000-0000170E0000}"/>
    <cellStyle name="Ç¥ÁØ_5-1±¤°í _34대손충당금완 7" xfId="3788" xr:uid="{00000000-0005-0000-0000-0000180E0000}"/>
    <cellStyle name="C￥AØ_5-1±¤°i _34대손충당금완 8" xfId="3789" xr:uid="{00000000-0005-0000-0000-0000190E0000}"/>
    <cellStyle name="Ç¥ÁØ_5-1±¤°í _34대손충당금완 8" xfId="3790" xr:uid="{00000000-0005-0000-0000-00001A0E0000}"/>
    <cellStyle name="C￥AØ_5-1±¤°i _34대손충당금완 9" xfId="3791" xr:uid="{00000000-0005-0000-0000-00001B0E0000}"/>
    <cellStyle name="Ç¥ÁØ_5-1±¤°í _34대손충당금완 9" xfId="3792" xr:uid="{00000000-0005-0000-0000-00001C0E0000}"/>
    <cellStyle name="C￥AØ_5-1±¤°i _34대손충당금완_당좌자산" xfId="3793" xr:uid="{00000000-0005-0000-0000-00001D0E0000}"/>
    <cellStyle name="Ç¥ÁØ_5-1±¤°í _34대손충당금완_당좌자산" xfId="3794" xr:uid="{00000000-0005-0000-0000-00001E0E0000}"/>
    <cellStyle name="C￥AØ_5-1±¤°i _34대손충당금완_당좌자산 2" xfId="3795" xr:uid="{00000000-0005-0000-0000-00001F0E0000}"/>
    <cellStyle name="Ç¥ÁØ_5-1±¤°í _34현할차(장기성채권)" xfId="3796" xr:uid="{00000000-0005-0000-0000-0000200E0000}"/>
    <cellStyle name="C￥AØ_5-1±¤°i _34현할차(장기성채권) 10" xfId="3797" xr:uid="{00000000-0005-0000-0000-0000210E0000}"/>
    <cellStyle name="Ç¥ÁØ_5-1±¤°í _34현할차(장기성채권) 10" xfId="3798" xr:uid="{00000000-0005-0000-0000-0000220E0000}"/>
    <cellStyle name="C￥AØ_5-1±¤°i _34현할차(장기성채권) 11" xfId="3799" xr:uid="{00000000-0005-0000-0000-0000230E0000}"/>
    <cellStyle name="Ç¥ÁØ_5-1±¤°í _34현할차(장기성채권) 11" xfId="3800" xr:uid="{00000000-0005-0000-0000-0000240E0000}"/>
    <cellStyle name="C￥AØ_5-1±¤°i _34현할차(장기성채권) 12" xfId="3801" xr:uid="{00000000-0005-0000-0000-0000250E0000}"/>
    <cellStyle name="Ç¥ÁØ_5-1±¤°í _34현할차(장기성채권) 12" xfId="3802" xr:uid="{00000000-0005-0000-0000-0000260E0000}"/>
    <cellStyle name="C￥AØ_5-1±¤°i _34현할차(장기성채권) 13" xfId="3803" xr:uid="{00000000-0005-0000-0000-0000270E0000}"/>
    <cellStyle name="Ç¥ÁØ_5-1±¤°í _34현할차(장기성채권) 13" xfId="3804" xr:uid="{00000000-0005-0000-0000-0000280E0000}"/>
    <cellStyle name="C￥AØ_5-1±¤°i _34현할차(장기성채권) 14" xfId="3805" xr:uid="{00000000-0005-0000-0000-0000290E0000}"/>
    <cellStyle name="Ç¥ÁØ_5-1±¤°í _34현할차(장기성채권) 14" xfId="3806" xr:uid="{00000000-0005-0000-0000-00002A0E0000}"/>
    <cellStyle name="C￥AØ_5-1±¤°i _34현할차(장기성채권) 15" xfId="3807" xr:uid="{00000000-0005-0000-0000-00002B0E0000}"/>
    <cellStyle name="Ç¥ÁØ_5-1±¤°í _34현할차(장기성채권) 15" xfId="3808" xr:uid="{00000000-0005-0000-0000-00002C0E0000}"/>
    <cellStyle name="C￥AØ_5-1±¤°i _34현할차(장기성채권) 2" xfId="3809" xr:uid="{00000000-0005-0000-0000-00002D0E0000}"/>
    <cellStyle name="Ç¥ÁØ_5-1±¤°í _34현할차(장기성채권) 2" xfId="3810" xr:uid="{00000000-0005-0000-0000-00002E0E0000}"/>
    <cellStyle name="C￥AØ_5-1±¤°i _34현할차(장기성채권) 2 2" xfId="3811" xr:uid="{00000000-0005-0000-0000-00002F0E0000}"/>
    <cellStyle name="Ç¥ÁØ_5-1±¤°í _34현할차(장기성채권) 3" xfId="3812" xr:uid="{00000000-0005-0000-0000-0000300E0000}"/>
    <cellStyle name="C￥AØ_5-1±¤°i _34현할차(장기성채권) 4" xfId="3813" xr:uid="{00000000-0005-0000-0000-0000310E0000}"/>
    <cellStyle name="Ç¥ÁØ_5-1±¤°í _34현할차(장기성채권) 4" xfId="3814" xr:uid="{00000000-0005-0000-0000-0000320E0000}"/>
    <cellStyle name="C￥AØ_5-1±¤°i _34현할차(장기성채권) 5" xfId="3815" xr:uid="{00000000-0005-0000-0000-0000330E0000}"/>
    <cellStyle name="Ç¥ÁØ_5-1±¤°í _34현할차(장기성채권) 5" xfId="3816" xr:uid="{00000000-0005-0000-0000-0000340E0000}"/>
    <cellStyle name="C￥AØ_5-1±¤°i _34현할차(장기성채권) 6" xfId="3817" xr:uid="{00000000-0005-0000-0000-0000350E0000}"/>
    <cellStyle name="Ç¥ÁØ_5-1±¤°í _34현할차(장기성채권) 6" xfId="3818" xr:uid="{00000000-0005-0000-0000-0000360E0000}"/>
    <cellStyle name="C￥AØ_5-1±¤°i _34현할차(장기성채권) 7" xfId="3819" xr:uid="{00000000-0005-0000-0000-0000370E0000}"/>
    <cellStyle name="Ç¥ÁØ_5-1±¤°í _34현할차(장기성채권) 7" xfId="3820" xr:uid="{00000000-0005-0000-0000-0000380E0000}"/>
    <cellStyle name="C￥AØ_5-1±¤°i _34현할차(장기성채권) 8" xfId="3821" xr:uid="{00000000-0005-0000-0000-0000390E0000}"/>
    <cellStyle name="Ç¥ÁØ_5-1±¤°í _34현할차(장기성채권) 8" xfId="3822" xr:uid="{00000000-0005-0000-0000-00003A0E0000}"/>
    <cellStyle name="C￥AØ_5-1±¤°i _34현할차(장기성채권) 9" xfId="3823" xr:uid="{00000000-0005-0000-0000-00003B0E0000}"/>
    <cellStyle name="Ç¥ÁØ_5-1±¤°í _34현할차(장기성채권) 9" xfId="3824" xr:uid="{00000000-0005-0000-0000-00003C0E0000}"/>
    <cellStyle name="C￥AØ_5-1±¤°i _44현할차(장기성채권)" xfId="3825" xr:uid="{00000000-0005-0000-0000-00003D0E0000}"/>
    <cellStyle name="Ç¥ÁØ_5-1±¤°í _44현할차(장기성채권)" xfId="3826" xr:uid="{00000000-0005-0000-0000-00003E0E0000}"/>
    <cellStyle name="C￥AØ_5-1±¤°i _44현할차(장기성채권) 2" xfId="3827" xr:uid="{00000000-0005-0000-0000-00003F0E0000}"/>
    <cellStyle name="Ç¥ÁØ_5-1±¤°í _44현할차(장기성채권) 2" xfId="3828" xr:uid="{00000000-0005-0000-0000-0000400E0000}"/>
    <cellStyle name="C￥AØ_5-1±¤°i _44현할차(장기성채권) 2 2" xfId="3829" xr:uid="{00000000-0005-0000-0000-0000410E0000}"/>
    <cellStyle name="Ç¥ÁØ_5-1±¤°í _44현할차(장기성채권) 3" xfId="3830" xr:uid="{00000000-0005-0000-0000-0000420E0000}"/>
    <cellStyle name="C￥AØ_5-1±¤°i _44현할차(장기성채권) 4" xfId="3831" xr:uid="{00000000-0005-0000-0000-0000430E0000}"/>
    <cellStyle name="Ç¥ÁØ_5-1±¤°í _44현할차(장기성채권) 4" xfId="3832" xr:uid="{00000000-0005-0000-0000-0000440E0000}"/>
    <cellStyle name="C￥AØ_5-1±¤°i _44현할차(장기성채권) 5" xfId="3833" xr:uid="{00000000-0005-0000-0000-0000450E0000}"/>
    <cellStyle name="Ç¥ÁØ_5-1±¤°í _44현할차(장기성채권) 5" xfId="3834" xr:uid="{00000000-0005-0000-0000-0000460E0000}"/>
    <cellStyle name="C￥AØ_5-1±¤°i _44현할차(장기성채권) 6" xfId="3835" xr:uid="{00000000-0005-0000-0000-0000470E0000}"/>
    <cellStyle name="Ç¥ÁØ_5-1±¤°í _44현할차(장기성채권) 6" xfId="3836" xr:uid="{00000000-0005-0000-0000-0000480E0000}"/>
    <cellStyle name="C￥AØ_5-1±¤°i _44현할차(장기성채권) 7" xfId="3837" xr:uid="{00000000-0005-0000-0000-0000490E0000}"/>
    <cellStyle name="Ç¥ÁØ_5-1±¤°í _44현할차(장기성채권) 7" xfId="3838" xr:uid="{00000000-0005-0000-0000-00004A0E0000}"/>
    <cellStyle name="C￥AØ_5-1±¤°i _6RCB1 " xfId="3839" xr:uid="{00000000-0005-0000-0000-00004B0E0000}"/>
    <cellStyle name="Ç¥ÁØ_5-1±¤°í _결산보고-2003120" xfId="3840" xr:uid="{00000000-0005-0000-0000-00004C0E0000}"/>
    <cellStyle name="C￥AØ_5-1±¤°i _대손설정3분기" xfId="3841" xr:uid="{00000000-0005-0000-0000-00004D0E0000}"/>
    <cellStyle name="Ç¥ÁØ_5-1±¤°í _대손설정3분기" xfId="3842" xr:uid="{00000000-0005-0000-0000-00004E0E0000}"/>
    <cellStyle name="C￥AØ_5-1±¤°i _대손설정3분기 10" xfId="3843" xr:uid="{00000000-0005-0000-0000-00004F0E0000}"/>
    <cellStyle name="Ç¥ÁØ_5-1±¤°í _대손설정3분기 10" xfId="3844" xr:uid="{00000000-0005-0000-0000-0000500E0000}"/>
    <cellStyle name="C￥AØ_5-1±¤°i _대손설정3분기 11" xfId="3845" xr:uid="{00000000-0005-0000-0000-0000510E0000}"/>
    <cellStyle name="Ç¥ÁØ_5-1±¤°í _대손설정3분기 11" xfId="3846" xr:uid="{00000000-0005-0000-0000-0000520E0000}"/>
    <cellStyle name="C￥AØ_5-1±¤°i _대손설정3분기 12" xfId="3847" xr:uid="{00000000-0005-0000-0000-0000530E0000}"/>
    <cellStyle name="Ç¥ÁØ_5-1±¤°í _대손설정3분기 12" xfId="3848" xr:uid="{00000000-0005-0000-0000-0000540E0000}"/>
    <cellStyle name="C￥AØ_5-1±¤°i _대손설정3분기 13" xfId="3849" xr:uid="{00000000-0005-0000-0000-0000550E0000}"/>
    <cellStyle name="Ç¥ÁØ_5-1±¤°í _대손설정3분기 13" xfId="3850" xr:uid="{00000000-0005-0000-0000-0000560E0000}"/>
    <cellStyle name="C￥AØ_5-1±¤°i _대손설정3분기 14" xfId="3851" xr:uid="{00000000-0005-0000-0000-0000570E0000}"/>
    <cellStyle name="Ç¥ÁØ_5-1±¤°í _대손설정3분기 14" xfId="3852" xr:uid="{00000000-0005-0000-0000-0000580E0000}"/>
    <cellStyle name="C￥AØ_5-1±¤°i _대손설정3분기 15" xfId="3853" xr:uid="{00000000-0005-0000-0000-0000590E0000}"/>
    <cellStyle name="Ç¥ÁØ_5-1±¤°í _대손설정3분기 15" xfId="3854" xr:uid="{00000000-0005-0000-0000-00005A0E0000}"/>
    <cellStyle name="C￥AØ_5-1±¤°i _대손설정3분기 2" xfId="3855" xr:uid="{00000000-0005-0000-0000-00005B0E0000}"/>
    <cellStyle name="Ç¥ÁØ_5-1±¤°í _대손설정3분기 2" xfId="3856" xr:uid="{00000000-0005-0000-0000-00005C0E0000}"/>
    <cellStyle name="C￥AØ_5-1±¤°i _대손설정3분기 2 2" xfId="3857" xr:uid="{00000000-0005-0000-0000-00005D0E0000}"/>
    <cellStyle name="Ç¥ÁØ_5-1±¤°í _대손설정3분기 3" xfId="3858" xr:uid="{00000000-0005-0000-0000-00005E0E0000}"/>
    <cellStyle name="C￥AØ_5-1±¤°i _대손설정3분기 4" xfId="3859" xr:uid="{00000000-0005-0000-0000-00005F0E0000}"/>
    <cellStyle name="Ç¥ÁØ_5-1±¤°í _대손설정3분기 4" xfId="3860" xr:uid="{00000000-0005-0000-0000-0000600E0000}"/>
    <cellStyle name="C￥AØ_5-1±¤°i _대손설정3분기 5" xfId="3861" xr:uid="{00000000-0005-0000-0000-0000610E0000}"/>
    <cellStyle name="Ç¥ÁØ_5-1±¤°í _대손설정3분기 5" xfId="3862" xr:uid="{00000000-0005-0000-0000-0000620E0000}"/>
    <cellStyle name="C￥AØ_5-1±¤°i _대손설정3분기 6" xfId="3863" xr:uid="{00000000-0005-0000-0000-0000630E0000}"/>
    <cellStyle name="Ç¥ÁØ_5-1±¤°í _대손설정3분기 6" xfId="3864" xr:uid="{00000000-0005-0000-0000-0000640E0000}"/>
    <cellStyle name="C￥AØ_5-1±¤°i _대손설정3분기 7" xfId="3865" xr:uid="{00000000-0005-0000-0000-0000650E0000}"/>
    <cellStyle name="Ç¥ÁØ_5-1±¤°í _대손설정3분기 7" xfId="3866" xr:uid="{00000000-0005-0000-0000-0000660E0000}"/>
    <cellStyle name="C￥AØ_5-1±¤°i _대손설정3분기 8" xfId="3867" xr:uid="{00000000-0005-0000-0000-0000670E0000}"/>
    <cellStyle name="Ç¥ÁØ_5-1±¤°í _대손설정3분기 8" xfId="3868" xr:uid="{00000000-0005-0000-0000-0000680E0000}"/>
    <cellStyle name="C￥AØ_5-1±¤°i _대손설정3분기 9" xfId="3869" xr:uid="{00000000-0005-0000-0000-0000690E0000}"/>
    <cellStyle name="Ç¥ÁØ_5-1±¤°í _대손설정3분기 9" xfId="3870" xr:uid="{00000000-0005-0000-0000-00006A0E0000}"/>
    <cellStyle name="C￥AØ_5-1±¤°i _배당가능익(잉여금처분)" xfId="3871" xr:uid="{00000000-0005-0000-0000-00006B0E0000}"/>
    <cellStyle name="Ç¥ÁØ_5-1±¤°í _배당가능익(잉여금처분)" xfId="3872" xr:uid="{00000000-0005-0000-0000-00006C0E0000}"/>
    <cellStyle name="C￥AØ_5-1±¤°i _배당가능익(잉여금처분) 2" xfId="3873" xr:uid="{00000000-0005-0000-0000-00006D0E0000}"/>
    <cellStyle name="Ç¥ÁØ_5-1±¤°í _상각" xfId="3874" xr:uid="{00000000-0005-0000-0000-00006E0E0000}"/>
    <cellStyle name="C￥AØ_5-1±¤°i _상각 10" xfId="3875" xr:uid="{00000000-0005-0000-0000-00006F0E0000}"/>
    <cellStyle name="Ç¥ÁØ_5-1±¤°í _상각(용)" xfId="3876" xr:uid="{00000000-0005-0000-0000-0000700E0000}"/>
    <cellStyle name="C￥AØ_5-1±¤°i _상각(용) 10" xfId="3877" xr:uid="{00000000-0005-0000-0000-0000710E0000}"/>
    <cellStyle name="Ç¥ÁØ_5-1±¤°í _상각(용) 10" xfId="3878" xr:uid="{00000000-0005-0000-0000-0000720E0000}"/>
    <cellStyle name="C￥AØ_5-1±¤°i _상각(용) 11" xfId="3879" xr:uid="{00000000-0005-0000-0000-0000730E0000}"/>
    <cellStyle name="Ç¥ÁØ_5-1±¤°í _상각(용) 11" xfId="3880" xr:uid="{00000000-0005-0000-0000-0000740E0000}"/>
    <cellStyle name="C￥AØ_5-1±¤°i _상각(용) 12" xfId="3881" xr:uid="{00000000-0005-0000-0000-0000750E0000}"/>
    <cellStyle name="Ç¥ÁØ_5-1±¤°í _상각(용) 12" xfId="3882" xr:uid="{00000000-0005-0000-0000-0000760E0000}"/>
    <cellStyle name="C￥AØ_5-1±¤°i _상각(용) 13" xfId="3883" xr:uid="{00000000-0005-0000-0000-0000770E0000}"/>
    <cellStyle name="Ç¥ÁØ_5-1±¤°í _상각(용) 13" xfId="3884" xr:uid="{00000000-0005-0000-0000-0000780E0000}"/>
    <cellStyle name="C￥AØ_5-1±¤°i _상각(용) 14" xfId="3885" xr:uid="{00000000-0005-0000-0000-0000790E0000}"/>
    <cellStyle name="Ç¥ÁØ_5-1±¤°í _상각(용) 14" xfId="3886" xr:uid="{00000000-0005-0000-0000-00007A0E0000}"/>
    <cellStyle name="C￥AØ_5-1±¤°i _상각(용) 15" xfId="3887" xr:uid="{00000000-0005-0000-0000-00007B0E0000}"/>
    <cellStyle name="Ç¥ÁØ_5-1±¤°í _상각(용) 15" xfId="3888" xr:uid="{00000000-0005-0000-0000-00007C0E0000}"/>
    <cellStyle name="C￥AØ_5-1±¤°i _상각(용) 2" xfId="3889" xr:uid="{00000000-0005-0000-0000-00007D0E0000}"/>
    <cellStyle name="Ç¥ÁØ_5-1±¤°í _상각(용) 2" xfId="3890" xr:uid="{00000000-0005-0000-0000-00007E0E0000}"/>
    <cellStyle name="C￥AØ_5-1±¤°i _상각(용) 2 2" xfId="3891" xr:uid="{00000000-0005-0000-0000-00007F0E0000}"/>
    <cellStyle name="Ç¥ÁØ_5-1±¤°í _상각(용) 3" xfId="3892" xr:uid="{00000000-0005-0000-0000-0000800E0000}"/>
    <cellStyle name="C￥AØ_5-1±¤°i _상각(용) 4" xfId="3893" xr:uid="{00000000-0005-0000-0000-0000810E0000}"/>
    <cellStyle name="Ç¥ÁØ_5-1±¤°í _상각(용) 4" xfId="3894" xr:uid="{00000000-0005-0000-0000-0000820E0000}"/>
    <cellStyle name="C￥AØ_5-1±¤°i _상각(용) 5" xfId="3895" xr:uid="{00000000-0005-0000-0000-0000830E0000}"/>
    <cellStyle name="Ç¥ÁØ_5-1±¤°í _상각(용) 5" xfId="3896" xr:uid="{00000000-0005-0000-0000-0000840E0000}"/>
    <cellStyle name="C￥AØ_5-1±¤°i _상각(용) 6" xfId="3897" xr:uid="{00000000-0005-0000-0000-0000850E0000}"/>
    <cellStyle name="Ç¥ÁØ_5-1±¤°í _상각(용) 6" xfId="3898" xr:uid="{00000000-0005-0000-0000-0000860E0000}"/>
    <cellStyle name="C￥AØ_5-1±¤°i _상각(용) 7" xfId="3899" xr:uid="{00000000-0005-0000-0000-0000870E0000}"/>
    <cellStyle name="Ç¥ÁØ_5-1±¤°í _상각(용) 7" xfId="3900" xr:uid="{00000000-0005-0000-0000-0000880E0000}"/>
    <cellStyle name="C￥AØ_5-1±¤°i _상각(용) 8" xfId="3901" xr:uid="{00000000-0005-0000-0000-0000890E0000}"/>
    <cellStyle name="Ç¥ÁØ_5-1±¤°í _상각(용) 8" xfId="3902" xr:uid="{00000000-0005-0000-0000-00008A0E0000}"/>
    <cellStyle name="C￥AØ_5-1±¤°i _상각(용) 9" xfId="3903" xr:uid="{00000000-0005-0000-0000-00008B0E0000}"/>
    <cellStyle name="Ç¥ÁØ_5-1±¤°í _상각(용) 9" xfId="3904" xr:uid="{00000000-0005-0000-0000-00008C0E0000}"/>
    <cellStyle name="C￥AØ_5-1±¤°i _상각_●11BS계정비교" xfId="3905" xr:uid="{00000000-0005-0000-0000-00008D0E0000}"/>
    <cellStyle name="Ç¥ÁØ_5-1±¤°í _상각_●11BS계정비교" xfId="3906" xr:uid="{00000000-0005-0000-0000-00008E0E0000}"/>
    <cellStyle name="C￥AØ_5-1±¤°i _상각_●11BS계정비교 2" xfId="3907" xr:uid="{00000000-0005-0000-0000-00008F0E0000}"/>
    <cellStyle name="Ç¥ÁØ_5-1±¤°í _상각_●11BS계정비교 2" xfId="3908" xr:uid="{00000000-0005-0000-0000-0000900E0000}"/>
    <cellStyle name="C￥AØ_5-1±¤°i _상각_●11BS계정비교 2 2" xfId="3909" xr:uid="{00000000-0005-0000-0000-0000910E0000}"/>
    <cellStyle name="Ç¥ÁØ_5-1±¤°í _상각_●11BS계정비교 3" xfId="3910" xr:uid="{00000000-0005-0000-0000-0000920E0000}"/>
    <cellStyle name="C￥AØ_5-1±¤°i _상각_●11BS계정비교 4" xfId="3911" xr:uid="{00000000-0005-0000-0000-0000930E0000}"/>
    <cellStyle name="Ç¥ÁØ_5-1±¤°í _상각_●11BS계정비교 4" xfId="3912" xr:uid="{00000000-0005-0000-0000-0000940E0000}"/>
    <cellStyle name="C￥AØ_5-1±¤°i _상각_●11BS계정비교 5" xfId="3913" xr:uid="{00000000-0005-0000-0000-0000950E0000}"/>
    <cellStyle name="Ç¥ÁØ_5-1±¤°í _상각_●11BS계정비교 5" xfId="3914" xr:uid="{00000000-0005-0000-0000-0000960E0000}"/>
    <cellStyle name="C￥AØ_5-1±¤°i _상각_●11BS계정비교 6" xfId="3915" xr:uid="{00000000-0005-0000-0000-0000970E0000}"/>
    <cellStyle name="Ç¥ÁØ_5-1±¤°í _상각_●11BS계정비교 6" xfId="3916" xr:uid="{00000000-0005-0000-0000-0000980E0000}"/>
    <cellStyle name="C￥AØ_5-1±¤°i _상각_●11BS계정비교 7" xfId="3917" xr:uid="{00000000-0005-0000-0000-0000990E0000}"/>
    <cellStyle name="Ç¥ÁØ_5-1±¤°í _상각_●11BS계정비교 7" xfId="3918" xr:uid="{00000000-0005-0000-0000-00009A0E0000}"/>
    <cellStyle name="C￥AØ_5-1±¤°i _상각_●6월결산전표내역정리" xfId="3919" xr:uid="{00000000-0005-0000-0000-00009B0E0000}"/>
    <cellStyle name="Ç¥ÁØ_5-1±¤°í _상각_●6월결산전표내역정리" xfId="3920" xr:uid="{00000000-0005-0000-0000-00009C0E0000}"/>
    <cellStyle name="C￥AØ_5-1±¤°i _상각_●6월결산전표내역정리 2" xfId="3921" xr:uid="{00000000-0005-0000-0000-00009D0E0000}"/>
    <cellStyle name="Ç¥ÁØ_5-1±¤°í _상각_●6월결산전표내역정리 2" xfId="3922" xr:uid="{00000000-0005-0000-0000-00009E0E0000}"/>
    <cellStyle name="C￥AØ_5-1±¤°i _상각_●6월결산전표내역정리 2 2" xfId="3923" xr:uid="{00000000-0005-0000-0000-00009F0E0000}"/>
    <cellStyle name="Ç¥ÁØ_5-1±¤°í _상각_●6월결산전표내역정리 3" xfId="3924" xr:uid="{00000000-0005-0000-0000-0000A00E0000}"/>
    <cellStyle name="C￥AØ_5-1±¤°i _상각_●6월결산전표내역정리 4" xfId="3925" xr:uid="{00000000-0005-0000-0000-0000A10E0000}"/>
    <cellStyle name="Ç¥ÁØ_5-1±¤°í _상각_●6월결산전표내역정리 4" xfId="3926" xr:uid="{00000000-0005-0000-0000-0000A20E0000}"/>
    <cellStyle name="C￥AØ_5-1±¤°i _상각_●6월결산전표내역정리 5" xfId="3927" xr:uid="{00000000-0005-0000-0000-0000A30E0000}"/>
    <cellStyle name="Ç¥ÁØ_5-1±¤°í _상각_●6월결산전표내역정리 5" xfId="3928" xr:uid="{00000000-0005-0000-0000-0000A40E0000}"/>
    <cellStyle name="C￥AØ_5-1±¤°i _상각_●6월결산전표내역정리 6" xfId="3929" xr:uid="{00000000-0005-0000-0000-0000A50E0000}"/>
    <cellStyle name="Ç¥ÁØ_5-1±¤°í _상각_●6월결산전표내역정리 6" xfId="3930" xr:uid="{00000000-0005-0000-0000-0000A60E0000}"/>
    <cellStyle name="C￥AØ_5-1±¤°i _상각_●6월결산전표내역정리 7" xfId="3931" xr:uid="{00000000-0005-0000-0000-0000A70E0000}"/>
    <cellStyle name="Ç¥ÁØ_5-1±¤°í _상각_●6월결산전표내역정리 7" xfId="3932" xr:uid="{00000000-0005-0000-0000-0000A80E0000}"/>
    <cellStyle name="C￥AØ_5-1±¤°i _상각_●aBS계정비교" xfId="3933" xr:uid="{00000000-0005-0000-0000-0000A90E0000}"/>
    <cellStyle name="Ç¥ÁØ_5-1±¤°í _상각_●aBS계정비교" xfId="3934" xr:uid="{00000000-0005-0000-0000-0000AA0E0000}"/>
    <cellStyle name="C￥AØ_5-1±¤°i _상각_●aBS계정비교 2" xfId="3935" xr:uid="{00000000-0005-0000-0000-0000AB0E0000}"/>
    <cellStyle name="Ç¥ÁØ_5-1±¤°í _상각_●분석적검토" xfId="3936" xr:uid="{00000000-0005-0000-0000-0000AC0E0000}"/>
    <cellStyle name="C￥AØ_5-1±¤°i _상각_●분석적검토 10" xfId="3937" xr:uid="{00000000-0005-0000-0000-0000AD0E0000}"/>
    <cellStyle name="Ç¥ÁØ_5-1±¤°í _상각_●분석적검토 10" xfId="3938" xr:uid="{00000000-0005-0000-0000-0000AE0E0000}"/>
    <cellStyle name="C￥AØ_5-1±¤°i _상각_●분석적검토 11" xfId="3939" xr:uid="{00000000-0005-0000-0000-0000AF0E0000}"/>
    <cellStyle name="Ç¥ÁØ_5-1±¤°í _상각_●분석적검토 11" xfId="3940" xr:uid="{00000000-0005-0000-0000-0000B00E0000}"/>
    <cellStyle name="C￥AØ_5-1±¤°i _상각_●분석적검토 12" xfId="3941" xr:uid="{00000000-0005-0000-0000-0000B10E0000}"/>
    <cellStyle name="Ç¥ÁØ_5-1±¤°í _상각_●분석적검토 12" xfId="3942" xr:uid="{00000000-0005-0000-0000-0000B20E0000}"/>
    <cellStyle name="C￥AØ_5-1±¤°i _상각_●분석적검토 13" xfId="3943" xr:uid="{00000000-0005-0000-0000-0000B30E0000}"/>
    <cellStyle name="Ç¥ÁØ_5-1±¤°í _상각_●분석적검토 13" xfId="3944" xr:uid="{00000000-0005-0000-0000-0000B40E0000}"/>
    <cellStyle name="C￥AØ_5-1±¤°i _상각_●분석적검토 14" xfId="3945" xr:uid="{00000000-0005-0000-0000-0000B50E0000}"/>
    <cellStyle name="Ç¥ÁØ_5-1±¤°í _상각_●분석적검토 14" xfId="3946" xr:uid="{00000000-0005-0000-0000-0000B60E0000}"/>
    <cellStyle name="C￥AØ_5-1±¤°i _상각_●분석적검토 15" xfId="3947" xr:uid="{00000000-0005-0000-0000-0000B70E0000}"/>
    <cellStyle name="Ç¥ÁØ_5-1±¤°í _상각_●분석적검토 15" xfId="3948" xr:uid="{00000000-0005-0000-0000-0000B80E0000}"/>
    <cellStyle name="C￥AØ_5-1±¤°i _상각_●분석적검토 2" xfId="3949" xr:uid="{00000000-0005-0000-0000-0000B90E0000}"/>
    <cellStyle name="Ç¥ÁØ_5-1±¤°í _상각_●분석적검토 2" xfId="3950" xr:uid="{00000000-0005-0000-0000-0000BA0E0000}"/>
    <cellStyle name="C￥AØ_5-1±¤°i _상각_●분석적검토 2 2" xfId="3951" xr:uid="{00000000-0005-0000-0000-0000BB0E0000}"/>
    <cellStyle name="Ç¥ÁØ_5-1±¤°í _상각_●분석적검토 3" xfId="3952" xr:uid="{00000000-0005-0000-0000-0000BC0E0000}"/>
    <cellStyle name="C￥AØ_5-1±¤°i _상각_●분석적검토 4" xfId="3953" xr:uid="{00000000-0005-0000-0000-0000BD0E0000}"/>
    <cellStyle name="Ç¥ÁØ_5-1±¤°í _상각_●분석적검토 4" xfId="3954" xr:uid="{00000000-0005-0000-0000-0000BE0E0000}"/>
    <cellStyle name="C￥AØ_5-1±¤°i _상각_●분석적검토 5" xfId="3955" xr:uid="{00000000-0005-0000-0000-0000BF0E0000}"/>
    <cellStyle name="Ç¥ÁØ_5-1±¤°í _상각_●분석적검토 5" xfId="3956" xr:uid="{00000000-0005-0000-0000-0000C00E0000}"/>
    <cellStyle name="C￥AØ_5-1±¤°i _상각_●분석적검토 6" xfId="3957" xr:uid="{00000000-0005-0000-0000-0000C10E0000}"/>
    <cellStyle name="Ç¥ÁØ_5-1±¤°í _상각_●분석적검토 6" xfId="3958" xr:uid="{00000000-0005-0000-0000-0000C20E0000}"/>
    <cellStyle name="C￥AØ_5-1±¤°i _상각_●분석적검토 7" xfId="3959" xr:uid="{00000000-0005-0000-0000-0000C30E0000}"/>
    <cellStyle name="Ç¥ÁØ_5-1±¤°í _상각_●분석적검토 7" xfId="3960" xr:uid="{00000000-0005-0000-0000-0000C40E0000}"/>
    <cellStyle name="C￥AØ_5-1±¤°i _상각_●분석적검토 8" xfId="3961" xr:uid="{00000000-0005-0000-0000-0000C50E0000}"/>
    <cellStyle name="Ç¥ÁØ_5-1±¤°í _상각_●분석적검토 8" xfId="3962" xr:uid="{00000000-0005-0000-0000-0000C60E0000}"/>
    <cellStyle name="C￥AØ_5-1±¤°i _상각_●분석적검토 9" xfId="3963" xr:uid="{00000000-0005-0000-0000-0000C70E0000}"/>
    <cellStyle name="Ç¥ÁØ_5-1±¤°í _상각_●분석적검토 9" xfId="3964" xr:uid="{00000000-0005-0000-0000-0000C80E0000}"/>
    <cellStyle name="C￥AØ_5-1±¤°i _상각_★★3월결산전표내역정리" xfId="3965" xr:uid="{00000000-0005-0000-0000-0000C90E0000}"/>
    <cellStyle name="Ç¥ÁØ_5-1±¤°í _상각_★★3월결산전표내역정리" xfId="3966" xr:uid="{00000000-0005-0000-0000-0000CA0E0000}"/>
    <cellStyle name="C￥AØ_5-1±¤°i _상각_★★3월결산전표내역정리 2" xfId="3967" xr:uid="{00000000-0005-0000-0000-0000CB0E0000}"/>
    <cellStyle name="Ç¥ÁØ_5-1±¤°í _상각_★★3월결산전표내역정리 2" xfId="3968" xr:uid="{00000000-0005-0000-0000-0000CC0E0000}"/>
    <cellStyle name="C￥AØ_5-1±¤°i _상각_★★3월결산전표내역정리 2 2" xfId="3969" xr:uid="{00000000-0005-0000-0000-0000CD0E0000}"/>
    <cellStyle name="Ç¥ÁØ_5-1±¤°í _상각_★★3월결산전표내역정리 3" xfId="3970" xr:uid="{00000000-0005-0000-0000-0000CE0E0000}"/>
    <cellStyle name="C￥AØ_5-1±¤°i _상각_★★3월결산전표내역정리 4" xfId="3971" xr:uid="{00000000-0005-0000-0000-0000CF0E0000}"/>
    <cellStyle name="Ç¥ÁØ_5-1±¤°í _상각_★★3월결산전표내역정리 4" xfId="3972" xr:uid="{00000000-0005-0000-0000-0000D00E0000}"/>
    <cellStyle name="C￥AØ_5-1±¤°i _상각_★★3월결산전표내역정리 5" xfId="3973" xr:uid="{00000000-0005-0000-0000-0000D10E0000}"/>
    <cellStyle name="Ç¥ÁØ_5-1±¤°í _상각_★★3월결산전표내역정리 5" xfId="3974" xr:uid="{00000000-0005-0000-0000-0000D20E0000}"/>
    <cellStyle name="C￥AØ_5-1±¤°i _상각_★★3월결산전표내역정리 6" xfId="3975" xr:uid="{00000000-0005-0000-0000-0000D30E0000}"/>
    <cellStyle name="Ç¥ÁØ_5-1±¤°í _상각_★★3월결산전표내역정리 6" xfId="3976" xr:uid="{00000000-0005-0000-0000-0000D40E0000}"/>
    <cellStyle name="C￥AØ_5-1±¤°i _상각_★★3월결산전표내역정리 7" xfId="3977" xr:uid="{00000000-0005-0000-0000-0000D50E0000}"/>
    <cellStyle name="Ç¥ÁØ_5-1±¤°í _상각_★★3월결산전표내역정리 7" xfId="3978" xr:uid="{00000000-0005-0000-0000-0000D60E0000}"/>
    <cellStyle name="C￥AØ_5-1±¤°i _상각_★2004년6월BS(최종)" xfId="3979" xr:uid="{00000000-0005-0000-0000-0000D70E0000}"/>
    <cellStyle name="Ç¥ÁØ_5-1±¤°í _상각_★2004년6월BS(최종)" xfId="3980" xr:uid="{00000000-0005-0000-0000-0000D80E0000}"/>
    <cellStyle name="C￥AØ_5-1±¤°i _상각_★2004년6월BS(최종) 2" xfId="3981" xr:uid="{00000000-0005-0000-0000-0000D90E0000}"/>
    <cellStyle name="Ç¥ÁØ_5-1±¤°í _상각_★2004년8월BS계정비교" xfId="3982" xr:uid="{00000000-0005-0000-0000-0000DA0E0000}"/>
    <cellStyle name="C￥AØ_5-1±¤°i _상각_★2004년8월BS계정비교 10" xfId="3983" xr:uid="{00000000-0005-0000-0000-0000DB0E0000}"/>
    <cellStyle name="Ç¥ÁØ_5-1±¤°í _상각_★3년3월BS계정비교" xfId="3984" xr:uid="{00000000-0005-0000-0000-0000DC0E0000}"/>
    <cellStyle name="C￥AØ_5-1±¤°i _상각_★3년3월BS계정비교 10" xfId="3985" xr:uid="{00000000-0005-0000-0000-0000DD0E0000}"/>
    <cellStyle name="Ç¥ÁØ_5-1±¤°í _상각_14분기BS계정" xfId="3986" xr:uid="{00000000-0005-0000-0000-0000DE0E0000}"/>
    <cellStyle name="C￥AØ_5-1±¤°i _상각_14분기BS계정 10" xfId="3987" xr:uid="{00000000-0005-0000-0000-0000DF0E0000}"/>
    <cellStyle name="Ç¥ÁØ_5-1±¤°í _상각_14손익" xfId="3988" xr:uid="{00000000-0005-0000-0000-0000E00E0000}"/>
    <cellStyle name="C￥AØ_5-1±¤°i _상각_14손익 10" xfId="3989" xr:uid="{00000000-0005-0000-0000-0000E10E0000}"/>
    <cellStyle name="Ç¥ÁØ_5-1±¤°í _상각_14손익 10" xfId="3990" xr:uid="{00000000-0005-0000-0000-0000E20E0000}"/>
    <cellStyle name="C￥AØ_5-1±¤°i _상각_14손익 11" xfId="3991" xr:uid="{00000000-0005-0000-0000-0000E30E0000}"/>
    <cellStyle name="Ç¥ÁØ_5-1±¤°í _상각_14손익 11" xfId="3992" xr:uid="{00000000-0005-0000-0000-0000E40E0000}"/>
    <cellStyle name="C￥AØ_5-1±¤°i _상각_14손익 12" xfId="3993" xr:uid="{00000000-0005-0000-0000-0000E50E0000}"/>
    <cellStyle name="Ç¥ÁØ_5-1±¤°í _상각_14손익 12" xfId="3994" xr:uid="{00000000-0005-0000-0000-0000E60E0000}"/>
    <cellStyle name="C￥AØ_5-1±¤°i _상각_14손익 13" xfId="3995" xr:uid="{00000000-0005-0000-0000-0000E70E0000}"/>
    <cellStyle name="Ç¥ÁØ_5-1±¤°í _상각_14손익 13" xfId="3996" xr:uid="{00000000-0005-0000-0000-0000E80E0000}"/>
    <cellStyle name="C￥AØ_5-1±¤°i _상각_14손익 14" xfId="3997" xr:uid="{00000000-0005-0000-0000-0000E90E0000}"/>
    <cellStyle name="Ç¥ÁØ_5-1±¤°í _상각_14손익 14" xfId="3998" xr:uid="{00000000-0005-0000-0000-0000EA0E0000}"/>
    <cellStyle name="C￥AØ_5-1±¤°i _상각_14손익 15" xfId="3999" xr:uid="{00000000-0005-0000-0000-0000EB0E0000}"/>
    <cellStyle name="Ç¥ÁØ_5-1±¤°í _상각_14손익 15" xfId="4000" xr:uid="{00000000-0005-0000-0000-0000EC0E0000}"/>
    <cellStyle name="C￥AØ_5-1±¤°i _상각_14손익 2" xfId="4001" xr:uid="{00000000-0005-0000-0000-0000ED0E0000}"/>
    <cellStyle name="Ç¥ÁØ_5-1±¤°í _상각_14손익 2" xfId="4002" xr:uid="{00000000-0005-0000-0000-0000EE0E0000}"/>
    <cellStyle name="C￥AØ_5-1±¤°i _상각_14손익 2 2" xfId="4003" xr:uid="{00000000-0005-0000-0000-0000EF0E0000}"/>
    <cellStyle name="Ç¥ÁØ_5-1±¤°í _상각_14손익 3" xfId="4004" xr:uid="{00000000-0005-0000-0000-0000F00E0000}"/>
    <cellStyle name="C￥AØ_5-1±¤°i _상각_14손익 4" xfId="4005" xr:uid="{00000000-0005-0000-0000-0000F10E0000}"/>
    <cellStyle name="Ç¥ÁØ_5-1±¤°í _상각_14손익 4" xfId="4006" xr:uid="{00000000-0005-0000-0000-0000F20E0000}"/>
    <cellStyle name="C￥AØ_5-1±¤°i _상각_14손익 5" xfId="4007" xr:uid="{00000000-0005-0000-0000-0000F30E0000}"/>
    <cellStyle name="Ç¥ÁØ_5-1±¤°í _상각_14손익 5" xfId="4008" xr:uid="{00000000-0005-0000-0000-0000F40E0000}"/>
    <cellStyle name="C￥AØ_5-1±¤°i _상각_14손익 6" xfId="4009" xr:uid="{00000000-0005-0000-0000-0000F50E0000}"/>
    <cellStyle name="Ç¥ÁØ_5-1±¤°í _상각_14손익 6" xfId="4010" xr:uid="{00000000-0005-0000-0000-0000F60E0000}"/>
    <cellStyle name="C￥AØ_5-1±¤°i _상각_14손익 7" xfId="4011" xr:uid="{00000000-0005-0000-0000-0000F70E0000}"/>
    <cellStyle name="Ç¥ÁØ_5-1±¤°í _상각_14손익 7" xfId="4012" xr:uid="{00000000-0005-0000-0000-0000F80E0000}"/>
    <cellStyle name="C￥AØ_5-1±¤°i _상각_14손익 8" xfId="4013" xr:uid="{00000000-0005-0000-0000-0000F90E0000}"/>
    <cellStyle name="Ç¥ÁØ_5-1±¤°í _상각_14손익 8" xfId="4014" xr:uid="{00000000-0005-0000-0000-0000FA0E0000}"/>
    <cellStyle name="C￥AØ_5-1±¤°i _상각_14손익 9" xfId="4015" xr:uid="{00000000-0005-0000-0000-0000FB0E0000}"/>
    <cellStyle name="Ç¥ÁØ_5-1±¤°í _상각_14손익 9" xfId="4016" xr:uid="{00000000-0005-0000-0000-0000FC0E0000}"/>
    <cellStyle name="C￥AØ_5-1±¤°i _상각_6투자자산" xfId="4017" xr:uid="{00000000-0005-0000-0000-0000FD0E0000}"/>
    <cellStyle name="Ç¥ÁØ_5-1±¤°í _상각_6투자자산" xfId="4018" xr:uid="{00000000-0005-0000-0000-0000FE0E0000}"/>
    <cellStyle name="C￥AØ_5-1±¤°i _상각_6투자자산 2" xfId="4019" xr:uid="{00000000-0005-0000-0000-0000FF0E0000}"/>
    <cellStyle name="Ç¥ÁØ_5-1±¤°í _상각_6투자자산 2" xfId="4020" xr:uid="{00000000-0005-0000-0000-0000000F0000}"/>
    <cellStyle name="C￥AØ_5-1±¤°i _상각_6투자자산 2 2" xfId="4021" xr:uid="{00000000-0005-0000-0000-0000010F0000}"/>
    <cellStyle name="Ç¥ÁØ_5-1±¤°í _상각_6투자자산 3" xfId="4022" xr:uid="{00000000-0005-0000-0000-0000020F0000}"/>
    <cellStyle name="C￥AØ_5-1±¤°i _상각_6투자자산 4" xfId="4023" xr:uid="{00000000-0005-0000-0000-0000030F0000}"/>
    <cellStyle name="Ç¥ÁØ_5-1±¤°í _상각_6투자자산 4" xfId="4024" xr:uid="{00000000-0005-0000-0000-0000040F0000}"/>
    <cellStyle name="C￥AØ_5-1±¤°i _상각_6투자자산 5" xfId="4025" xr:uid="{00000000-0005-0000-0000-0000050F0000}"/>
    <cellStyle name="Ç¥ÁØ_5-1±¤°í _상각_6투자자산 5" xfId="4026" xr:uid="{00000000-0005-0000-0000-0000060F0000}"/>
    <cellStyle name="C￥AØ_5-1±¤°i _상각_6투자자산 6" xfId="4027" xr:uid="{00000000-0005-0000-0000-0000070F0000}"/>
    <cellStyle name="Ç¥ÁØ_5-1±¤°í _상각_6투자자산 6" xfId="4028" xr:uid="{00000000-0005-0000-0000-0000080F0000}"/>
    <cellStyle name="C￥AØ_5-1±¤°i _상각_6투자자산 7" xfId="4029" xr:uid="{00000000-0005-0000-0000-0000090F0000}"/>
    <cellStyle name="Ç¥ÁØ_5-1±¤°í _상각_6투자자산 7" xfId="4030" xr:uid="{00000000-0005-0000-0000-00000A0F0000}"/>
    <cellStyle name="C￥AØ_5-1±¤°i _상각_7월BS계정비교" xfId="4031" xr:uid="{00000000-0005-0000-0000-00000B0F0000}"/>
    <cellStyle name="Ç¥ÁØ_5-1±¤°í _상각_7월BS계정비교" xfId="4032" xr:uid="{00000000-0005-0000-0000-00000C0F0000}"/>
    <cellStyle name="C￥AØ_5-1±¤°i _상각_7월BS계정비교 2" xfId="4033" xr:uid="{00000000-0005-0000-0000-00000D0F0000}"/>
    <cellStyle name="Ç¥ÁØ_5-1±¤°í _상각_감사후관리사항" xfId="4034" xr:uid="{00000000-0005-0000-0000-00000E0F0000}"/>
    <cellStyle name="C￥AØ_5-1±¤°i _상각_감사후관리사항 10" xfId="4035" xr:uid="{00000000-0005-0000-0000-00000F0F0000}"/>
    <cellStyle name="Ç¥ÁØ_5-1±¤°í _상각_기준서요약" xfId="4036" xr:uid="{00000000-0005-0000-0000-0000100F0000}"/>
    <cellStyle name="C￥AØ_5-1±¤°i _상각_기준서요약 10" xfId="4037" xr:uid="{00000000-0005-0000-0000-0000110F0000}"/>
    <cellStyle name="Ç¥ÁØ_5-1±¤°í _상각_기준서요약 10" xfId="4038" xr:uid="{00000000-0005-0000-0000-0000120F0000}"/>
    <cellStyle name="C￥AØ_5-1±¤°i _상각_기준서요약 11" xfId="4039" xr:uid="{00000000-0005-0000-0000-0000130F0000}"/>
    <cellStyle name="Ç¥ÁØ_5-1±¤°í _상각_기준서요약 11" xfId="4040" xr:uid="{00000000-0005-0000-0000-0000140F0000}"/>
    <cellStyle name="C￥AØ_5-1±¤°i _상각_기준서요약 12" xfId="4041" xr:uid="{00000000-0005-0000-0000-0000150F0000}"/>
    <cellStyle name="Ç¥ÁØ_5-1±¤°í _상각_기준서요약 12" xfId="4042" xr:uid="{00000000-0005-0000-0000-0000160F0000}"/>
    <cellStyle name="C￥AØ_5-1±¤°i _상각_기준서요약 13" xfId="4043" xr:uid="{00000000-0005-0000-0000-0000170F0000}"/>
    <cellStyle name="Ç¥ÁØ_5-1±¤°í _상각_기준서요약 13" xfId="4044" xr:uid="{00000000-0005-0000-0000-0000180F0000}"/>
    <cellStyle name="C￥AØ_5-1±¤°i _상각_기준서요약 14" xfId="4045" xr:uid="{00000000-0005-0000-0000-0000190F0000}"/>
    <cellStyle name="Ç¥ÁØ_5-1±¤°í _상각_기준서요약 14" xfId="4046" xr:uid="{00000000-0005-0000-0000-00001A0F0000}"/>
    <cellStyle name="C￥AØ_5-1±¤°i _상각_기준서요약 15" xfId="4047" xr:uid="{00000000-0005-0000-0000-00001B0F0000}"/>
    <cellStyle name="Ç¥ÁØ_5-1±¤°í _상각_기준서요약 15" xfId="4048" xr:uid="{00000000-0005-0000-0000-00001C0F0000}"/>
    <cellStyle name="C￥AØ_5-1±¤°i _상각_기준서요약 2" xfId="4049" xr:uid="{00000000-0005-0000-0000-00001D0F0000}"/>
    <cellStyle name="Ç¥ÁØ_5-1±¤°í _상각_기준서요약 2" xfId="4050" xr:uid="{00000000-0005-0000-0000-00001E0F0000}"/>
    <cellStyle name="C￥AØ_5-1±¤°i _상각_기준서요약 2 2" xfId="4051" xr:uid="{00000000-0005-0000-0000-00001F0F0000}"/>
    <cellStyle name="Ç¥ÁØ_5-1±¤°í _상각_기준서요약 3" xfId="4052" xr:uid="{00000000-0005-0000-0000-0000200F0000}"/>
    <cellStyle name="C￥AØ_5-1±¤°i _상각_기준서요약 4" xfId="4053" xr:uid="{00000000-0005-0000-0000-0000210F0000}"/>
    <cellStyle name="Ç¥ÁØ_5-1±¤°í _상각_기준서요약 4" xfId="4054" xr:uid="{00000000-0005-0000-0000-0000220F0000}"/>
    <cellStyle name="C￥AØ_5-1±¤°i _상각_기준서요약 5" xfId="4055" xr:uid="{00000000-0005-0000-0000-0000230F0000}"/>
    <cellStyle name="Ç¥ÁØ_5-1±¤°í _상각_기준서요약 5" xfId="4056" xr:uid="{00000000-0005-0000-0000-0000240F0000}"/>
    <cellStyle name="C￥AØ_5-1±¤°i _상각_기준서요약 6" xfId="4057" xr:uid="{00000000-0005-0000-0000-0000250F0000}"/>
    <cellStyle name="Ç¥ÁØ_5-1±¤°í _상각_기준서요약 6" xfId="4058" xr:uid="{00000000-0005-0000-0000-0000260F0000}"/>
    <cellStyle name="C￥AØ_5-1±¤°i _상각_기준서요약 7" xfId="4059" xr:uid="{00000000-0005-0000-0000-0000270F0000}"/>
    <cellStyle name="Ç¥ÁØ_5-1±¤°í _상각_기준서요약 7" xfId="4060" xr:uid="{00000000-0005-0000-0000-0000280F0000}"/>
    <cellStyle name="C￥AØ_5-1±¤°i _상각_기준서요약 8" xfId="4061" xr:uid="{00000000-0005-0000-0000-0000290F0000}"/>
    <cellStyle name="Ç¥ÁØ_5-1±¤°í _상각_기준서요약 8" xfId="4062" xr:uid="{00000000-0005-0000-0000-00002A0F0000}"/>
    <cellStyle name="C￥AØ_5-1±¤°i _상각_기준서요약 9" xfId="4063" xr:uid="{00000000-0005-0000-0000-00002B0F0000}"/>
    <cellStyle name="Ç¥ÁØ_5-1±¤°í _상각_기준서요약 9" xfId="4064" xr:uid="{00000000-0005-0000-0000-00002C0F0000}"/>
    <cellStyle name="C￥AØ_5-1±¤°i _상각_당좌자산" xfId="4065" xr:uid="{00000000-0005-0000-0000-00002D0F0000}"/>
    <cellStyle name="Ç¥ÁØ_5-1±¤°í _상각_당좌자산" xfId="4066" xr:uid="{00000000-0005-0000-0000-00002E0F0000}"/>
    <cellStyle name="C￥AØ_5-1±¤°i _상각_당좌자산 2" xfId="4067" xr:uid="{00000000-0005-0000-0000-00002F0F0000}"/>
    <cellStyle name="Ç¥ÁØ_5-1±¤°í _상각_대손충당금(정호)" xfId="4068" xr:uid="{00000000-0005-0000-0000-0000300F0000}"/>
    <cellStyle name="C￥AØ_5-1±¤°i _상각_대손충당금(정호) 10" xfId="4069" xr:uid="{00000000-0005-0000-0000-0000310F0000}"/>
    <cellStyle name="Ç¥ÁØ_5-1±¤°í _상각_대손충당금(정호) 10" xfId="4070" xr:uid="{00000000-0005-0000-0000-0000320F0000}"/>
    <cellStyle name="C￥AØ_5-1±¤°i _상각_대손충당금(정호) 11" xfId="4071" xr:uid="{00000000-0005-0000-0000-0000330F0000}"/>
    <cellStyle name="Ç¥ÁØ_5-1±¤°í _상각_대손충당금(정호) 11" xfId="4072" xr:uid="{00000000-0005-0000-0000-0000340F0000}"/>
    <cellStyle name="C￥AØ_5-1±¤°i _상각_대손충당금(정호) 12" xfId="4073" xr:uid="{00000000-0005-0000-0000-0000350F0000}"/>
    <cellStyle name="Ç¥ÁØ_5-1±¤°í _상각_대손충당금(정호) 12" xfId="4074" xr:uid="{00000000-0005-0000-0000-0000360F0000}"/>
    <cellStyle name="C￥AØ_5-1±¤°i _상각_대손충당금(정호) 13" xfId="4075" xr:uid="{00000000-0005-0000-0000-0000370F0000}"/>
    <cellStyle name="Ç¥ÁØ_5-1±¤°í _상각_대손충당금(정호) 13" xfId="4076" xr:uid="{00000000-0005-0000-0000-0000380F0000}"/>
    <cellStyle name="C￥AØ_5-1±¤°i _상각_대손충당금(정호) 14" xfId="4077" xr:uid="{00000000-0005-0000-0000-0000390F0000}"/>
    <cellStyle name="Ç¥ÁØ_5-1±¤°í _상각_대손충당금(정호) 14" xfId="4078" xr:uid="{00000000-0005-0000-0000-00003A0F0000}"/>
    <cellStyle name="C￥AØ_5-1±¤°i _상각_대손충당금(정호) 15" xfId="4079" xr:uid="{00000000-0005-0000-0000-00003B0F0000}"/>
    <cellStyle name="Ç¥ÁØ_5-1±¤°í _상각_대손충당금(정호) 15" xfId="4080" xr:uid="{00000000-0005-0000-0000-00003C0F0000}"/>
    <cellStyle name="C￥AØ_5-1±¤°i _상각_대손충당금(정호) 2" xfId="4081" xr:uid="{00000000-0005-0000-0000-00003D0F0000}"/>
    <cellStyle name="Ç¥ÁØ_5-1±¤°í _상각_대손충당금(정호) 2" xfId="4082" xr:uid="{00000000-0005-0000-0000-00003E0F0000}"/>
    <cellStyle name="C￥AØ_5-1±¤°i _상각_대손충당금(정호) 2 2" xfId="4083" xr:uid="{00000000-0005-0000-0000-00003F0F0000}"/>
    <cellStyle name="Ç¥ÁØ_5-1±¤°í _상각_대손충당금(정호) 3" xfId="4084" xr:uid="{00000000-0005-0000-0000-0000400F0000}"/>
    <cellStyle name="C￥AØ_5-1±¤°i _상각_대손충당금(정호) 4" xfId="4085" xr:uid="{00000000-0005-0000-0000-0000410F0000}"/>
    <cellStyle name="Ç¥ÁØ_5-1±¤°í _상각_대손충당금(정호) 4" xfId="4086" xr:uid="{00000000-0005-0000-0000-0000420F0000}"/>
    <cellStyle name="C￥AØ_5-1±¤°i _상각_대손충당금(정호) 5" xfId="4087" xr:uid="{00000000-0005-0000-0000-0000430F0000}"/>
    <cellStyle name="Ç¥ÁØ_5-1±¤°í _상각_대손충당금(정호) 5" xfId="4088" xr:uid="{00000000-0005-0000-0000-0000440F0000}"/>
    <cellStyle name="C￥AØ_5-1±¤°i _상각_대손충당금(정호) 6" xfId="4089" xr:uid="{00000000-0005-0000-0000-0000450F0000}"/>
    <cellStyle name="Ç¥ÁØ_5-1±¤°í _상각_대손충당금(정호) 6" xfId="4090" xr:uid="{00000000-0005-0000-0000-0000460F0000}"/>
    <cellStyle name="C￥AØ_5-1±¤°i _상각_대손충당금(정호) 7" xfId="4091" xr:uid="{00000000-0005-0000-0000-0000470F0000}"/>
    <cellStyle name="Ç¥ÁØ_5-1±¤°í _상각_대손충당금(정호) 7" xfId="4092" xr:uid="{00000000-0005-0000-0000-0000480F0000}"/>
    <cellStyle name="C￥AØ_5-1±¤°i _상각_대손충당금(정호) 8" xfId="4093" xr:uid="{00000000-0005-0000-0000-0000490F0000}"/>
    <cellStyle name="Ç¥ÁØ_5-1±¤°í _상각_대손충당금(정호) 8" xfId="4094" xr:uid="{00000000-0005-0000-0000-00004A0F0000}"/>
    <cellStyle name="C￥AØ_5-1±¤°i _상각_대손충당금(정호) 9" xfId="4095" xr:uid="{00000000-0005-0000-0000-00004B0F0000}"/>
    <cellStyle name="Ç¥ÁØ_5-1±¤°í _상각_대손충당금(정호) 9" xfId="4096" xr:uid="{00000000-0005-0000-0000-00004C0F0000}"/>
    <cellStyle name="C￥AØ_5-1±¤°i _상각_반기" xfId="4097" xr:uid="{00000000-0005-0000-0000-00004D0F0000}"/>
    <cellStyle name="Ç¥ÁØ_5-1±¤°í _상각_반기" xfId="4098" xr:uid="{00000000-0005-0000-0000-00004E0F0000}"/>
    <cellStyle name="C￥AØ_5-1±¤°i _상각_반기 2" xfId="4099" xr:uid="{00000000-0005-0000-0000-00004F0F0000}"/>
    <cellStyle name="Ç¥ÁØ_5-1±¤°í _상각_반기 2" xfId="4100" xr:uid="{00000000-0005-0000-0000-0000500F0000}"/>
    <cellStyle name="C￥AØ_5-1±¤°i _상각_반기 2 2" xfId="4101" xr:uid="{00000000-0005-0000-0000-0000510F0000}"/>
    <cellStyle name="Ç¥ÁØ_5-1±¤°í _상각_반기 3" xfId="4102" xr:uid="{00000000-0005-0000-0000-0000520F0000}"/>
    <cellStyle name="C￥AØ_5-1±¤°i _상각_반기 4" xfId="4103" xr:uid="{00000000-0005-0000-0000-0000530F0000}"/>
    <cellStyle name="Ç¥ÁØ_5-1±¤°í _상각_반기 4" xfId="4104" xr:uid="{00000000-0005-0000-0000-0000540F0000}"/>
    <cellStyle name="C￥AØ_5-1±¤°i _상각_반기 5" xfId="4105" xr:uid="{00000000-0005-0000-0000-0000550F0000}"/>
    <cellStyle name="Ç¥ÁØ_5-1±¤°í _상각_반기 5" xfId="4106" xr:uid="{00000000-0005-0000-0000-0000560F0000}"/>
    <cellStyle name="C￥AØ_5-1±¤°i _상각_반기 6" xfId="4107" xr:uid="{00000000-0005-0000-0000-0000570F0000}"/>
    <cellStyle name="Ç¥ÁØ_5-1±¤°í _상각_반기 6" xfId="4108" xr:uid="{00000000-0005-0000-0000-0000580F0000}"/>
    <cellStyle name="C￥AØ_5-1±¤°i _상각_반기 7" xfId="4109" xr:uid="{00000000-0005-0000-0000-0000590F0000}"/>
    <cellStyle name="Ç¥ÁØ_5-1±¤°í _상각_반기 7" xfId="4110" xr:uid="{00000000-0005-0000-0000-00005A0F0000}"/>
    <cellStyle name="C￥AØ_5-1±¤°i _상각_사본 - 6월BS계정비교-200385-2003812" xfId="4111" xr:uid="{00000000-0005-0000-0000-00005B0F0000}"/>
    <cellStyle name="Ç¥ÁØ_5-1±¤°í _상각_사본 - 6월BS계정비교-200385-2003812" xfId="4112" xr:uid="{00000000-0005-0000-0000-00005C0F0000}"/>
    <cellStyle name="C￥AØ_5-1±¤°i _상각_사본 - 6월BS계정비교-200385-2003812 2" xfId="4113" xr:uid="{00000000-0005-0000-0000-00005D0F0000}"/>
    <cellStyle name="Ç¥ÁØ_5-1±¤°í _상각_수정사항집계표" xfId="4114" xr:uid="{00000000-0005-0000-0000-00005E0F0000}"/>
    <cellStyle name="C￥AØ_5-1±¤°i _상각_수정사항집계표 10" xfId="4115" xr:uid="{00000000-0005-0000-0000-00005F0F0000}"/>
    <cellStyle name="Ç¥ÁØ_5-1±¤°í _상각_제시손익(02,03)" xfId="4116" xr:uid="{00000000-0005-0000-0000-0000600F0000}"/>
    <cellStyle name="C￥AØ_5-1±¤°i _상각_제시손익(02,03) 10" xfId="4117" xr:uid="{00000000-0005-0000-0000-0000610F0000}"/>
    <cellStyle name="Ç¥ÁØ_5-1±¤°í _상각_제시손익(02,03) 10" xfId="4118" xr:uid="{00000000-0005-0000-0000-0000620F0000}"/>
    <cellStyle name="C￥AØ_5-1±¤°i _상각_제시손익(02,03) 11" xfId="4119" xr:uid="{00000000-0005-0000-0000-0000630F0000}"/>
    <cellStyle name="Ç¥ÁØ_5-1±¤°í _상각_제시손익(02,03) 11" xfId="4120" xr:uid="{00000000-0005-0000-0000-0000640F0000}"/>
    <cellStyle name="C￥AØ_5-1±¤°i _상각_제시손익(02,03) 12" xfId="4121" xr:uid="{00000000-0005-0000-0000-0000650F0000}"/>
    <cellStyle name="Ç¥ÁØ_5-1±¤°í _상각_제시손익(02,03) 12" xfId="4122" xr:uid="{00000000-0005-0000-0000-0000660F0000}"/>
    <cellStyle name="C￥AØ_5-1±¤°i _상각_제시손익(02,03) 13" xfId="4123" xr:uid="{00000000-0005-0000-0000-0000670F0000}"/>
    <cellStyle name="Ç¥ÁØ_5-1±¤°í _상각_제시손익(02,03) 13" xfId="4124" xr:uid="{00000000-0005-0000-0000-0000680F0000}"/>
    <cellStyle name="C￥AØ_5-1±¤°i _상각_제시손익(02,03) 14" xfId="4125" xr:uid="{00000000-0005-0000-0000-0000690F0000}"/>
    <cellStyle name="Ç¥ÁØ_5-1±¤°í _상각_제시손익(02,03) 14" xfId="4126" xr:uid="{00000000-0005-0000-0000-00006A0F0000}"/>
    <cellStyle name="C￥AØ_5-1±¤°i _상각_제시손익(02,03) 15" xfId="4127" xr:uid="{00000000-0005-0000-0000-00006B0F0000}"/>
    <cellStyle name="Ç¥ÁØ_5-1±¤°í _상각_제시손익(02,03) 15" xfId="4128" xr:uid="{00000000-0005-0000-0000-00006C0F0000}"/>
    <cellStyle name="C￥AØ_5-1±¤°i _상각_제시손익(02,03) 2" xfId="4129" xr:uid="{00000000-0005-0000-0000-00006D0F0000}"/>
    <cellStyle name="Ç¥ÁØ_5-1±¤°í _상각_제시손익(02,03) 2" xfId="4130" xr:uid="{00000000-0005-0000-0000-00006E0F0000}"/>
    <cellStyle name="C￥AØ_5-1±¤°i _상각_제시손익(02,03) 2 2" xfId="4131" xr:uid="{00000000-0005-0000-0000-00006F0F0000}"/>
    <cellStyle name="Ç¥ÁØ_5-1±¤°í _상각_제시손익(02,03) 3" xfId="4132" xr:uid="{00000000-0005-0000-0000-0000700F0000}"/>
    <cellStyle name="C￥AØ_5-1±¤°i _상각_제시손익(02,03) 4" xfId="4133" xr:uid="{00000000-0005-0000-0000-0000710F0000}"/>
    <cellStyle name="Ç¥ÁØ_5-1±¤°í _상각_제시손익(02,03) 4" xfId="4134" xr:uid="{00000000-0005-0000-0000-0000720F0000}"/>
    <cellStyle name="C￥AØ_5-1±¤°i _상각_제시손익(02,03) 5" xfId="4135" xr:uid="{00000000-0005-0000-0000-0000730F0000}"/>
    <cellStyle name="Ç¥ÁØ_5-1±¤°í _상각_제시손익(02,03) 5" xfId="4136" xr:uid="{00000000-0005-0000-0000-0000740F0000}"/>
    <cellStyle name="C￥AØ_5-1±¤°i _상각_제시손익(02,03) 6" xfId="4137" xr:uid="{00000000-0005-0000-0000-0000750F0000}"/>
    <cellStyle name="Ç¥ÁØ_5-1±¤°í _상각_제시손익(02,03) 6" xfId="4138" xr:uid="{00000000-0005-0000-0000-0000760F0000}"/>
    <cellStyle name="C￥AØ_5-1±¤°i _상각_제시손익(02,03) 7" xfId="4139" xr:uid="{00000000-0005-0000-0000-0000770F0000}"/>
    <cellStyle name="Ç¥ÁØ_5-1±¤°í _상각_제시손익(02,03) 7" xfId="4140" xr:uid="{00000000-0005-0000-0000-0000780F0000}"/>
    <cellStyle name="C￥AØ_5-1±¤°i _상각_제시손익(02,03) 8" xfId="4141" xr:uid="{00000000-0005-0000-0000-0000790F0000}"/>
    <cellStyle name="Ç¥ÁØ_5-1±¤°í _상각_제시손익(02,03) 8" xfId="4142" xr:uid="{00000000-0005-0000-0000-00007A0F0000}"/>
    <cellStyle name="C￥AØ_5-1±¤°i _상각_제시손익(02,03) 9" xfId="4143" xr:uid="{00000000-0005-0000-0000-00007B0F0000}"/>
    <cellStyle name="Ç¥ÁØ_5-1±¤°í _상각_제시손익(02,03) 9" xfId="4144" xr:uid="{00000000-0005-0000-0000-00007C0F0000}"/>
    <cellStyle name="C￥AØ_5-1±¤°i _상각_차입금증감" xfId="4145" xr:uid="{00000000-0005-0000-0000-00007D0F0000}"/>
    <cellStyle name="Ç¥ÁØ_5-1±¤°í _상각_차입금증감" xfId="4146" xr:uid="{00000000-0005-0000-0000-00007E0F0000}"/>
    <cellStyle name="C￥AØ_5-1±¤°i _상각_차입금증감 2" xfId="4147" xr:uid="{00000000-0005-0000-0000-00007F0F0000}"/>
    <cellStyle name="Ç¥ÁØ_5-1±¤°í _상각_차입금증감 2" xfId="4148" xr:uid="{00000000-0005-0000-0000-0000800F0000}"/>
    <cellStyle name="C￥AØ_5-1±¤°i _상각_차입금증감 2 2" xfId="4149" xr:uid="{00000000-0005-0000-0000-0000810F0000}"/>
    <cellStyle name="Ç¥ÁØ_5-1±¤°í _상각_차입금증감 3" xfId="4150" xr:uid="{00000000-0005-0000-0000-0000820F0000}"/>
    <cellStyle name="C￥AØ_5-1±¤°i _상각_차입금증감 4" xfId="4151" xr:uid="{00000000-0005-0000-0000-0000830F0000}"/>
    <cellStyle name="Ç¥ÁØ_5-1±¤°í _상각_차입금증감 4" xfId="4152" xr:uid="{00000000-0005-0000-0000-0000840F0000}"/>
    <cellStyle name="C￥AØ_5-1±¤°i _상각_차입금증감 5" xfId="4153" xr:uid="{00000000-0005-0000-0000-0000850F0000}"/>
    <cellStyle name="Ç¥ÁØ_5-1±¤°í _상각_차입금증감 5" xfId="4154" xr:uid="{00000000-0005-0000-0000-0000860F0000}"/>
    <cellStyle name="C￥AØ_5-1±¤°i _상각_차입금증감 6" xfId="4155" xr:uid="{00000000-0005-0000-0000-0000870F0000}"/>
    <cellStyle name="Ç¥ÁØ_5-1±¤°í _상각_차입금증감 6" xfId="4156" xr:uid="{00000000-0005-0000-0000-0000880F0000}"/>
    <cellStyle name="C￥AØ_5-1±¤°i _상각_차입금증감 7" xfId="4157" xr:uid="{00000000-0005-0000-0000-0000890F0000}"/>
    <cellStyle name="Ç¥ÁØ_5-1±¤°í _상각_차입금증감 7" xfId="4158" xr:uid="{00000000-0005-0000-0000-00008A0F0000}"/>
    <cellStyle name="C￥AØ_5-1±¤°i _상각_후순위채내역" xfId="4159" xr:uid="{00000000-0005-0000-0000-00008B0F0000}"/>
    <cellStyle name="Ç¥ÁØ_5-1±¤°í _상각_후순위채내역" xfId="4160" xr:uid="{00000000-0005-0000-0000-00008C0F0000}"/>
    <cellStyle name="C￥AØ_5-1±¤°i _상각_후순위채내역 2" xfId="4161" xr:uid="{00000000-0005-0000-0000-00008D0F0000}"/>
    <cellStyle name="Ç¥ÁØ_5-1±¤°í _상각_후순위채내역 2" xfId="4162" xr:uid="{00000000-0005-0000-0000-00008E0F0000}"/>
    <cellStyle name="C￥AØ_5-1±¤°i _상각_후순위채내역 2 2" xfId="4163" xr:uid="{00000000-0005-0000-0000-00008F0F0000}"/>
    <cellStyle name="Ç¥ÁØ_5-1±¤°í _상각_후순위채내역 3" xfId="4164" xr:uid="{00000000-0005-0000-0000-0000900F0000}"/>
    <cellStyle name="C￥AØ_5-1±¤°i _상각_후순위채내역 4" xfId="4165" xr:uid="{00000000-0005-0000-0000-0000910F0000}"/>
    <cellStyle name="Ç¥ÁØ_5-1±¤°í _상각_후순위채내역 4" xfId="4166" xr:uid="{00000000-0005-0000-0000-0000920F0000}"/>
    <cellStyle name="C￥AØ_5-1±¤°i _상각_후순위채내역 5" xfId="4167" xr:uid="{00000000-0005-0000-0000-0000930F0000}"/>
    <cellStyle name="Ç¥ÁØ_5-1±¤°í _상각_후순위채내역 5" xfId="4168" xr:uid="{00000000-0005-0000-0000-0000940F0000}"/>
    <cellStyle name="C￥AØ_5-1±¤°i _상각_후순위채내역 6" xfId="4169" xr:uid="{00000000-0005-0000-0000-0000950F0000}"/>
    <cellStyle name="Ç¥ÁØ_5-1±¤°í _상각_후순위채내역 6" xfId="4170" xr:uid="{00000000-0005-0000-0000-0000960F0000}"/>
    <cellStyle name="C￥AØ_5-1±¤°i _상각_후순위채내역 7" xfId="4171" xr:uid="{00000000-0005-0000-0000-0000970F0000}"/>
    <cellStyle name="Ç¥ÁØ_5-1±¤°í _상각_후순위채내역 7" xfId="4172" xr:uid="{00000000-0005-0000-0000-0000980F0000}"/>
    <cellStyle name="C￥AØ_5-1±¤°i _상반기현할차(장기성채권)" xfId="4173" xr:uid="{00000000-0005-0000-0000-0000990F0000}"/>
    <cellStyle name="Ç¥ÁØ_5-1±¤°í _상반기현할차(장기성채권)" xfId="4174" xr:uid="{00000000-0005-0000-0000-00009A0F0000}"/>
    <cellStyle name="C￥AØ_5-1±¤°i _상반기현할차(장기성채권) 2" xfId="4175" xr:uid="{00000000-0005-0000-0000-00009B0F0000}"/>
    <cellStyle name="Ç¥ÁØ_5-1±¤°í _상반기현할차(장기성채권) 2" xfId="4176" xr:uid="{00000000-0005-0000-0000-00009C0F0000}"/>
    <cellStyle name="C￥AØ_5-1±¤°i _상반기현할차(장기성채권) 2 2" xfId="4177" xr:uid="{00000000-0005-0000-0000-00009D0F0000}"/>
    <cellStyle name="Ç¥ÁØ_5-1±¤°í _상반기현할차(장기성채권) 3" xfId="4178" xr:uid="{00000000-0005-0000-0000-00009E0F0000}"/>
    <cellStyle name="C￥AØ_5-1±¤°i _상반기현할차(장기성채권) 4" xfId="4179" xr:uid="{00000000-0005-0000-0000-00009F0F0000}"/>
    <cellStyle name="Ç¥ÁØ_5-1±¤°í _상반기현할차(장기성채권) 4" xfId="4180" xr:uid="{00000000-0005-0000-0000-0000A00F0000}"/>
    <cellStyle name="C￥AØ_5-1±¤°i _상반기현할차(장기성채권) 5" xfId="4181" xr:uid="{00000000-0005-0000-0000-0000A10F0000}"/>
    <cellStyle name="Ç¥ÁØ_5-1±¤°í _상반기현할차(장기성채권) 5" xfId="4182" xr:uid="{00000000-0005-0000-0000-0000A20F0000}"/>
    <cellStyle name="C￥AØ_5-1±¤°i _상반기현할차(장기성채권) 6" xfId="4183" xr:uid="{00000000-0005-0000-0000-0000A30F0000}"/>
    <cellStyle name="Ç¥ÁØ_5-1±¤°í _상반기현할차(장기성채권) 6" xfId="4184" xr:uid="{00000000-0005-0000-0000-0000A40F0000}"/>
    <cellStyle name="C￥AØ_5-1±¤°i _상반기현할차(장기성채권) 7" xfId="4185" xr:uid="{00000000-0005-0000-0000-0000A50F0000}"/>
    <cellStyle name="Ç¥ÁØ_5-1±¤°í _상반기현할차(장기성채권) 7" xfId="4186" xr:uid="{00000000-0005-0000-0000-0000A60F0000}"/>
    <cellStyle name="C￥AØ_5-1±¤°i _손익첨부자료" xfId="4187" xr:uid="{00000000-0005-0000-0000-0000A70F0000}"/>
    <cellStyle name="Ç¥ÁØ_5-1±¤°í _손익첨부자료" xfId="4188" xr:uid="{00000000-0005-0000-0000-0000A80F0000}"/>
    <cellStyle name="C￥AØ_5-1±¤°i _손익첨부자료 2" xfId="4189" xr:uid="{00000000-0005-0000-0000-0000A90F0000}"/>
    <cellStyle name="Ç¥ÁØ_5-1±¤°í _순천공장, 투자계획안(3차조정안)" xfId="4190" xr:uid="{00000000-0005-0000-0000-0000AA0F0000}"/>
    <cellStyle name="C￥AØ_5-1±¤°i _순천공장, 투자계획안(3차조정안) 10" xfId="4191" xr:uid="{00000000-0005-0000-0000-0000AB0F0000}"/>
    <cellStyle name="Ç¥ÁØ_5-1±¤°í _순천공장, 투자계획안(3차조정안)_투자계획" xfId="4192" xr:uid="{00000000-0005-0000-0000-0000AC0F0000}"/>
    <cellStyle name="C￥AØ_5-1±¤°i _순천공장, 투자계획안(3차조정안)_투자계획 10" xfId="4193" xr:uid="{00000000-0005-0000-0000-0000AD0F0000}"/>
    <cellStyle name="Ç¥ÁØ_5-1±¤°í _용준대손검토(장기성)" xfId="4194" xr:uid="{00000000-0005-0000-0000-0000AE0F0000}"/>
    <cellStyle name="C￥AØ_5-1±¤°i _용준대손검토(장기성) 10" xfId="4195" xr:uid="{00000000-0005-0000-0000-0000AF0F0000}"/>
    <cellStyle name="Ç¥ÁØ_5-1±¤°í _이월" xfId="4196" xr:uid="{00000000-0005-0000-0000-0000B00F0000}"/>
    <cellStyle name="C￥AØ_5-1±¤°i _이월 10" xfId="4197" xr:uid="{00000000-0005-0000-0000-0000B10F0000}"/>
    <cellStyle name="Ç¥ÁØ_5-1±¤°í _현재가치(1~4분기)" xfId="4198" xr:uid="{00000000-0005-0000-0000-0000B20F0000}"/>
    <cellStyle name="C￥AØ_5-1±¤°i _현재가치(1~4분기) 10" xfId="4199" xr:uid="{00000000-0005-0000-0000-0000B30F0000}"/>
    <cellStyle name="Ç¥ÁØ_5-1±¤°í _현재가치(1~4분기) 10" xfId="4200" xr:uid="{00000000-0005-0000-0000-0000B40F0000}"/>
    <cellStyle name="C￥AØ_5-1±¤°i _현재가치(1~4분기) 11" xfId="4201" xr:uid="{00000000-0005-0000-0000-0000B50F0000}"/>
    <cellStyle name="Ç¥ÁØ_5-1±¤°í _현재가치(1~4분기) 11" xfId="4202" xr:uid="{00000000-0005-0000-0000-0000B60F0000}"/>
    <cellStyle name="C￥AØ_5-1±¤°i _현재가치(1~4분기) 12" xfId="4203" xr:uid="{00000000-0005-0000-0000-0000B70F0000}"/>
    <cellStyle name="Ç¥ÁØ_5-1±¤°í _현재가치(1~4분기) 12" xfId="4204" xr:uid="{00000000-0005-0000-0000-0000B80F0000}"/>
    <cellStyle name="C￥AØ_5-1±¤°i _현재가치(1~4분기) 13" xfId="4205" xr:uid="{00000000-0005-0000-0000-0000B90F0000}"/>
    <cellStyle name="Ç¥ÁØ_5-1±¤°í _현재가치(1~4분기) 13" xfId="4206" xr:uid="{00000000-0005-0000-0000-0000BA0F0000}"/>
    <cellStyle name="C￥AØ_5-1±¤°i _현재가치(1~4분기) 14" xfId="4207" xr:uid="{00000000-0005-0000-0000-0000BB0F0000}"/>
    <cellStyle name="Ç¥ÁØ_5-1±¤°í _현재가치(1~4분기) 14" xfId="4208" xr:uid="{00000000-0005-0000-0000-0000BC0F0000}"/>
    <cellStyle name="C￥AØ_5-1±¤°i _현재가치(1~4분기) 15" xfId="4209" xr:uid="{00000000-0005-0000-0000-0000BD0F0000}"/>
    <cellStyle name="Ç¥ÁØ_5-1±¤°í _현재가치(1~4분기) 15" xfId="4210" xr:uid="{00000000-0005-0000-0000-0000BE0F0000}"/>
    <cellStyle name="C￥AØ_5-1±¤°i _현재가치(1~4분기) 2" xfId="4211" xr:uid="{00000000-0005-0000-0000-0000BF0F0000}"/>
    <cellStyle name="Ç¥ÁØ_5-1±¤°í _현재가치(1~4분기) 2" xfId="4212" xr:uid="{00000000-0005-0000-0000-0000C00F0000}"/>
    <cellStyle name="C￥AØ_5-1±¤°i _현재가치(1~4분기) 2 2" xfId="4213" xr:uid="{00000000-0005-0000-0000-0000C10F0000}"/>
    <cellStyle name="Ç¥ÁØ_5-1±¤°í _현재가치(1~4분기) 3" xfId="4214" xr:uid="{00000000-0005-0000-0000-0000C20F0000}"/>
    <cellStyle name="C￥AØ_5-1±¤°i _현재가치(1~4분기) 4" xfId="4215" xr:uid="{00000000-0005-0000-0000-0000C30F0000}"/>
    <cellStyle name="Ç¥ÁØ_5-1±¤°í _현재가치(1~4분기) 4" xfId="4216" xr:uid="{00000000-0005-0000-0000-0000C40F0000}"/>
    <cellStyle name="C￥AØ_5-1±¤°i _현재가치(1~4분기) 5" xfId="4217" xr:uid="{00000000-0005-0000-0000-0000C50F0000}"/>
    <cellStyle name="Ç¥ÁØ_5-1±¤°í _현재가치(1~4분기) 5" xfId="4218" xr:uid="{00000000-0005-0000-0000-0000C60F0000}"/>
    <cellStyle name="C￥AØ_5-1±¤°i _현재가치(1~4분기) 6" xfId="4219" xr:uid="{00000000-0005-0000-0000-0000C70F0000}"/>
    <cellStyle name="Ç¥ÁØ_5-1±¤°í _현재가치(1~4분기) 6" xfId="4220" xr:uid="{00000000-0005-0000-0000-0000C80F0000}"/>
    <cellStyle name="C￥AØ_5-1±¤°i _현재가치(1~4분기) 7" xfId="4221" xr:uid="{00000000-0005-0000-0000-0000C90F0000}"/>
    <cellStyle name="Ç¥ÁØ_5-1±¤°í _현재가치(1~4분기) 7" xfId="4222" xr:uid="{00000000-0005-0000-0000-0000CA0F0000}"/>
    <cellStyle name="C￥AØ_5-1±¤°i _현재가치(1~4분기) 8" xfId="4223" xr:uid="{00000000-0005-0000-0000-0000CB0F0000}"/>
    <cellStyle name="Ç¥ÁØ_5-1±¤°í _현재가치(1~4분기) 8" xfId="4224" xr:uid="{00000000-0005-0000-0000-0000CC0F0000}"/>
    <cellStyle name="C￥AØ_5-1±¤°i _현재가치(1~4분기) 9" xfId="4225" xr:uid="{00000000-0005-0000-0000-0000CD0F0000}"/>
    <cellStyle name="Ç¥ÁØ_5-1±¤°í _현재가치(1~4분기) 9" xfId="4226" xr:uid="{00000000-0005-0000-0000-0000CE0F0000}"/>
    <cellStyle name="C￥AØ_97°i°u´e≫o" xfId="4227" xr:uid="{00000000-0005-0000-0000-0000CF0F0000}"/>
    <cellStyle name="Ç¥ÁØ_Å¸»çºÐ_³»ºÎ°èÈ¹´ë ÃßÁ¤Â÷ÀÌ " xfId="4228" xr:uid="{00000000-0005-0000-0000-0000D00F0000}"/>
    <cellStyle name="C￥AØ_A¸≫cºÐ_³≫ºI°eE¹´e AßA¤A÷AI " xfId="4229" xr:uid="{00000000-0005-0000-0000-0000D10F0000}"/>
    <cellStyle name="Ç¥ÁØ_Àç°í°ü¸® " xfId="4230" xr:uid="{00000000-0005-0000-0000-0000D20F0000}"/>
    <cellStyle name="C￥AØ_Ay°eC￥(2¿u) _●aBS계정비교" xfId="4231" xr:uid="{00000000-0005-0000-0000-0000D30F0000}"/>
    <cellStyle name="Ç¥ÁØ_Áý°èÇ¥(2¿ù) _●aBS계정비교" xfId="4232" xr:uid="{00000000-0005-0000-0000-0000D40F0000}"/>
    <cellStyle name="C￥AØ_Ay°eC￥(2¿u) _●aBS계정비교 10" xfId="4233" xr:uid="{00000000-0005-0000-0000-0000D50F0000}"/>
    <cellStyle name="Ç¥ÁØ_Áý°èÇ¥(2¿ù) _○보고완3분기" xfId="4234" xr:uid="{00000000-0005-0000-0000-0000D60F0000}"/>
    <cellStyle name="C￥AØ_Ay°eC￥(2¿u) _○보고완3분기 10" xfId="4235" xr:uid="{00000000-0005-0000-0000-0000D70F0000}"/>
    <cellStyle name="Ç¥ÁØ_Áý°èÇ¥(2¿ù) _○보고완3분기 10" xfId="4236" xr:uid="{00000000-0005-0000-0000-0000D80F0000}"/>
    <cellStyle name="C￥AØ_Ay°eC￥(2¿u) _○보고완3분기 11" xfId="4237" xr:uid="{00000000-0005-0000-0000-0000D90F0000}"/>
    <cellStyle name="Ç¥ÁØ_Áý°èÇ¥(2¿ù) _○보고완3분기 11" xfId="4238" xr:uid="{00000000-0005-0000-0000-0000DA0F0000}"/>
    <cellStyle name="C￥AØ_Ay°eC￥(2¿u) _○보고완3분기 12" xfId="4239" xr:uid="{00000000-0005-0000-0000-0000DB0F0000}"/>
    <cellStyle name="Ç¥ÁØ_Áý°èÇ¥(2¿ù) _○보고완3분기 12" xfId="4240" xr:uid="{00000000-0005-0000-0000-0000DC0F0000}"/>
    <cellStyle name="C￥AØ_Ay°eC￥(2¿u) _○보고완3분기 13" xfId="4241" xr:uid="{00000000-0005-0000-0000-0000DD0F0000}"/>
    <cellStyle name="Ç¥ÁØ_Áý°èÇ¥(2¿ù) _○보고완3분기 13" xfId="4242" xr:uid="{00000000-0005-0000-0000-0000DE0F0000}"/>
    <cellStyle name="C￥AØ_Ay°eC￥(2¿u) _○보고완3분기 14" xfId="4243" xr:uid="{00000000-0005-0000-0000-0000DF0F0000}"/>
    <cellStyle name="Ç¥ÁØ_Áý°èÇ¥(2¿ù) _○보고완3분기 14" xfId="4244" xr:uid="{00000000-0005-0000-0000-0000E00F0000}"/>
    <cellStyle name="C￥AØ_Ay°eC￥(2¿u) _○보고완3분기 15" xfId="4245" xr:uid="{00000000-0005-0000-0000-0000E10F0000}"/>
    <cellStyle name="Ç¥ÁØ_Áý°èÇ¥(2¿ù) _○보고완3분기 15" xfId="4246" xr:uid="{00000000-0005-0000-0000-0000E20F0000}"/>
    <cellStyle name="C￥AØ_Ay°eC￥(2¿u) _○보고완3분기 2" xfId="4247" xr:uid="{00000000-0005-0000-0000-0000E30F0000}"/>
    <cellStyle name="Ç¥ÁØ_Áý°èÇ¥(2¿ù) _○보고완3분기 2" xfId="4248" xr:uid="{00000000-0005-0000-0000-0000E40F0000}"/>
    <cellStyle name="C￥AØ_Ay°eC￥(2¿u) _○보고완3분기 2 2" xfId="4249" xr:uid="{00000000-0005-0000-0000-0000E50F0000}"/>
    <cellStyle name="Ç¥ÁØ_Áý°èÇ¥(2¿ù) _○보고완3분기 3" xfId="4250" xr:uid="{00000000-0005-0000-0000-0000E60F0000}"/>
    <cellStyle name="C￥AØ_Ay°eC￥(2¿u) _○보고완3분기 4" xfId="4251" xr:uid="{00000000-0005-0000-0000-0000E70F0000}"/>
    <cellStyle name="Ç¥ÁØ_Áý°èÇ¥(2¿ù) _○보고완3분기 4" xfId="4252" xr:uid="{00000000-0005-0000-0000-0000E80F0000}"/>
    <cellStyle name="C￥AØ_Ay°eC￥(2¿u) _○보고완3분기 5" xfId="4253" xr:uid="{00000000-0005-0000-0000-0000E90F0000}"/>
    <cellStyle name="Ç¥ÁØ_Áý°èÇ¥(2¿ù) _○보고완3분기 5" xfId="4254" xr:uid="{00000000-0005-0000-0000-0000EA0F0000}"/>
    <cellStyle name="C￥AØ_Ay°eC￥(2¿u) _○보고완3분기 6" xfId="4255" xr:uid="{00000000-0005-0000-0000-0000EB0F0000}"/>
    <cellStyle name="Ç¥ÁØ_Áý°èÇ¥(2¿ù) _○보고완3분기 6" xfId="4256" xr:uid="{00000000-0005-0000-0000-0000EC0F0000}"/>
    <cellStyle name="C￥AØ_Ay°eC￥(2¿u) _○보고완3분기 7" xfId="4257" xr:uid="{00000000-0005-0000-0000-0000ED0F0000}"/>
    <cellStyle name="Ç¥ÁØ_Áý°èÇ¥(2¿ù) _○보고완3분기 7" xfId="4258" xr:uid="{00000000-0005-0000-0000-0000EE0F0000}"/>
    <cellStyle name="C￥AØ_Ay°eC￥(2¿u) _○보고완3분기 8" xfId="4259" xr:uid="{00000000-0005-0000-0000-0000EF0F0000}"/>
    <cellStyle name="Ç¥ÁØ_Áý°èÇ¥(2¿ù) _○보고완3분기 8" xfId="4260" xr:uid="{00000000-0005-0000-0000-0000F00F0000}"/>
    <cellStyle name="C￥AØ_Ay°eC￥(2¿u) _○보고완3분기 9" xfId="4261" xr:uid="{00000000-0005-0000-0000-0000F10F0000}"/>
    <cellStyle name="Ç¥ÁØ_Áý°èÇ¥(2¿ù) _○보고완3분기 9" xfId="4262" xr:uid="{00000000-0005-0000-0000-0000F20F0000}"/>
    <cellStyle name="C￥AØ_Ay°eC￥(2¿u) _○보고완3분기_당좌자산" xfId="4263" xr:uid="{00000000-0005-0000-0000-0000F30F0000}"/>
    <cellStyle name="Ç¥ÁØ_Áý°èÇ¥(2¿ù) _○보고완3분기_당좌자산" xfId="4264" xr:uid="{00000000-0005-0000-0000-0000F40F0000}"/>
    <cellStyle name="C￥AØ_Ay°eC￥(2¿u) _○보고완3분기_당좌자산 2" xfId="4265" xr:uid="{00000000-0005-0000-0000-0000F50F0000}"/>
    <cellStyle name="Ç¥ÁØ_Áý°èÇ¥(2¿ù) _02.12.대손세액xls" xfId="4266" xr:uid="{00000000-0005-0000-0000-0000F60F0000}"/>
    <cellStyle name="C￥AØ_Ay°eC￥(2¿u) _02.12.대손세액xls 10" xfId="4267" xr:uid="{00000000-0005-0000-0000-0000F70F0000}"/>
    <cellStyle name="Ç¥ÁØ_Áý°èÇ¥(2¿ù) _34대손충당금완" xfId="4268" xr:uid="{00000000-0005-0000-0000-0000F80F0000}"/>
    <cellStyle name="C￥AØ_Ay°eC￥(2¿u) _34대손충당금완 10" xfId="4269" xr:uid="{00000000-0005-0000-0000-0000F90F0000}"/>
    <cellStyle name="Ç¥ÁØ_Áý°èÇ¥(2¿ù) _34대손충당금완 10" xfId="4270" xr:uid="{00000000-0005-0000-0000-0000FA0F0000}"/>
    <cellStyle name="C￥AØ_Ay°eC￥(2¿u) _34대손충당금완 11" xfId="4271" xr:uid="{00000000-0005-0000-0000-0000FB0F0000}"/>
    <cellStyle name="Ç¥ÁØ_Áý°èÇ¥(2¿ù) _34대손충당금완 11" xfId="4272" xr:uid="{00000000-0005-0000-0000-0000FC0F0000}"/>
    <cellStyle name="C￥AØ_Ay°eC￥(2¿u) _34대손충당금완 12" xfId="4273" xr:uid="{00000000-0005-0000-0000-0000FD0F0000}"/>
    <cellStyle name="Ç¥ÁØ_Áý°èÇ¥(2¿ù) _34대손충당금완 12" xfId="4274" xr:uid="{00000000-0005-0000-0000-0000FE0F0000}"/>
    <cellStyle name="C￥AØ_Ay°eC￥(2¿u) _34대손충당금완 13" xfId="4275" xr:uid="{00000000-0005-0000-0000-0000FF0F0000}"/>
    <cellStyle name="Ç¥ÁØ_Áý°èÇ¥(2¿ù) _34대손충당금완 13" xfId="4276" xr:uid="{00000000-0005-0000-0000-000000100000}"/>
    <cellStyle name="C￥AØ_Ay°eC￥(2¿u) _34대손충당금완 14" xfId="4277" xr:uid="{00000000-0005-0000-0000-000001100000}"/>
    <cellStyle name="Ç¥ÁØ_Áý°èÇ¥(2¿ù) _34대손충당금완 14" xfId="4278" xr:uid="{00000000-0005-0000-0000-000002100000}"/>
    <cellStyle name="C￥AØ_Ay°eC￥(2¿u) _34대손충당금완 15" xfId="4279" xr:uid="{00000000-0005-0000-0000-000003100000}"/>
    <cellStyle name="Ç¥ÁØ_Áý°èÇ¥(2¿ù) _34대손충당금완 15" xfId="4280" xr:uid="{00000000-0005-0000-0000-000004100000}"/>
    <cellStyle name="C￥AØ_Ay°eC￥(2¿u) _34대손충당금완 2" xfId="4281" xr:uid="{00000000-0005-0000-0000-000005100000}"/>
    <cellStyle name="Ç¥ÁØ_Áý°èÇ¥(2¿ù) _34대손충당금완 2" xfId="4282" xr:uid="{00000000-0005-0000-0000-000006100000}"/>
    <cellStyle name="C￥AØ_Ay°eC￥(2¿u) _34대손충당금완 2 2" xfId="4283" xr:uid="{00000000-0005-0000-0000-000007100000}"/>
    <cellStyle name="Ç¥ÁØ_Áý°èÇ¥(2¿ù) _34대손충당금완 3" xfId="4284" xr:uid="{00000000-0005-0000-0000-000008100000}"/>
    <cellStyle name="C￥AØ_Ay°eC￥(2¿u) _34대손충당금완 4" xfId="4285" xr:uid="{00000000-0005-0000-0000-000009100000}"/>
    <cellStyle name="Ç¥ÁØ_Áý°èÇ¥(2¿ù) _34대손충당금완 4" xfId="4286" xr:uid="{00000000-0005-0000-0000-00000A100000}"/>
    <cellStyle name="C￥AØ_Ay°eC￥(2¿u) _34대손충당금완 5" xfId="4287" xr:uid="{00000000-0005-0000-0000-00000B100000}"/>
    <cellStyle name="Ç¥ÁØ_Áý°èÇ¥(2¿ù) _34대손충당금완 5" xfId="4288" xr:uid="{00000000-0005-0000-0000-00000C100000}"/>
    <cellStyle name="C￥AØ_Ay°eC￥(2¿u) _34대손충당금완 6" xfId="4289" xr:uid="{00000000-0005-0000-0000-00000D100000}"/>
    <cellStyle name="Ç¥ÁØ_Áý°èÇ¥(2¿ù) _34대손충당금완 6" xfId="4290" xr:uid="{00000000-0005-0000-0000-00000E100000}"/>
    <cellStyle name="C￥AØ_Ay°eC￥(2¿u) _34대손충당금완 7" xfId="4291" xr:uid="{00000000-0005-0000-0000-00000F100000}"/>
    <cellStyle name="Ç¥ÁØ_Áý°èÇ¥(2¿ù) _34대손충당금완 7" xfId="4292" xr:uid="{00000000-0005-0000-0000-000010100000}"/>
    <cellStyle name="C￥AØ_Ay°eC￥(2¿u) _34대손충당금완 8" xfId="4293" xr:uid="{00000000-0005-0000-0000-000011100000}"/>
    <cellStyle name="Ç¥ÁØ_Áý°èÇ¥(2¿ù) _34대손충당금완 8" xfId="4294" xr:uid="{00000000-0005-0000-0000-000012100000}"/>
    <cellStyle name="C￥AØ_Ay°eC￥(2¿u) _34대손충당금완 9" xfId="4295" xr:uid="{00000000-0005-0000-0000-000013100000}"/>
    <cellStyle name="Ç¥ÁØ_Áý°èÇ¥(2¿ù) _34대손충당금완 9" xfId="4296" xr:uid="{00000000-0005-0000-0000-000014100000}"/>
    <cellStyle name="C￥AØ_Ay°eC￥(2¿u) _34대손충당금완_당좌자산" xfId="4297" xr:uid="{00000000-0005-0000-0000-000015100000}"/>
    <cellStyle name="Ç¥ÁØ_Áý°èÇ¥(2¿ù) _34대손충당금완_당좌자산" xfId="4298" xr:uid="{00000000-0005-0000-0000-000016100000}"/>
    <cellStyle name="C￥AØ_Ay°eC￥(2¿u) _34대손충당금완_당좌자산 2" xfId="4299" xr:uid="{00000000-0005-0000-0000-000017100000}"/>
    <cellStyle name="Ç¥ÁØ_Áý°èÇ¥(2¿ù) _34현할차(장기성채권)" xfId="4300" xr:uid="{00000000-0005-0000-0000-000018100000}"/>
    <cellStyle name="C￥AØ_Ay°eC￥(2¿u) _34현할차(장기성채권) 10" xfId="4301" xr:uid="{00000000-0005-0000-0000-000019100000}"/>
    <cellStyle name="Ç¥ÁØ_Áý°èÇ¥(2¿ù) _34현할차(장기성채권) 10" xfId="4302" xr:uid="{00000000-0005-0000-0000-00001A100000}"/>
    <cellStyle name="C￥AØ_Ay°eC￥(2¿u) _34현할차(장기성채권) 11" xfId="4303" xr:uid="{00000000-0005-0000-0000-00001B100000}"/>
    <cellStyle name="Ç¥ÁØ_Áý°èÇ¥(2¿ù) _34현할차(장기성채권) 11" xfId="4304" xr:uid="{00000000-0005-0000-0000-00001C100000}"/>
    <cellStyle name="C￥AØ_Ay°eC￥(2¿u) _34현할차(장기성채권) 12" xfId="4305" xr:uid="{00000000-0005-0000-0000-00001D100000}"/>
    <cellStyle name="Ç¥ÁØ_Áý°èÇ¥(2¿ù) _34현할차(장기성채권) 12" xfId="4306" xr:uid="{00000000-0005-0000-0000-00001E100000}"/>
    <cellStyle name="C￥AØ_Ay°eC￥(2¿u) _34현할차(장기성채권) 13" xfId="4307" xr:uid="{00000000-0005-0000-0000-00001F100000}"/>
    <cellStyle name="Ç¥ÁØ_Áý°èÇ¥(2¿ù) _34현할차(장기성채권) 13" xfId="4308" xr:uid="{00000000-0005-0000-0000-000020100000}"/>
    <cellStyle name="C￥AØ_Ay°eC￥(2¿u) _34현할차(장기성채권) 14" xfId="4309" xr:uid="{00000000-0005-0000-0000-000021100000}"/>
    <cellStyle name="Ç¥ÁØ_Áý°èÇ¥(2¿ù) _34현할차(장기성채권) 14" xfId="4310" xr:uid="{00000000-0005-0000-0000-000022100000}"/>
    <cellStyle name="C￥AØ_Ay°eC￥(2¿u) _34현할차(장기성채권) 15" xfId="4311" xr:uid="{00000000-0005-0000-0000-000023100000}"/>
    <cellStyle name="Ç¥ÁØ_Áý°èÇ¥(2¿ù) _34현할차(장기성채권) 15" xfId="4312" xr:uid="{00000000-0005-0000-0000-000024100000}"/>
    <cellStyle name="C￥AØ_Ay°eC￥(2¿u) _34현할차(장기성채권) 2" xfId="4313" xr:uid="{00000000-0005-0000-0000-000025100000}"/>
    <cellStyle name="Ç¥ÁØ_Áý°èÇ¥(2¿ù) _34현할차(장기성채권) 2" xfId="4314" xr:uid="{00000000-0005-0000-0000-000026100000}"/>
    <cellStyle name="C￥AØ_Ay°eC￥(2¿u) _34현할차(장기성채권) 2 2" xfId="4315" xr:uid="{00000000-0005-0000-0000-000027100000}"/>
    <cellStyle name="Ç¥ÁØ_Áý°èÇ¥(2¿ù) _34현할차(장기성채권) 3" xfId="4316" xr:uid="{00000000-0005-0000-0000-000028100000}"/>
    <cellStyle name="C￥AØ_Ay°eC￥(2¿u) _34현할차(장기성채권) 4" xfId="4317" xr:uid="{00000000-0005-0000-0000-000029100000}"/>
    <cellStyle name="Ç¥ÁØ_Áý°èÇ¥(2¿ù) _34현할차(장기성채권) 4" xfId="4318" xr:uid="{00000000-0005-0000-0000-00002A100000}"/>
    <cellStyle name="C￥AØ_Ay°eC￥(2¿u) _34현할차(장기성채권) 5" xfId="4319" xr:uid="{00000000-0005-0000-0000-00002B100000}"/>
    <cellStyle name="Ç¥ÁØ_Áý°èÇ¥(2¿ù) _34현할차(장기성채권) 5" xfId="4320" xr:uid="{00000000-0005-0000-0000-00002C100000}"/>
    <cellStyle name="C￥AØ_Ay°eC￥(2¿u) _34현할차(장기성채권) 6" xfId="4321" xr:uid="{00000000-0005-0000-0000-00002D100000}"/>
    <cellStyle name="Ç¥ÁØ_Áý°èÇ¥(2¿ù) _34현할차(장기성채권) 6" xfId="4322" xr:uid="{00000000-0005-0000-0000-00002E100000}"/>
    <cellStyle name="C￥AØ_Ay°eC￥(2¿u) _34현할차(장기성채권) 7" xfId="4323" xr:uid="{00000000-0005-0000-0000-00002F100000}"/>
    <cellStyle name="Ç¥ÁØ_Áý°èÇ¥(2¿ù) _34현할차(장기성채권) 7" xfId="4324" xr:uid="{00000000-0005-0000-0000-000030100000}"/>
    <cellStyle name="C￥AØ_Ay°eC￥(2¿u) _34현할차(장기성채권) 8" xfId="4325" xr:uid="{00000000-0005-0000-0000-000031100000}"/>
    <cellStyle name="Ç¥ÁØ_Áý°èÇ¥(2¿ù) _34현할차(장기성채권) 8" xfId="4326" xr:uid="{00000000-0005-0000-0000-000032100000}"/>
    <cellStyle name="C￥AØ_Ay°eC￥(2¿u) _34현할차(장기성채권) 9" xfId="4327" xr:uid="{00000000-0005-0000-0000-000033100000}"/>
    <cellStyle name="Ç¥ÁØ_Áý°èÇ¥(2¿ù) _34현할차(장기성채권) 9" xfId="4328" xr:uid="{00000000-0005-0000-0000-000034100000}"/>
    <cellStyle name="C￥AØ_Ay°eC￥(2¿u) _44현할차(장기성채권)" xfId="4329" xr:uid="{00000000-0005-0000-0000-000035100000}"/>
    <cellStyle name="Ç¥ÁØ_Áý°èÇ¥(2¿ù) _44현할차(장기성채권)" xfId="4330" xr:uid="{00000000-0005-0000-0000-000036100000}"/>
    <cellStyle name="C￥AØ_Ay°eC￥(2¿u) _44현할차(장기성채권) 2" xfId="4331" xr:uid="{00000000-0005-0000-0000-000037100000}"/>
    <cellStyle name="Ç¥ÁØ_Áý°èÇ¥(2¿ù) _44현할차(장기성채권) 2" xfId="4332" xr:uid="{00000000-0005-0000-0000-000038100000}"/>
    <cellStyle name="C￥AØ_Ay°eC￥(2¿u) _44현할차(장기성채권) 2 2" xfId="4333" xr:uid="{00000000-0005-0000-0000-000039100000}"/>
    <cellStyle name="Ç¥ÁØ_Áý°èÇ¥(2¿ù) _44현할차(장기성채권) 3" xfId="4334" xr:uid="{00000000-0005-0000-0000-00003A100000}"/>
    <cellStyle name="C￥AØ_Ay°eC￥(2¿u) _44현할차(장기성채권) 4" xfId="4335" xr:uid="{00000000-0005-0000-0000-00003B100000}"/>
    <cellStyle name="Ç¥ÁØ_Áý°èÇ¥(2¿ù) _44현할차(장기성채권) 4" xfId="4336" xr:uid="{00000000-0005-0000-0000-00003C100000}"/>
    <cellStyle name="C￥AØ_Ay°eC￥(2¿u) _44현할차(장기성채권) 5" xfId="4337" xr:uid="{00000000-0005-0000-0000-00003D100000}"/>
    <cellStyle name="Ç¥ÁØ_Áý°èÇ¥(2¿ù) _44현할차(장기성채권) 5" xfId="4338" xr:uid="{00000000-0005-0000-0000-00003E100000}"/>
    <cellStyle name="C￥AØ_Ay°eC￥(2¿u) _44현할차(장기성채권) 6" xfId="4339" xr:uid="{00000000-0005-0000-0000-00003F100000}"/>
    <cellStyle name="Ç¥ÁØ_Áý°èÇ¥(2¿ù) _44현할차(장기성채권) 6" xfId="4340" xr:uid="{00000000-0005-0000-0000-000040100000}"/>
    <cellStyle name="C￥AØ_Ay°eC￥(2¿u) _44현할차(장기성채권) 7" xfId="4341" xr:uid="{00000000-0005-0000-0000-000041100000}"/>
    <cellStyle name="Ç¥ÁØ_Áý°èÇ¥(2¿ù) _44현할차(장기성채권) 7" xfId="4342" xr:uid="{00000000-0005-0000-0000-000042100000}"/>
    <cellStyle name="C￥AØ_Ay°eC￥(2¿u) _결산보고-2003120" xfId="4343" xr:uid="{00000000-0005-0000-0000-000043100000}"/>
    <cellStyle name="Ç¥ÁØ_Áý°èÇ¥(2¿ù) _결산보고-2003120" xfId="4344" xr:uid="{00000000-0005-0000-0000-000044100000}"/>
    <cellStyle name="C￥AØ_Ay°eC￥(2¿u) _결산보고-2003120 2" xfId="4345" xr:uid="{00000000-0005-0000-0000-000045100000}"/>
    <cellStyle name="Ç¥ÁØ_Áý°èÇ¥(2¿ù) _결산보고-2003120 2" xfId="4346" xr:uid="{00000000-0005-0000-0000-000046100000}"/>
    <cellStyle name="C￥AØ_Ay°eC￥(2¿u) _결산보고-2003120 2 2" xfId="4347" xr:uid="{00000000-0005-0000-0000-000047100000}"/>
    <cellStyle name="Ç¥ÁØ_Áý°èÇ¥(2¿ù) _결산보고-2003120 3" xfId="4348" xr:uid="{00000000-0005-0000-0000-000048100000}"/>
    <cellStyle name="C￥AØ_Ay°eC￥(2¿u) _결산보고-2003120 4" xfId="4349" xr:uid="{00000000-0005-0000-0000-000049100000}"/>
    <cellStyle name="Ç¥ÁØ_Áý°èÇ¥(2¿ù) _결산보고-2003120 4" xfId="4350" xr:uid="{00000000-0005-0000-0000-00004A100000}"/>
    <cellStyle name="C￥AØ_Ay°eC￥(2¿u) _결산보고-2003120 5" xfId="4351" xr:uid="{00000000-0005-0000-0000-00004B100000}"/>
    <cellStyle name="Ç¥ÁØ_Áý°èÇ¥(2¿ù) _결산보고-2003120 5" xfId="4352" xr:uid="{00000000-0005-0000-0000-00004C100000}"/>
    <cellStyle name="C￥AØ_Ay°eC￥(2¿u) _결산보고-2003120 6" xfId="4353" xr:uid="{00000000-0005-0000-0000-00004D100000}"/>
    <cellStyle name="Ç¥ÁØ_Áý°èÇ¥(2¿ù) _결산보고-2003120 6" xfId="4354" xr:uid="{00000000-0005-0000-0000-00004E100000}"/>
    <cellStyle name="C￥AØ_Ay°eC￥(2¿u) _결산보고-2003120 7" xfId="4355" xr:uid="{00000000-0005-0000-0000-00004F100000}"/>
    <cellStyle name="Ç¥ÁØ_Áý°èÇ¥(2¿ù) _결산보고-2003120 7" xfId="4356" xr:uid="{00000000-0005-0000-0000-000050100000}"/>
    <cellStyle name="C￥AØ_Ay°eC￥(2¿u) _결산송부(감사후)" xfId="4357" xr:uid="{00000000-0005-0000-0000-000051100000}"/>
    <cellStyle name="Ç¥ÁØ_Áý°èÇ¥(2¿ù) _결산송부(감사후)" xfId="4358" xr:uid="{00000000-0005-0000-0000-000052100000}"/>
    <cellStyle name="C￥AØ_Ay°eC￥(2¿u) _결산송부(감사후) 2" xfId="4359" xr:uid="{00000000-0005-0000-0000-000053100000}"/>
    <cellStyle name="Ç¥ÁØ_Áý°èÇ¥(2¿ù) _결산송부(감사후) 2" xfId="4360" xr:uid="{00000000-0005-0000-0000-000054100000}"/>
    <cellStyle name="C￥AØ_Ay°eC￥(2¿u) _결산송부(감사후) 2 2" xfId="4361" xr:uid="{00000000-0005-0000-0000-000055100000}"/>
    <cellStyle name="Ç¥ÁØ_Áý°èÇ¥(2¿ù) _결산송부(감사후) 3" xfId="4362" xr:uid="{00000000-0005-0000-0000-000056100000}"/>
    <cellStyle name="C￥AØ_Ay°eC￥(2¿u) _결산송부(감사후) 4" xfId="4363" xr:uid="{00000000-0005-0000-0000-000057100000}"/>
    <cellStyle name="Ç¥ÁØ_Áý°èÇ¥(2¿ù) _결산송부(감사후) 4" xfId="4364" xr:uid="{00000000-0005-0000-0000-000058100000}"/>
    <cellStyle name="C￥AØ_Ay°eC￥(2¿u) _결산송부(감사후) 5" xfId="4365" xr:uid="{00000000-0005-0000-0000-000059100000}"/>
    <cellStyle name="Ç¥ÁØ_Áý°èÇ¥(2¿ù) _결산송부(감사후) 5" xfId="4366" xr:uid="{00000000-0005-0000-0000-00005A100000}"/>
    <cellStyle name="C￥AØ_Ay°eC￥(2¿u) _결산송부(감사후) 6" xfId="4367" xr:uid="{00000000-0005-0000-0000-00005B100000}"/>
    <cellStyle name="Ç¥ÁØ_Áý°èÇ¥(2¿ù) _결산송부(감사후) 6" xfId="4368" xr:uid="{00000000-0005-0000-0000-00005C100000}"/>
    <cellStyle name="C￥AØ_Ay°eC￥(2¿u) _결산송부(감사후) 7" xfId="4369" xr:uid="{00000000-0005-0000-0000-00005D100000}"/>
    <cellStyle name="Ç¥ÁØ_Áý°èÇ¥(2¿ù) _결산송부(감사후) 7" xfId="4370" xr:uid="{00000000-0005-0000-0000-00005E100000}"/>
    <cellStyle name="C￥AØ_Ay°eC￥(2¿u) _대손설정3분기" xfId="4371" xr:uid="{00000000-0005-0000-0000-00005F100000}"/>
    <cellStyle name="Ç¥ÁØ_Áý°èÇ¥(2¿ù) _대손설정3분기" xfId="4372" xr:uid="{00000000-0005-0000-0000-000060100000}"/>
    <cellStyle name="C￥AØ_Ay°eC￥(2¿u) _대손설정3분기 2" xfId="4373" xr:uid="{00000000-0005-0000-0000-000061100000}"/>
    <cellStyle name="Ç¥ÁØ_Áý°èÇ¥(2¿ù) _대손설정3분기 2" xfId="4374" xr:uid="{00000000-0005-0000-0000-000062100000}"/>
    <cellStyle name="C￥AØ_Ay°eC￥(2¿u) _대손설정3분기 2 2" xfId="4375" xr:uid="{00000000-0005-0000-0000-000063100000}"/>
    <cellStyle name="Ç¥ÁØ_Áý°èÇ¥(2¿ù) _대손설정3분기 3" xfId="4376" xr:uid="{00000000-0005-0000-0000-000064100000}"/>
    <cellStyle name="C￥AØ_Ay°eC￥(2¿u) _대손설정3분기 4" xfId="4377" xr:uid="{00000000-0005-0000-0000-000065100000}"/>
    <cellStyle name="Ç¥ÁØ_Áý°èÇ¥(2¿ù) _대손설정3분기 4" xfId="4378" xr:uid="{00000000-0005-0000-0000-000066100000}"/>
    <cellStyle name="C￥AØ_Ay°eC￥(2¿u) _대손설정3분기 5" xfId="4379" xr:uid="{00000000-0005-0000-0000-000067100000}"/>
    <cellStyle name="Ç¥ÁØ_Áý°èÇ¥(2¿ù) _대손설정3분기 5" xfId="4380" xr:uid="{00000000-0005-0000-0000-000068100000}"/>
    <cellStyle name="C￥AØ_Ay°eC￥(2¿u) _대손설정3분기 6" xfId="4381" xr:uid="{00000000-0005-0000-0000-000069100000}"/>
    <cellStyle name="Ç¥ÁØ_Áý°èÇ¥(2¿ù) _대손설정3분기 6" xfId="4382" xr:uid="{00000000-0005-0000-0000-00006A100000}"/>
    <cellStyle name="C￥AØ_Ay°eC￥(2¿u) _대손설정3분기 7" xfId="4383" xr:uid="{00000000-0005-0000-0000-00006B100000}"/>
    <cellStyle name="Ç¥ÁØ_Áý°èÇ¥(2¿ù) _대손설정3분기 7" xfId="4384" xr:uid="{00000000-0005-0000-0000-00006C100000}"/>
    <cellStyle name="C￥AØ_Ay°eC￥(2¿u) _배당가능익(잉여금처분)" xfId="4385" xr:uid="{00000000-0005-0000-0000-00006D100000}"/>
    <cellStyle name="Ç¥ÁØ_Áý°èÇ¥(2¿ù) _배당가능익(잉여금처분)" xfId="4386" xr:uid="{00000000-0005-0000-0000-00006E100000}"/>
    <cellStyle name="C￥AØ_Ay°eC￥(2¿u) _배당가능익(잉여금처분) 2" xfId="4387" xr:uid="{00000000-0005-0000-0000-00006F100000}"/>
    <cellStyle name="Ç¥ÁØ_Áý°èÇ¥(2¿ù) _분기결산-2003312" xfId="4388" xr:uid="{00000000-0005-0000-0000-000070100000}"/>
    <cellStyle name="C￥AØ_Ay°eC￥(2¿u) _분기결산-2003312 10" xfId="4389" xr:uid="{00000000-0005-0000-0000-000071100000}"/>
    <cellStyle name="Ç¥ÁØ_Áý°èÇ¥(2¿ù) _분기결산-2003312 10" xfId="4390" xr:uid="{00000000-0005-0000-0000-000072100000}"/>
    <cellStyle name="C￥AØ_Ay°eC￥(2¿u) _분기결산-2003312 11" xfId="4391" xr:uid="{00000000-0005-0000-0000-000073100000}"/>
    <cellStyle name="Ç¥ÁØ_Áý°èÇ¥(2¿ù) _분기결산-2003312 11" xfId="4392" xr:uid="{00000000-0005-0000-0000-000074100000}"/>
    <cellStyle name="C￥AØ_Ay°eC￥(2¿u) _분기결산-2003312 12" xfId="4393" xr:uid="{00000000-0005-0000-0000-000075100000}"/>
    <cellStyle name="Ç¥ÁØ_Áý°èÇ¥(2¿ù) _분기결산-2003312 12" xfId="4394" xr:uid="{00000000-0005-0000-0000-000076100000}"/>
    <cellStyle name="C￥AØ_Ay°eC￥(2¿u) _분기결산-2003312 13" xfId="4395" xr:uid="{00000000-0005-0000-0000-000077100000}"/>
    <cellStyle name="Ç¥ÁØ_Áý°èÇ¥(2¿ù) _분기결산-2003312 13" xfId="4396" xr:uid="{00000000-0005-0000-0000-000078100000}"/>
    <cellStyle name="C￥AØ_Ay°eC￥(2¿u) _분기결산-2003312 14" xfId="4397" xr:uid="{00000000-0005-0000-0000-000079100000}"/>
    <cellStyle name="Ç¥ÁØ_Áý°èÇ¥(2¿ù) _분기결산-2003312 14" xfId="4398" xr:uid="{00000000-0005-0000-0000-00007A100000}"/>
    <cellStyle name="C￥AØ_Ay°eC￥(2¿u) _분기결산-2003312 15" xfId="4399" xr:uid="{00000000-0005-0000-0000-00007B100000}"/>
    <cellStyle name="Ç¥ÁØ_Áý°èÇ¥(2¿ù) _분기결산-2003312 15" xfId="4400" xr:uid="{00000000-0005-0000-0000-00007C100000}"/>
    <cellStyle name="C￥AØ_Ay°eC￥(2¿u) _분기결산-2003312 2" xfId="4401" xr:uid="{00000000-0005-0000-0000-00007D100000}"/>
    <cellStyle name="Ç¥ÁØ_Áý°èÇ¥(2¿ù) _분기결산-2003312 2" xfId="4402" xr:uid="{00000000-0005-0000-0000-00007E100000}"/>
    <cellStyle name="C￥AØ_Ay°eC￥(2¿u) _분기결산-2003312 2 2" xfId="4403" xr:uid="{00000000-0005-0000-0000-00007F100000}"/>
    <cellStyle name="Ç¥ÁØ_Áý°èÇ¥(2¿ù) _분기결산-2003312 3" xfId="4404" xr:uid="{00000000-0005-0000-0000-000080100000}"/>
    <cellStyle name="C￥AØ_Ay°eC￥(2¿u) _분기결산-2003312 4" xfId="4405" xr:uid="{00000000-0005-0000-0000-000081100000}"/>
    <cellStyle name="Ç¥ÁØ_Áý°èÇ¥(2¿ù) _분기결산-2003312 4" xfId="4406" xr:uid="{00000000-0005-0000-0000-000082100000}"/>
    <cellStyle name="C￥AØ_Ay°eC￥(2¿u) _분기결산-2003312 5" xfId="4407" xr:uid="{00000000-0005-0000-0000-000083100000}"/>
    <cellStyle name="Ç¥ÁØ_Áý°èÇ¥(2¿ù) _분기결산-2003312 5" xfId="4408" xr:uid="{00000000-0005-0000-0000-000084100000}"/>
    <cellStyle name="C￥AØ_Ay°eC￥(2¿u) _분기결산-2003312 6" xfId="4409" xr:uid="{00000000-0005-0000-0000-000085100000}"/>
    <cellStyle name="Ç¥ÁØ_Áý°èÇ¥(2¿ù) _분기결산-2003312 6" xfId="4410" xr:uid="{00000000-0005-0000-0000-000086100000}"/>
    <cellStyle name="C￥AØ_Ay°eC￥(2¿u) _분기결산-2003312 7" xfId="4411" xr:uid="{00000000-0005-0000-0000-000087100000}"/>
    <cellStyle name="Ç¥ÁØ_Áý°èÇ¥(2¿ù) _분기결산-2003312 7" xfId="4412" xr:uid="{00000000-0005-0000-0000-000088100000}"/>
    <cellStyle name="C￥AØ_Ay°eC￥(2¿u) _분기결산-2003312 8" xfId="4413" xr:uid="{00000000-0005-0000-0000-000089100000}"/>
    <cellStyle name="Ç¥ÁØ_Áý°èÇ¥(2¿ù) _분기결산-2003312 8" xfId="4414" xr:uid="{00000000-0005-0000-0000-00008A100000}"/>
    <cellStyle name="C￥AØ_Ay°eC￥(2¿u) _분기결산-2003312 9" xfId="4415" xr:uid="{00000000-0005-0000-0000-00008B100000}"/>
    <cellStyle name="Ç¥ÁØ_Áý°èÇ¥(2¿ù) _분기결산-2003312 9" xfId="4416" xr:uid="{00000000-0005-0000-0000-00008C100000}"/>
    <cellStyle name="C￥AØ_Ay°eC￥(2¿u) _상각" xfId="4417" xr:uid="{00000000-0005-0000-0000-00008D100000}"/>
    <cellStyle name="Ç¥ÁØ_Áý°èÇ¥(2¿ù) _상각" xfId="4418" xr:uid="{00000000-0005-0000-0000-00008E100000}"/>
    <cellStyle name="C￥AØ_Ay°eC￥(2¿u) _상각 2" xfId="4419" xr:uid="{00000000-0005-0000-0000-00008F100000}"/>
    <cellStyle name="Ç¥ÁØ_Áý°èÇ¥(2¿ù) _상각(용)" xfId="4420" xr:uid="{00000000-0005-0000-0000-000090100000}"/>
    <cellStyle name="C￥AØ_Ay°eC￥(2¿u) _상각(용) 10" xfId="4421" xr:uid="{00000000-0005-0000-0000-000091100000}"/>
    <cellStyle name="Ç¥ÁØ_Áý°èÇ¥(2¿ù) _상각(용) 10" xfId="4422" xr:uid="{00000000-0005-0000-0000-000092100000}"/>
    <cellStyle name="C￥AØ_Ay°eC￥(2¿u) _상각(용) 11" xfId="4423" xr:uid="{00000000-0005-0000-0000-000093100000}"/>
    <cellStyle name="Ç¥ÁØ_Áý°èÇ¥(2¿ù) _상각(용) 11" xfId="4424" xr:uid="{00000000-0005-0000-0000-000094100000}"/>
    <cellStyle name="C￥AØ_Ay°eC￥(2¿u) _상각(용) 12" xfId="4425" xr:uid="{00000000-0005-0000-0000-000095100000}"/>
    <cellStyle name="Ç¥ÁØ_Áý°èÇ¥(2¿ù) _상각(용) 12" xfId="4426" xr:uid="{00000000-0005-0000-0000-000096100000}"/>
    <cellStyle name="C￥AØ_Ay°eC￥(2¿u) _상각(용) 13" xfId="4427" xr:uid="{00000000-0005-0000-0000-000097100000}"/>
    <cellStyle name="Ç¥ÁØ_Áý°èÇ¥(2¿ù) _상각(용) 13" xfId="4428" xr:uid="{00000000-0005-0000-0000-000098100000}"/>
    <cellStyle name="C￥AØ_Ay°eC￥(2¿u) _상각(용) 14" xfId="4429" xr:uid="{00000000-0005-0000-0000-000099100000}"/>
    <cellStyle name="Ç¥ÁØ_Áý°èÇ¥(2¿ù) _상각(용) 14" xfId="4430" xr:uid="{00000000-0005-0000-0000-00009A100000}"/>
    <cellStyle name="C￥AØ_Ay°eC￥(2¿u) _상각(용) 15" xfId="4431" xr:uid="{00000000-0005-0000-0000-00009B100000}"/>
    <cellStyle name="Ç¥ÁØ_Áý°èÇ¥(2¿ù) _상각(용) 15" xfId="4432" xr:uid="{00000000-0005-0000-0000-00009C100000}"/>
    <cellStyle name="C￥AØ_Ay°eC￥(2¿u) _상각(용) 2" xfId="4433" xr:uid="{00000000-0005-0000-0000-00009D100000}"/>
    <cellStyle name="Ç¥ÁØ_Áý°èÇ¥(2¿ù) _상각(용) 2" xfId="4434" xr:uid="{00000000-0005-0000-0000-00009E100000}"/>
    <cellStyle name="C￥AØ_Ay°eC￥(2¿u) _상각(용) 2 2" xfId="4435" xr:uid="{00000000-0005-0000-0000-00009F100000}"/>
    <cellStyle name="Ç¥ÁØ_Áý°èÇ¥(2¿ù) _상각(용) 3" xfId="4436" xr:uid="{00000000-0005-0000-0000-0000A0100000}"/>
    <cellStyle name="C￥AØ_Ay°eC￥(2¿u) _상각(용) 4" xfId="4437" xr:uid="{00000000-0005-0000-0000-0000A1100000}"/>
    <cellStyle name="Ç¥ÁØ_Áý°èÇ¥(2¿ù) _상각(용) 4" xfId="4438" xr:uid="{00000000-0005-0000-0000-0000A2100000}"/>
    <cellStyle name="C￥AØ_Ay°eC￥(2¿u) _상각(용) 5" xfId="4439" xr:uid="{00000000-0005-0000-0000-0000A3100000}"/>
    <cellStyle name="Ç¥ÁØ_Áý°èÇ¥(2¿ù) _상각(용) 5" xfId="4440" xr:uid="{00000000-0005-0000-0000-0000A4100000}"/>
    <cellStyle name="C￥AØ_Ay°eC￥(2¿u) _상각(용) 6" xfId="4441" xr:uid="{00000000-0005-0000-0000-0000A5100000}"/>
    <cellStyle name="Ç¥ÁØ_Áý°èÇ¥(2¿ù) _상각(용) 6" xfId="4442" xr:uid="{00000000-0005-0000-0000-0000A6100000}"/>
    <cellStyle name="C￥AØ_Ay°eC￥(2¿u) _상각(용) 7" xfId="4443" xr:uid="{00000000-0005-0000-0000-0000A7100000}"/>
    <cellStyle name="Ç¥ÁØ_Áý°èÇ¥(2¿ù) _상각(용) 7" xfId="4444" xr:uid="{00000000-0005-0000-0000-0000A8100000}"/>
    <cellStyle name="C￥AØ_Ay°eC￥(2¿u) _상각(용) 8" xfId="4445" xr:uid="{00000000-0005-0000-0000-0000A9100000}"/>
    <cellStyle name="Ç¥ÁØ_Áý°èÇ¥(2¿ù) _상각(용) 8" xfId="4446" xr:uid="{00000000-0005-0000-0000-0000AA100000}"/>
    <cellStyle name="C￥AØ_Ay°eC￥(2¿u) _상각(용) 9" xfId="4447" xr:uid="{00000000-0005-0000-0000-0000AB100000}"/>
    <cellStyle name="Ç¥ÁØ_Áý°èÇ¥(2¿ù) _상각(용) 9" xfId="4448" xr:uid="{00000000-0005-0000-0000-0000AC100000}"/>
    <cellStyle name="C￥AØ_Ay°eC￥(2¿u) _상각_●11BS계정비교" xfId="4449" xr:uid="{00000000-0005-0000-0000-0000AD100000}"/>
    <cellStyle name="Ç¥ÁØ_Áý°èÇ¥(2¿ù) _상각_●11BS계정비교" xfId="4450" xr:uid="{00000000-0005-0000-0000-0000AE100000}"/>
    <cellStyle name="C￥AØ_Ay°eC￥(2¿u) _상각_●11BS계정비교 2" xfId="4451" xr:uid="{00000000-0005-0000-0000-0000AF100000}"/>
    <cellStyle name="Ç¥ÁØ_Áý°èÇ¥(2¿ù) _상각_●11BS계정비교 2" xfId="4452" xr:uid="{00000000-0005-0000-0000-0000B0100000}"/>
    <cellStyle name="C￥AØ_Ay°eC￥(2¿u) _상각_●11BS계정비교 2 2" xfId="4453" xr:uid="{00000000-0005-0000-0000-0000B1100000}"/>
    <cellStyle name="Ç¥ÁØ_Áý°èÇ¥(2¿ù) _상각_●11BS계정비교 3" xfId="4454" xr:uid="{00000000-0005-0000-0000-0000B2100000}"/>
    <cellStyle name="C￥AØ_Ay°eC￥(2¿u) _상각_●11BS계정비교 4" xfId="4455" xr:uid="{00000000-0005-0000-0000-0000B3100000}"/>
    <cellStyle name="Ç¥ÁØ_Áý°èÇ¥(2¿ù) _상각_●11BS계정비교 4" xfId="4456" xr:uid="{00000000-0005-0000-0000-0000B4100000}"/>
    <cellStyle name="C￥AØ_Ay°eC￥(2¿u) _상각_●11BS계정비교 5" xfId="4457" xr:uid="{00000000-0005-0000-0000-0000B5100000}"/>
    <cellStyle name="Ç¥ÁØ_Áý°èÇ¥(2¿ù) _상각_●11BS계정비교 5" xfId="4458" xr:uid="{00000000-0005-0000-0000-0000B6100000}"/>
    <cellStyle name="C￥AØ_Ay°eC￥(2¿u) _상각_●11BS계정비교 6" xfId="4459" xr:uid="{00000000-0005-0000-0000-0000B7100000}"/>
    <cellStyle name="Ç¥ÁØ_Áý°èÇ¥(2¿ù) _상각_●11BS계정비교 6" xfId="4460" xr:uid="{00000000-0005-0000-0000-0000B8100000}"/>
    <cellStyle name="C￥AØ_Ay°eC￥(2¿u) _상각_●11BS계정비교 7" xfId="4461" xr:uid="{00000000-0005-0000-0000-0000B9100000}"/>
    <cellStyle name="Ç¥ÁØ_Áý°èÇ¥(2¿ù) _상각_●11BS계정비교 7" xfId="4462" xr:uid="{00000000-0005-0000-0000-0000BA100000}"/>
    <cellStyle name="C￥AØ_Ay°eC￥(2¿u) _상각_●6월결산전표내역정리" xfId="4463" xr:uid="{00000000-0005-0000-0000-0000BB100000}"/>
    <cellStyle name="Ç¥ÁØ_Áý°èÇ¥(2¿ù) _상각_●6월결산전표내역정리" xfId="4464" xr:uid="{00000000-0005-0000-0000-0000BC100000}"/>
    <cellStyle name="C￥AØ_Ay°eC￥(2¿u) _상각_●6월결산전표내역정리 2" xfId="4465" xr:uid="{00000000-0005-0000-0000-0000BD100000}"/>
    <cellStyle name="Ç¥ÁØ_Áý°èÇ¥(2¿ù) _상각_●6월결산전표내역정리 2" xfId="4466" xr:uid="{00000000-0005-0000-0000-0000BE100000}"/>
    <cellStyle name="C￥AØ_Ay°eC￥(2¿u) _상각_●6월결산전표내역정리 2 2" xfId="4467" xr:uid="{00000000-0005-0000-0000-0000BF100000}"/>
    <cellStyle name="Ç¥ÁØ_Áý°èÇ¥(2¿ù) _상각_●6월결산전표내역정리 3" xfId="4468" xr:uid="{00000000-0005-0000-0000-0000C0100000}"/>
    <cellStyle name="C￥AØ_Ay°eC￥(2¿u) _상각_●6월결산전표내역정리 4" xfId="4469" xr:uid="{00000000-0005-0000-0000-0000C1100000}"/>
    <cellStyle name="Ç¥ÁØ_Áý°èÇ¥(2¿ù) _상각_●6월결산전표내역정리 4" xfId="4470" xr:uid="{00000000-0005-0000-0000-0000C2100000}"/>
    <cellStyle name="C￥AØ_Ay°eC￥(2¿u) _상각_●6월결산전표내역정리 5" xfId="4471" xr:uid="{00000000-0005-0000-0000-0000C3100000}"/>
    <cellStyle name="Ç¥ÁØ_Áý°èÇ¥(2¿ù) _상각_●6월결산전표내역정리 5" xfId="4472" xr:uid="{00000000-0005-0000-0000-0000C4100000}"/>
    <cellStyle name="C￥AØ_Ay°eC￥(2¿u) _상각_●6월결산전표내역정리 6" xfId="4473" xr:uid="{00000000-0005-0000-0000-0000C5100000}"/>
    <cellStyle name="Ç¥ÁØ_Áý°èÇ¥(2¿ù) _상각_●6월결산전표내역정리 6" xfId="4474" xr:uid="{00000000-0005-0000-0000-0000C6100000}"/>
    <cellStyle name="C￥AØ_Ay°eC￥(2¿u) _상각_●6월결산전표내역정리 7" xfId="4475" xr:uid="{00000000-0005-0000-0000-0000C7100000}"/>
    <cellStyle name="Ç¥ÁØ_Áý°èÇ¥(2¿ù) _상각_●6월결산전표내역정리 7" xfId="4476" xr:uid="{00000000-0005-0000-0000-0000C8100000}"/>
    <cellStyle name="C￥AØ_Ay°eC￥(2¿u) _상각_●aBS계정비교" xfId="4477" xr:uid="{00000000-0005-0000-0000-0000C9100000}"/>
    <cellStyle name="Ç¥ÁØ_Áý°èÇ¥(2¿ù) _상각_●aBS계정비교" xfId="4478" xr:uid="{00000000-0005-0000-0000-0000CA100000}"/>
    <cellStyle name="C￥AØ_Ay°eC￥(2¿u) _상각_●aBS계정비교 2" xfId="4479" xr:uid="{00000000-0005-0000-0000-0000CB100000}"/>
    <cellStyle name="Ç¥ÁØ_Áý°èÇ¥(2¿ù) _상각_●분석적검토" xfId="4480" xr:uid="{00000000-0005-0000-0000-0000CC100000}"/>
    <cellStyle name="C￥AØ_Ay°eC￥(2¿u) _상각_●분석적검토 10" xfId="4481" xr:uid="{00000000-0005-0000-0000-0000CD100000}"/>
    <cellStyle name="Ç¥ÁØ_Áý°èÇ¥(2¿ù) _상각_●분석적검토 10" xfId="4482" xr:uid="{00000000-0005-0000-0000-0000CE100000}"/>
    <cellStyle name="C￥AØ_Ay°eC￥(2¿u) _상각_●분석적검토 11" xfId="4483" xr:uid="{00000000-0005-0000-0000-0000CF100000}"/>
    <cellStyle name="Ç¥ÁØ_Áý°èÇ¥(2¿ù) _상각_●분석적검토 11" xfId="4484" xr:uid="{00000000-0005-0000-0000-0000D0100000}"/>
    <cellStyle name="C￥AØ_Ay°eC￥(2¿u) _상각_●분석적검토 12" xfId="4485" xr:uid="{00000000-0005-0000-0000-0000D1100000}"/>
    <cellStyle name="Ç¥ÁØ_Áý°èÇ¥(2¿ù) _상각_●분석적검토 12" xfId="4486" xr:uid="{00000000-0005-0000-0000-0000D2100000}"/>
    <cellStyle name="C￥AØ_Ay°eC￥(2¿u) _상각_●분석적검토 13" xfId="4487" xr:uid="{00000000-0005-0000-0000-0000D3100000}"/>
    <cellStyle name="Ç¥ÁØ_Áý°èÇ¥(2¿ù) _상각_●분석적검토 13" xfId="4488" xr:uid="{00000000-0005-0000-0000-0000D4100000}"/>
    <cellStyle name="C￥AØ_Ay°eC￥(2¿u) _상각_●분석적검토 14" xfId="4489" xr:uid="{00000000-0005-0000-0000-0000D5100000}"/>
    <cellStyle name="Ç¥ÁØ_Áý°èÇ¥(2¿ù) _상각_●분석적검토 14" xfId="4490" xr:uid="{00000000-0005-0000-0000-0000D6100000}"/>
    <cellStyle name="C￥AØ_Ay°eC￥(2¿u) _상각_●분석적검토 15" xfId="4491" xr:uid="{00000000-0005-0000-0000-0000D7100000}"/>
    <cellStyle name="Ç¥ÁØ_Áý°èÇ¥(2¿ù) _상각_●분석적검토 15" xfId="4492" xr:uid="{00000000-0005-0000-0000-0000D8100000}"/>
    <cellStyle name="C￥AØ_Ay°eC￥(2¿u) _상각_●분석적검토 2" xfId="4493" xr:uid="{00000000-0005-0000-0000-0000D9100000}"/>
    <cellStyle name="Ç¥ÁØ_Áý°èÇ¥(2¿ù) _상각_●분석적검토 2" xfId="4494" xr:uid="{00000000-0005-0000-0000-0000DA100000}"/>
    <cellStyle name="C￥AØ_Ay°eC￥(2¿u) _상각_●분석적검토 2 2" xfId="4495" xr:uid="{00000000-0005-0000-0000-0000DB100000}"/>
    <cellStyle name="Ç¥ÁØ_Áý°èÇ¥(2¿ù) _상각_●분석적검토 3" xfId="4496" xr:uid="{00000000-0005-0000-0000-0000DC100000}"/>
    <cellStyle name="C￥AØ_Ay°eC￥(2¿u) _상각_●분석적검토 4" xfId="4497" xr:uid="{00000000-0005-0000-0000-0000DD100000}"/>
    <cellStyle name="Ç¥ÁØ_Áý°èÇ¥(2¿ù) _상각_●분석적검토 4" xfId="4498" xr:uid="{00000000-0005-0000-0000-0000DE100000}"/>
    <cellStyle name="C￥AØ_Ay°eC￥(2¿u) _상각_●분석적검토 5" xfId="4499" xr:uid="{00000000-0005-0000-0000-0000DF100000}"/>
    <cellStyle name="Ç¥ÁØ_Áý°èÇ¥(2¿ù) _상각_●분석적검토 5" xfId="4500" xr:uid="{00000000-0005-0000-0000-0000E0100000}"/>
    <cellStyle name="C￥AØ_Ay°eC￥(2¿u) _상각_●분석적검토 6" xfId="4501" xr:uid="{00000000-0005-0000-0000-0000E1100000}"/>
    <cellStyle name="Ç¥ÁØ_Áý°èÇ¥(2¿ù) _상각_●분석적검토 6" xfId="4502" xr:uid="{00000000-0005-0000-0000-0000E2100000}"/>
    <cellStyle name="C￥AØ_Ay°eC￥(2¿u) _상각_●분석적검토 7" xfId="4503" xr:uid="{00000000-0005-0000-0000-0000E3100000}"/>
    <cellStyle name="Ç¥ÁØ_Áý°èÇ¥(2¿ù) _상각_●분석적검토 7" xfId="4504" xr:uid="{00000000-0005-0000-0000-0000E4100000}"/>
    <cellStyle name="C￥AØ_Ay°eC￥(2¿u) _상각_●분석적검토 8" xfId="4505" xr:uid="{00000000-0005-0000-0000-0000E5100000}"/>
    <cellStyle name="Ç¥ÁØ_Áý°èÇ¥(2¿ù) _상각_●분석적검토 8" xfId="4506" xr:uid="{00000000-0005-0000-0000-0000E6100000}"/>
    <cellStyle name="C￥AØ_Ay°eC￥(2¿u) _상각_●분석적검토 9" xfId="4507" xr:uid="{00000000-0005-0000-0000-0000E7100000}"/>
    <cellStyle name="Ç¥ÁØ_Áý°èÇ¥(2¿ù) _상각_●분석적검토 9" xfId="4508" xr:uid="{00000000-0005-0000-0000-0000E8100000}"/>
    <cellStyle name="C￥AØ_Ay°eC￥(2¿u) _상각_★★3월결산전표내역정리" xfId="4509" xr:uid="{00000000-0005-0000-0000-0000E9100000}"/>
    <cellStyle name="Ç¥ÁØ_Áý°èÇ¥(2¿ù) _상각_★★3월결산전표내역정리" xfId="4510" xr:uid="{00000000-0005-0000-0000-0000EA100000}"/>
    <cellStyle name="C￥AØ_Ay°eC￥(2¿u) _상각_★★3월결산전표내역정리 2" xfId="4511" xr:uid="{00000000-0005-0000-0000-0000EB100000}"/>
    <cellStyle name="Ç¥ÁØ_Áý°èÇ¥(2¿ù) _상각_★★3월결산전표내역정리 2" xfId="4512" xr:uid="{00000000-0005-0000-0000-0000EC100000}"/>
    <cellStyle name="C￥AØ_Ay°eC￥(2¿u) _상각_★★3월결산전표내역정리 2 2" xfId="4513" xr:uid="{00000000-0005-0000-0000-0000ED100000}"/>
    <cellStyle name="Ç¥ÁØ_Áý°èÇ¥(2¿ù) _상각_★★3월결산전표내역정리 3" xfId="4514" xr:uid="{00000000-0005-0000-0000-0000EE100000}"/>
    <cellStyle name="C￥AØ_Ay°eC￥(2¿u) _상각_★★3월결산전표내역정리 4" xfId="4515" xr:uid="{00000000-0005-0000-0000-0000EF100000}"/>
    <cellStyle name="Ç¥ÁØ_Áý°èÇ¥(2¿ù) _상각_★★3월결산전표내역정리 4" xfId="4516" xr:uid="{00000000-0005-0000-0000-0000F0100000}"/>
    <cellStyle name="C￥AØ_Ay°eC￥(2¿u) _상각_★★3월결산전표내역정리 5" xfId="4517" xr:uid="{00000000-0005-0000-0000-0000F1100000}"/>
    <cellStyle name="Ç¥ÁØ_Áý°èÇ¥(2¿ù) _상각_★★3월결산전표내역정리 5" xfId="4518" xr:uid="{00000000-0005-0000-0000-0000F2100000}"/>
    <cellStyle name="C￥AØ_Ay°eC￥(2¿u) _상각_★★3월결산전표내역정리 6" xfId="4519" xr:uid="{00000000-0005-0000-0000-0000F3100000}"/>
    <cellStyle name="Ç¥ÁØ_Áý°èÇ¥(2¿ù) _상각_★★3월결산전표내역정리 6" xfId="4520" xr:uid="{00000000-0005-0000-0000-0000F4100000}"/>
    <cellStyle name="C￥AØ_Ay°eC￥(2¿u) _상각_★★3월결산전표내역정리 7" xfId="4521" xr:uid="{00000000-0005-0000-0000-0000F5100000}"/>
    <cellStyle name="Ç¥ÁØ_Áý°èÇ¥(2¿ù) _상각_★★3월결산전표내역정리 7" xfId="4522" xr:uid="{00000000-0005-0000-0000-0000F6100000}"/>
    <cellStyle name="C￥AØ_Ay°eC￥(2¿u) _상각_★2004년6월BS(최종)" xfId="4523" xr:uid="{00000000-0005-0000-0000-0000F7100000}"/>
    <cellStyle name="Ç¥ÁØ_Áý°èÇ¥(2¿ù) _상각_★2004년6월BS(최종)" xfId="4524" xr:uid="{00000000-0005-0000-0000-0000F8100000}"/>
    <cellStyle name="C￥AØ_Ay°eC￥(2¿u) _상각_★2004년6월BS(최종) 2" xfId="4525" xr:uid="{00000000-0005-0000-0000-0000F9100000}"/>
    <cellStyle name="Ç¥ÁØ_Áý°èÇ¥(2¿ù) _상각_★2004년8월BS계정비교" xfId="4526" xr:uid="{00000000-0005-0000-0000-0000FA100000}"/>
    <cellStyle name="C￥AØ_Ay°eC￥(2¿u) _상각_★2004년8월BS계정비교 10" xfId="4527" xr:uid="{00000000-0005-0000-0000-0000FB100000}"/>
    <cellStyle name="Ç¥ÁØ_Áý°èÇ¥(2¿ù) _상각_★3년3월BS계정비교" xfId="4528" xr:uid="{00000000-0005-0000-0000-0000FC100000}"/>
    <cellStyle name="C￥AØ_Ay°eC￥(2¿u) _상각_★3년3월BS계정비교 10" xfId="4529" xr:uid="{00000000-0005-0000-0000-0000FD100000}"/>
    <cellStyle name="Ç¥ÁØ_Áý°èÇ¥(2¿ù) _상각_14분기BS계정" xfId="4530" xr:uid="{00000000-0005-0000-0000-0000FE100000}"/>
    <cellStyle name="C￥AØ_Ay°eC￥(2¿u) _상각_14분기BS계정 10" xfId="4531" xr:uid="{00000000-0005-0000-0000-0000FF100000}"/>
    <cellStyle name="Ç¥ÁØ_Áý°èÇ¥(2¿ù) _상각_14손익" xfId="4532" xr:uid="{00000000-0005-0000-0000-000000110000}"/>
    <cellStyle name="C￥AØ_Ay°eC￥(2¿u) _상각_14손익 10" xfId="4533" xr:uid="{00000000-0005-0000-0000-000001110000}"/>
    <cellStyle name="Ç¥ÁØ_Áý°èÇ¥(2¿ù) _상각_14손익 10" xfId="4534" xr:uid="{00000000-0005-0000-0000-000002110000}"/>
    <cellStyle name="C￥AØ_Ay°eC￥(2¿u) _상각_14손익 11" xfId="4535" xr:uid="{00000000-0005-0000-0000-000003110000}"/>
    <cellStyle name="Ç¥ÁØ_Áý°èÇ¥(2¿ù) _상각_14손익 11" xfId="4536" xr:uid="{00000000-0005-0000-0000-000004110000}"/>
    <cellStyle name="C￥AØ_Ay°eC￥(2¿u) _상각_14손익 12" xfId="4537" xr:uid="{00000000-0005-0000-0000-000005110000}"/>
    <cellStyle name="Ç¥ÁØ_Áý°èÇ¥(2¿ù) _상각_14손익 12" xfId="4538" xr:uid="{00000000-0005-0000-0000-000006110000}"/>
    <cellStyle name="C￥AØ_Ay°eC￥(2¿u) _상각_14손익 13" xfId="4539" xr:uid="{00000000-0005-0000-0000-000007110000}"/>
    <cellStyle name="Ç¥ÁØ_Áý°èÇ¥(2¿ù) _상각_14손익 13" xfId="4540" xr:uid="{00000000-0005-0000-0000-000008110000}"/>
    <cellStyle name="C￥AØ_Ay°eC￥(2¿u) _상각_14손익 14" xfId="4541" xr:uid="{00000000-0005-0000-0000-000009110000}"/>
    <cellStyle name="Ç¥ÁØ_Áý°èÇ¥(2¿ù) _상각_14손익 14" xfId="4542" xr:uid="{00000000-0005-0000-0000-00000A110000}"/>
    <cellStyle name="C￥AØ_Ay°eC￥(2¿u) _상각_14손익 15" xfId="4543" xr:uid="{00000000-0005-0000-0000-00000B110000}"/>
    <cellStyle name="Ç¥ÁØ_Áý°èÇ¥(2¿ù) _상각_14손익 15" xfId="4544" xr:uid="{00000000-0005-0000-0000-00000C110000}"/>
    <cellStyle name="C￥AØ_Ay°eC￥(2¿u) _상각_14손익 2" xfId="4545" xr:uid="{00000000-0005-0000-0000-00000D110000}"/>
    <cellStyle name="Ç¥ÁØ_Áý°èÇ¥(2¿ù) _상각_14손익 2" xfId="4546" xr:uid="{00000000-0005-0000-0000-00000E110000}"/>
    <cellStyle name="C￥AØ_Ay°eC￥(2¿u) _상각_14손익 2 2" xfId="4547" xr:uid="{00000000-0005-0000-0000-00000F110000}"/>
    <cellStyle name="Ç¥ÁØ_Áý°èÇ¥(2¿ù) _상각_14손익 3" xfId="4548" xr:uid="{00000000-0005-0000-0000-000010110000}"/>
    <cellStyle name="C￥AØ_Ay°eC￥(2¿u) _상각_14손익 4" xfId="4549" xr:uid="{00000000-0005-0000-0000-000011110000}"/>
    <cellStyle name="Ç¥ÁØ_Áý°èÇ¥(2¿ù) _상각_14손익 4" xfId="4550" xr:uid="{00000000-0005-0000-0000-000012110000}"/>
    <cellStyle name="C￥AØ_Ay°eC￥(2¿u) _상각_14손익 5" xfId="4551" xr:uid="{00000000-0005-0000-0000-000013110000}"/>
    <cellStyle name="Ç¥ÁØ_Áý°èÇ¥(2¿ù) _상각_14손익 5" xfId="4552" xr:uid="{00000000-0005-0000-0000-000014110000}"/>
    <cellStyle name="C￥AØ_Ay°eC￥(2¿u) _상각_14손익 6" xfId="4553" xr:uid="{00000000-0005-0000-0000-000015110000}"/>
    <cellStyle name="Ç¥ÁØ_Áý°èÇ¥(2¿ù) _상각_14손익 6" xfId="4554" xr:uid="{00000000-0005-0000-0000-000016110000}"/>
    <cellStyle name="C￥AØ_Ay°eC￥(2¿u) _상각_14손익 7" xfId="4555" xr:uid="{00000000-0005-0000-0000-000017110000}"/>
    <cellStyle name="Ç¥ÁØ_Áý°èÇ¥(2¿ù) _상각_14손익 7" xfId="4556" xr:uid="{00000000-0005-0000-0000-000018110000}"/>
    <cellStyle name="C￥AØ_Ay°eC￥(2¿u) _상각_14손익 8" xfId="4557" xr:uid="{00000000-0005-0000-0000-000019110000}"/>
    <cellStyle name="Ç¥ÁØ_Áý°èÇ¥(2¿ù) _상각_14손익 8" xfId="4558" xr:uid="{00000000-0005-0000-0000-00001A110000}"/>
    <cellStyle name="C￥AØ_Ay°eC￥(2¿u) _상각_14손익 9" xfId="4559" xr:uid="{00000000-0005-0000-0000-00001B110000}"/>
    <cellStyle name="Ç¥ÁØ_Áý°èÇ¥(2¿ù) _상각_14손익 9" xfId="4560" xr:uid="{00000000-0005-0000-0000-00001C110000}"/>
    <cellStyle name="C￥AØ_Ay°eC￥(2¿u) _상각_6투자자산" xfId="4561" xr:uid="{00000000-0005-0000-0000-00001D110000}"/>
    <cellStyle name="Ç¥ÁØ_Áý°èÇ¥(2¿ù) _상각_6투자자산" xfId="4562" xr:uid="{00000000-0005-0000-0000-00001E110000}"/>
    <cellStyle name="C￥AØ_Ay°eC￥(2¿u) _상각_6투자자산 2" xfId="4563" xr:uid="{00000000-0005-0000-0000-00001F110000}"/>
    <cellStyle name="Ç¥ÁØ_Áý°èÇ¥(2¿ù) _상각_6투자자산 2" xfId="4564" xr:uid="{00000000-0005-0000-0000-000020110000}"/>
    <cellStyle name="C￥AØ_Ay°eC￥(2¿u) _상각_6투자자산 2 2" xfId="4565" xr:uid="{00000000-0005-0000-0000-000021110000}"/>
    <cellStyle name="Ç¥ÁØ_Áý°èÇ¥(2¿ù) _상각_6투자자산 3" xfId="4566" xr:uid="{00000000-0005-0000-0000-000022110000}"/>
    <cellStyle name="C￥AØ_Ay°eC￥(2¿u) _상각_6투자자산 4" xfId="4567" xr:uid="{00000000-0005-0000-0000-000023110000}"/>
    <cellStyle name="Ç¥ÁØ_Áý°èÇ¥(2¿ù) _상각_6투자자산 4" xfId="4568" xr:uid="{00000000-0005-0000-0000-000024110000}"/>
    <cellStyle name="C￥AØ_Ay°eC￥(2¿u) _상각_6투자자산 5" xfId="4569" xr:uid="{00000000-0005-0000-0000-000025110000}"/>
    <cellStyle name="Ç¥ÁØ_Áý°èÇ¥(2¿ù) _상각_6투자자산 5" xfId="4570" xr:uid="{00000000-0005-0000-0000-000026110000}"/>
    <cellStyle name="C￥AØ_Ay°eC￥(2¿u) _상각_6투자자산 6" xfId="4571" xr:uid="{00000000-0005-0000-0000-000027110000}"/>
    <cellStyle name="Ç¥ÁØ_Áý°èÇ¥(2¿ù) _상각_6투자자산 6" xfId="4572" xr:uid="{00000000-0005-0000-0000-000028110000}"/>
    <cellStyle name="C￥AØ_Ay°eC￥(2¿u) _상각_6투자자산 7" xfId="4573" xr:uid="{00000000-0005-0000-0000-000029110000}"/>
    <cellStyle name="Ç¥ÁØ_Áý°èÇ¥(2¿ù) _상각_6투자자산 7" xfId="4574" xr:uid="{00000000-0005-0000-0000-00002A110000}"/>
    <cellStyle name="C￥AØ_Ay°eC￥(2¿u) _상각_7월BS계정비교" xfId="4575" xr:uid="{00000000-0005-0000-0000-00002B110000}"/>
    <cellStyle name="Ç¥ÁØ_Áý°èÇ¥(2¿ù) _상각_7월BS계정비교" xfId="4576" xr:uid="{00000000-0005-0000-0000-00002C110000}"/>
    <cellStyle name="C￥AØ_Ay°eC￥(2¿u) _상각_7월BS계정비교 2" xfId="4577" xr:uid="{00000000-0005-0000-0000-00002D110000}"/>
    <cellStyle name="Ç¥ÁØ_Áý°èÇ¥(2¿ù) _상각_감사후관리사항" xfId="4578" xr:uid="{00000000-0005-0000-0000-00002E110000}"/>
    <cellStyle name="C￥AØ_Ay°eC￥(2¿u) _상각_감사후관리사항 10" xfId="4579" xr:uid="{00000000-0005-0000-0000-00002F110000}"/>
    <cellStyle name="Ç¥ÁØ_Áý°èÇ¥(2¿ù) _상각_기준서요약" xfId="4580" xr:uid="{00000000-0005-0000-0000-000030110000}"/>
    <cellStyle name="C￥AØ_Ay°eC￥(2¿u) _상각_기준서요약 10" xfId="4581" xr:uid="{00000000-0005-0000-0000-000031110000}"/>
    <cellStyle name="Ç¥ÁØ_Áý°èÇ¥(2¿ù) _상각_기준서요약 10" xfId="4582" xr:uid="{00000000-0005-0000-0000-000032110000}"/>
    <cellStyle name="C￥AØ_Ay°eC￥(2¿u) _상각_기준서요약 11" xfId="4583" xr:uid="{00000000-0005-0000-0000-000033110000}"/>
    <cellStyle name="Ç¥ÁØ_Áý°èÇ¥(2¿ù) _상각_기준서요약 11" xfId="4584" xr:uid="{00000000-0005-0000-0000-000034110000}"/>
    <cellStyle name="C￥AØ_Ay°eC￥(2¿u) _상각_기준서요약 12" xfId="4585" xr:uid="{00000000-0005-0000-0000-000035110000}"/>
    <cellStyle name="Ç¥ÁØ_Áý°èÇ¥(2¿ù) _상각_기준서요약 12" xfId="4586" xr:uid="{00000000-0005-0000-0000-000036110000}"/>
    <cellStyle name="C￥AØ_Ay°eC￥(2¿u) _상각_기준서요약 13" xfId="4587" xr:uid="{00000000-0005-0000-0000-000037110000}"/>
    <cellStyle name="Ç¥ÁØ_Áý°èÇ¥(2¿ù) _상각_기준서요약 13" xfId="4588" xr:uid="{00000000-0005-0000-0000-000038110000}"/>
    <cellStyle name="C￥AØ_Ay°eC￥(2¿u) _상각_기준서요약 14" xfId="4589" xr:uid="{00000000-0005-0000-0000-000039110000}"/>
    <cellStyle name="Ç¥ÁØ_Áý°èÇ¥(2¿ù) _상각_기준서요약 14" xfId="4590" xr:uid="{00000000-0005-0000-0000-00003A110000}"/>
    <cellStyle name="C￥AØ_Ay°eC￥(2¿u) _상각_기준서요약 15" xfId="4591" xr:uid="{00000000-0005-0000-0000-00003B110000}"/>
    <cellStyle name="Ç¥ÁØ_Áý°èÇ¥(2¿ù) _상각_기준서요약 15" xfId="4592" xr:uid="{00000000-0005-0000-0000-00003C110000}"/>
    <cellStyle name="C￥AØ_Ay°eC￥(2¿u) _상각_기준서요약 2" xfId="4593" xr:uid="{00000000-0005-0000-0000-00003D110000}"/>
    <cellStyle name="Ç¥ÁØ_Áý°èÇ¥(2¿ù) _상각_기준서요약 2" xfId="4594" xr:uid="{00000000-0005-0000-0000-00003E110000}"/>
    <cellStyle name="C￥AØ_Ay°eC￥(2¿u) _상각_기준서요약 2 2" xfId="4595" xr:uid="{00000000-0005-0000-0000-00003F110000}"/>
    <cellStyle name="Ç¥ÁØ_Áý°èÇ¥(2¿ù) _상각_기준서요약 3" xfId="4596" xr:uid="{00000000-0005-0000-0000-000040110000}"/>
    <cellStyle name="C￥AØ_Ay°eC￥(2¿u) _상각_기준서요약 4" xfId="4597" xr:uid="{00000000-0005-0000-0000-000041110000}"/>
    <cellStyle name="Ç¥ÁØ_Áý°èÇ¥(2¿ù) _상각_기준서요약 4" xfId="4598" xr:uid="{00000000-0005-0000-0000-000042110000}"/>
    <cellStyle name="C￥AØ_Ay°eC￥(2¿u) _상각_기준서요약 5" xfId="4599" xr:uid="{00000000-0005-0000-0000-000043110000}"/>
    <cellStyle name="Ç¥ÁØ_Áý°èÇ¥(2¿ù) _상각_기준서요약 5" xfId="4600" xr:uid="{00000000-0005-0000-0000-000044110000}"/>
    <cellStyle name="C￥AØ_Ay°eC￥(2¿u) _상각_기준서요약 6" xfId="4601" xr:uid="{00000000-0005-0000-0000-000045110000}"/>
    <cellStyle name="Ç¥ÁØ_Áý°èÇ¥(2¿ù) _상각_기준서요약 6" xfId="4602" xr:uid="{00000000-0005-0000-0000-000046110000}"/>
    <cellStyle name="C￥AØ_Ay°eC￥(2¿u) _상각_기준서요약 7" xfId="4603" xr:uid="{00000000-0005-0000-0000-000047110000}"/>
    <cellStyle name="Ç¥ÁØ_Áý°èÇ¥(2¿ù) _상각_기준서요약 7" xfId="4604" xr:uid="{00000000-0005-0000-0000-000048110000}"/>
    <cellStyle name="C￥AØ_Ay°eC￥(2¿u) _상각_기준서요약 8" xfId="4605" xr:uid="{00000000-0005-0000-0000-000049110000}"/>
    <cellStyle name="Ç¥ÁØ_Áý°èÇ¥(2¿ù) _상각_기준서요약 8" xfId="4606" xr:uid="{00000000-0005-0000-0000-00004A110000}"/>
    <cellStyle name="C￥AØ_Ay°eC￥(2¿u) _상각_기준서요약 9" xfId="4607" xr:uid="{00000000-0005-0000-0000-00004B110000}"/>
    <cellStyle name="Ç¥ÁØ_Áý°èÇ¥(2¿ù) _상각_기준서요약 9" xfId="4608" xr:uid="{00000000-0005-0000-0000-00004C110000}"/>
    <cellStyle name="C￥AØ_Ay°eC￥(2¿u) _상각_당좌자산" xfId="4609" xr:uid="{00000000-0005-0000-0000-00004D110000}"/>
    <cellStyle name="Ç¥ÁØ_Áý°èÇ¥(2¿ù) _상각_당좌자산" xfId="4610" xr:uid="{00000000-0005-0000-0000-00004E110000}"/>
    <cellStyle name="C￥AØ_Ay°eC￥(2¿u) _상각_당좌자산 2" xfId="4611" xr:uid="{00000000-0005-0000-0000-00004F110000}"/>
    <cellStyle name="Ç¥ÁØ_Áý°èÇ¥(2¿ù) _상각_대손충당금(정호)" xfId="4612" xr:uid="{00000000-0005-0000-0000-000050110000}"/>
    <cellStyle name="C￥AØ_Ay°eC￥(2¿u) _상각_대손충당금(정호) 10" xfId="4613" xr:uid="{00000000-0005-0000-0000-000051110000}"/>
    <cellStyle name="Ç¥ÁØ_Áý°èÇ¥(2¿ù) _상각_대손충당금(정호) 10" xfId="4614" xr:uid="{00000000-0005-0000-0000-000052110000}"/>
    <cellStyle name="C￥AØ_Ay°eC￥(2¿u) _상각_대손충당금(정호) 11" xfId="4615" xr:uid="{00000000-0005-0000-0000-000053110000}"/>
    <cellStyle name="Ç¥ÁØ_Áý°èÇ¥(2¿ù) _상각_대손충당금(정호) 11" xfId="4616" xr:uid="{00000000-0005-0000-0000-000054110000}"/>
    <cellStyle name="C￥AØ_Ay°eC￥(2¿u) _상각_대손충당금(정호) 12" xfId="4617" xr:uid="{00000000-0005-0000-0000-000055110000}"/>
    <cellStyle name="Ç¥ÁØ_Áý°èÇ¥(2¿ù) _상각_대손충당금(정호) 12" xfId="4618" xr:uid="{00000000-0005-0000-0000-000056110000}"/>
    <cellStyle name="C￥AØ_Ay°eC￥(2¿u) _상각_대손충당금(정호) 13" xfId="4619" xr:uid="{00000000-0005-0000-0000-000057110000}"/>
    <cellStyle name="Ç¥ÁØ_Áý°èÇ¥(2¿ù) _상각_대손충당금(정호) 13" xfId="4620" xr:uid="{00000000-0005-0000-0000-000058110000}"/>
    <cellStyle name="C￥AØ_Ay°eC￥(2¿u) _상각_대손충당금(정호) 14" xfId="4621" xr:uid="{00000000-0005-0000-0000-000059110000}"/>
    <cellStyle name="Ç¥ÁØ_Áý°èÇ¥(2¿ù) _상각_대손충당금(정호) 14" xfId="4622" xr:uid="{00000000-0005-0000-0000-00005A110000}"/>
    <cellStyle name="C￥AØ_Ay°eC￥(2¿u) _상각_대손충당금(정호) 15" xfId="4623" xr:uid="{00000000-0005-0000-0000-00005B110000}"/>
    <cellStyle name="Ç¥ÁØ_Áý°èÇ¥(2¿ù) _상각_대손충당금(정호) 15" xfId="4624" xr:uid="{00000000-0005-0000-0000-00005C110000}"/>
    <cellStyle name="C￥AØ_Ay°eC￥(2¿u) _상각_대손충당금(정호) 2" xfId="4625" xr:uid="{00000000-0005-0000-0000-00005D110000}"/>
    <cellStyle name="Ç¥ÁØ_Áý°èÇ¥(2¿ù) _상각_대손충당금(정호) 2" xfId="4626" xr:uid="{00000000-0005-0000-0000-00005E110000}"/>
    <cellStyle name="C￥AØ_Ay°eC￥(2¿u) _상각_대손충당금(정호) 2 2" xfId="4627" xr:uid="{00000000-0005-0000-0000-00005F110000}"/>
    <cellStyle name="Ç¥ÁØ_Áý°èÇ¥(2¿ù) _상각_대손충당금(정호) 3" xfId="4628" xr:uid="{00000000-0005-0000-0000-000060110000}"/>
    <cellStyle name="C￥AØ_Ay°eC￥(2¿u) _상각_대손충당금(정호) 4" xfId="4629" xr:uid="{00000000-0005-0000-0000-000061110000}"/>
    <cellStyle name="Ç¥ÁØ_Áý°èÇ¥(2¿ù) _상각_대손충당금(정호) 4" xfId="4630" xr:uid="{00000000-0005-0000-0000-000062110000}"/>
    <cellStyle name="C￥AØ_Ay°eC￥(2¿u) _상각_대손충당금(정호) 5" xfId="4631" xr:uid="{00000000-0005-0000-0000-000063110000}"/>
    <cellStyle name="Ç¥ÁØ_Áý°èÇ¥(2¿ù) _상각_대손충당금(정호) 5" xfId="4632" xr:uid="{00000000-0005-0000-0000-000064110000}"/>
    <cellStyle name="C￥AØ_Ay°eC￥(2¿u) _상각_대손충당금(정호) 6" xfId="4633" xr:uid="{00000000-0005-0000-0000-000065110000}"/>
    <cellStyle name="Ç¥ÁØ_Áý°èÇ¥(2¿ù) _상각_대손충당금(정호) 6" xfId="4634" xr:uid="{00000000-0005-0000-0000-000066110000}"/>
    <cellStyle name="C￥AØ_Ay°eC￥(2¿u) _상각_대손충당금(정호) 7" xfId="4635" xr:uid="{00000000-0005-0000-0000-000067110000}"/>
    <cellStyle name="Ç¥ÁØ_Áý°èÇ¥(2¿ù) _상각_대손충당금(정호) 7" xfId="4636" xr:uid="{00000000-0005-0000-0000-000068110000}"/>
    <cellStyle name="C￥AØ_Ay°eC￥(2¿u) _상각_대손충당금(정호) 8" xfId="4637" xr:uid="{00000000-0005-0000-0000-000069110000}"/>
    <cellStyle name="Ç¥ÁØ_Áý°èÇ¥(2¿ù) _상각_대손충당금(정호) 8" xfId="4638" xr:uid="{00000000-0005-0000-0000-00006A110000}"/>
    <cellStyle name="C￥AØ_Ay°eC￥(2¿u) _상각_대손충당금(정호) 9" xfId="4639" xr:uid="{00000000-0005-0000-0000-00006B110000}"/>
    <cellStyle name="Ç¥ÁØ_Áý°èÇ¥(2¿ù) _상각_대손충당금(정호) 9" xfId="4640" xr:uid="{00000000-0005-0000-0000-00006C110000}"/>
    <cellStyle name="C￥AØ_Ay°eC￥(2¿u) _상각_반기" xfId="4641" xr:uid="{00000000-0005-0000-0000-00006D110000}"/>
    <cellStyle name="Ç¥ÁØ_Áý°èÇ¥(2¿ù) _상각_반기" xfId="4642" xr:uid="{00000000-0005-0000-0000-00006E110000}"/>
    <cellStyle name="C￥AØ_Ay°eC￥(2¿u) _상각_반기 2" xfId="4643" xr:uid="{00000000-0005-0000-0000-00006F110000}"/>
    <cellStyle name="Ç¥ÁØ_Áý°èÇ¥(2¿ù) _상각_반기 2" xfId="4644" xr:uid="{00000000-0005-0000-0000-000070110000}"/>
    <cellStyle name="C￥AØ_Ay°eC￥(2¿u) _상각_반기 2 2" xfId="4645" xr:uid="{00000000-0005-0000-0000-000071110000}"/>
    <cellStyle name="Ç¥ÁØ_Áý°èÇ¥(2¿ù) _상각_반기 3" xfId="4646" xr:uid="{00000000-0005-0000-0000-000072110000}"/>
    <cellStyle name="C￥AØ_Ay°eC￥(2¿u) _상각_반기 4" xfId="4647" xr:uid="{00000000-0005-0000-0000-000073110000}"/>
    <cellStyle name="Ç¥ÁØ_Áý°èÇ¥(2¿ù) _상각_반기 4" xfId="4648" xr:uid="{00000000-0005-0000-0000-000074110000}"/>
    <cellStyle name="C￥AØ_Ay°eC￥(2¿u) _상각_반기 5" xfId="4649" xr:uid="{00000000-0005-0000-0000-000075110000}"/>
    <cellStyle name="Ç¥ÁØ_Áý°èÇ¥(2¿ù) _상각_반기 5" xfId="4650" xr:uid="{00000000-0005-0000-0000-000076110000}"/>
    <cellStyle name="C￥AØ_Ay°eC￥(2¿u) _상각_반기 6" xfId="4651" xr:uid="{00000000-0005-0000-0000-000077110000}"/>
    <cellStyle name="Ç¥ÁØ_Áý°èÇ¥(2¿ù) _상각_반기 6" xfId="4652" xr:uid="{00000000-0005-0000-0000-000078110000}"/>
    <cellStyle name="C￥AØ_Ay°eC￥(2¿u) _상각_반기 7" xfId="4653" xr:uid="{00000000-0005-0000-0000-000079110000}"/>
    <cellStyle name="Ç¥ÁØ_Áý°èÇ¥(2¿ù) _상각_반기 7" xfId="4654" xr:uid="{00000000-0005-0000-0000-00007A110000}"/>
    <cellStyle name="C￥AØ_Ay°eC￥(2¿u) _상각_사본 - 6월BS계정비교-200385-2003812" xfId="4655" xr:uid="{00000000-0005-0000-0000-00007B110000}"/>
    <cellStyle name="Ç¥ÁØ_Áý°èÇ¥(2¿ù) _상각_사본 - 6월BS계정비교-200385-2003812" xfId="4656" xr:uid="{00000000-0005-0000-0000-00007C110000}"/>
    <cellStyle name="C￥AØ_Ay°eC￥(2¿u) _상각_사본 - 6월BS계정비교-200385-2003812 2" xfId="4657" xr:uid="{00000000-0005-0000-0000-00007D110000}"/>
    <cellStyle name="Ç¥ÁØ_Áý°èÇ¥(2¿ù) _상각_수정사항집계표" xfId="4658" xr:uid="{00000000-0005-0000-0000-00007E110000}"/>
    <cellStyle name="C￥AØ_Ay°eC￥(2¿u) _상각_수정사항집계표 10" xfId="4659" xr:uid="{00000000-0005-0000-0000-00007F110000}"/>
    <cellStyle name="Ç¥ÁØ_Áý°èÇ¥(2¿ù) _상각_제시손익(02,03)" xfId="4660" xr:uid="{00000000-0005-0000-0000-000080110000}"/>
    <cellStyle name="C￥AØ_Ay°eC￥(2¿u) _상각_제시손익(02,03) 10" xfId="4661" xr:uid="{00000000-0005-0000-0000-000081110000}"/>
    <cellStyle name="Ç¥ÁØ_Áý°èÇ¥(2¿ù) _상각_제시손익(02,03) 10" xfId="4662" xr:uid="{00000000-0005-0000-0000-000082110000}"/>
    <cellStyle name="C￥AØ_Ay°eC￥(2¿u) _상각_제시손익(02,03) 11" xfId="4663" xr:uid="{00000000-0005-0000-0000-000083110000}"/>
    <cellStyle name="Ç¥ÁØ_Áý°èÇ¥(2¿ù) _상각_제시손익(02,03) 11" xfId="4664" xr:uid="{00000000-0005-0000-0000-000084110000}"/>
    <cellStyle name="C￥AØ_Ay°eC￥(2¿u) _상각_제시손익(02,03) 12" xfId="4665" xr:uid="{00000000-0005-0000-0000-000085110000}"/>
    <cellStyle name="Ç¥ÁØ_Áý°èÇ¥(2¿ù) _상각_제시손익(02,03) 12" xfId="4666" xr:uid="{00000000-0005-0000-0000-000086110000}"/>
    <cellStyle name="C￥AØ_Ay°eC￥(2¿u) _상각_제시손익(02,03) 13" xfId="4667" xr:uid="{00000000-0005-0000-0000-000087110000}"/>
    <cellStyle name="Ç¥ÁØ_Áý°èÇ¥(2¿ù) _상각_제시손익(02,03) 13" xfId="4668" xr:uid="{00000000-0005-0000-0000-000088110000}"/>
    <cellStyle name="C￥AØ_Ay°eC￥(2¿u) _상각_제시손익(02,03) 14" xfId="4669" xr:uid="{00000000-0005-0000-0000-000089110000}"/>
    <cellStyle name="Ç¥ÁØ_Áý°èÇ¥(2¿ù) _상각_제시손익(02,03) 14" xfId="4670" xr:uid="{00000000-0005-0000-0000-00008A110000}"/>
    <cellStyle name="C￥AØ_Ay°eC￥(2¿u) _상각_제시손익(02,03) 15" xfId="4671" xr:uid="{00000000-0005-0000-0000-00008B110000}"/>
    <cellStyle name="Ç¥ÁØ_Áý°èÇ¥(2¿ù) _상각_제시손익(02,03) 15" xfId="4672" xr:uid="{00000000-0005-0000-0000-00008C110000}"/>
    <cellStyle name="C￥AØ_Ay°eC￥(2¿u) _상각_제시손익(02,03) 2" xfId="4673" xr:uid="{00000000-0005-0000-0000-00008D110000}"/>
    <cellStyle name="Ç¥ÁØ_Áý°èÇ¥(2¿ù) _상각_제시손익(02,03) 2" xfId="4674" xr:uid="{00000000-0005-0000-0000-00008E110000}"/>
    <cellStyle name="C￥AØ_Ay°eC￥(2¿u) _상각_제시손익(02,03) 2 2" xfId="4675" xr:uid="{00000000-0005-0000-0000-00008F110000}"/>
    <cellStyle name="Ç¥ÁØ_Áý°èÇ¥(2¿ù) _상각_제시손익(02,03) 3" xfId="4676" xr:uid="{00000000-0005-0000-0000-000090110000}"/>
    <cellStyle name="C￥AØ_Ay°eC￥(2¿u) _상각_제시손익(02,03) 4" xfId="4677" xr:uid="{00000000-0005-0000-0000-000091110000}"/>
    <cellStyle name="Ç¥ÁØ_Áý°èÇ¥(2¿ù) _상각_제시손익(02,03) 4" xfId="4678" xr:uid="{00000000-0005-0000-0000-000092110000}"/>
    <cellStyle name="C￥AØ_Ay°eC￥(2¿u) _상각_제시손익(02,03) 5" xfId="4679" xr:uid="{00000000-0005-0000-0000-000093110000}"/>
    <cellStyle name="Ç¥ÁØ_Áý°èÇ¥(2¿ù) _상각_제시손익(02,03) 5" xfId="4680" xr:uid="{00000000-0005-0000-0000-000094110000}"/>
    <cellStyle name="C￥AØ_Ay°eC￥(2¿u) _상각_제시손익(02,03) 6" xfId="4681" xr:uid="{00000000-0005-0000-0000-000095110000}"/>
    <cellStyle name="Ç¥ÁØ_Áý°èÇ¥(2¿ù) _상각_제시손익(02,03) 6" xfId="4682" xr:uid="{00000000-0005-0000-0000-000096110000}"/>
    <cellStyle name="C￥AØ_Ay°eC￥(2¿u) _상각_제시손익(02,03) 7" xfId="4683" xr:uid="{00000000-0005-0000-0000-000097110000}"/>
    <cellStyle name="Ç¥ÁØ_Áý°èÇ¥(2¿ù) _상각_제시손익(02,03) 7" xfId="4684" xr:uid="{00000000-0005-0000-0000-000098110000}"/>
    <cellStyle name="C￥AØ_Ay°eC￥(2¿u) _상각_제시손익(02,03) 8" xfId="4685" xr:uid="{00000000-0005-0000-0000-000099110000}"/>
    <cellStyle name="Ç¥ÁØ_Áý°èÇ¥(2¿ù) _상각_제시손익(02,03) 8" xfId="4686" xr:uid="{00000000-0005-0000-0000-00009A110000}"/>
    <cellStyle name="C￥AØ_Ay°eC￥(2¿u) _상각_제시손익(02,03) 9" xfId="4687" xr:uid="{00000000-0005-0000-0000-00009B110000}"/>
    <cellStyle name="Ç¥ÁØ_Áý°èÇ¥(2¿ù) _상각_제시손익(02,03) 9" xfId="4688" xr:uid="{00000000-0005-0000-0000-00009C110000}"/>
    <cellStyle name="C￥AØ_Ay°eC￥(2¿u) _상각_차입금증감" xfId="4689" xr:uid="{00000000-0005-0000-0000-00009D110000}"/>
    <cellStyle name="Ç¥ÁØ_Áý°èÇ¥(2¿ù) _상각_차입금증감" xfId="4690" xr:uid="{00000000-0005-0000-0000-00009E110000}"/>
    <cellStyle name="C￥AØ_Ay°eC￥(2¿u) _상각_차입금증감 2" xfId="4691" xr:uid="{00000000-0005-0000-0000-00009F110000}"/>
    <cellStyle name="Ç¥ÁØ_Áý°èÇ¥(2¿ù) _상각_차입금증감 2" xfId="4692" xr:uid="{00000000-0005-0000-0000-0000A0110000}"/>
    <cellStyle name="C￥AØ_Ay°eC￥(2¿u) _상각_차입금증감 2 2" xfId="4693" xr:uid="{00000000-0005-0000-0000-0000A1110000}"/>
    <cellStyle name="Ç¥ÁØ_Áý°èÇ¥(2¿ù) _상각_차입금증감 3" xfId="4694" xr:uid="{00000000-0005-0000-0000-0000A2110000}"/>
    <cellStyle name="C￥AØ_Ay°eC￥(2¿u) _상각_차입금증감 4" xfId="4695" xr:uid="{00000000-0005-0000-0000-0000A3110000}"/>
    <cellStyle name="Ç¥ÁØ_Áý°èÇ¥(2¿ù) _상각_차입금증감 4" xfId="4696" xr:uid="{00000000-0005-0000-0000-0000A4110000}"/>
    <cellStyle name="C￥AØ_Ay°eC￥(2¿u) _상각_차입금증감 5" xfId="4697" xr:uid="{00000000-0005-0000-0000-0000A5110000}"/>
    <cellStyle name="Ç¥ÁØ_Áý°èÇ¥(2¿ù) _상각_차입금증감 5" xfId="4698" xr:uid="{00000000-0005-0000-0000-0000A6110000}"/>
    <cellStyle name="C￥AØ_Ay°eC￥(2¿u) _상각_차입금증감 6" xfId="4699" xr:uid="{00000000-0005-0000-0000-0000A7110000}"/>
    <cellStyle name="Ç¥ÁØ_Áý°èÇ¥(2¿ù) _상각_차입금증감 6" xfId="4700" xr:uid="{00000000-0005-0000-0000-0000A8110000}"/>
    <cellStyle name="C￥AØ_Ay°eC￥(2¿u) _상각_차입금증감 7" xfId="4701" xr:uid="{00000000-0005-0000-0000-0000A9110000}"/>
    <cellStyle name="Ç¥ÁØ_Áý°èÇ¥(2¿ù) _상각_차입금증감 7" xfId="4702" xr:uid="{00000000-0005-0000-0000-0000AA110000}"/>
    <cellStyle name="C￥AØ_Ay°eC￥(2¿u) _상각_후순위채내역" xfId="4703" xr:uid="{00000000-0005-0000-0000-0000AB110000}"/>
    <cellStyle name="Ç¥ÁØ_Áý°èÇ¥(2¿ù) _상각_후순위채내역" xfId="4704" xr:uid="{00000000-0005-0000-0000-0000AC110000}"/>
    <cellStyle name="C￥AØ_Ay°eC￥(2¿u) _상각_후순위채내역 2" xfId="4705" xr:uid="{00000000-0005-0000-0000-0000AD110000}"/>
    <cellStyle name="Ç¥ÁØ_Áý°èÇ¥(2¿ù) _상각_후순위채내역 2" xfId="4706" xr:uid="{00000000-0005-0000-0000-0000AE110000}"/>
    <cellStyle name="C￥AØ_Ay°eC￥(2¿u) _상각_후순위채내역 2 2" xfId="4707" xr:uid="{00000000-0005-0000-0000-0000AF110000}"/>
    <cellStyle name="Ç¥ÁØ_Áý°èÇ¥(2¿ù) _상각_후순위채내역 3" xfId="4708" xr:uid="{00000000-0005-0000-0000-0000B0110000}"/>
    <cellStyle name="C￥AØ_Ay°eC￥(2¿u) _상각_후순위채내역 4" xfId="4709" xr:uid="{00000000-0005-0000-0000-0000B1110000}"/>
    <cellStyle name="Ç¥ÁØ_Áý°èÇ¥(2¿ù) _상각_후순위채내역 4" xfId="4710" xr:uid="{00000000-0005-0000-0000-0000B2110000}"/>
    <cellStyle name="C￥AØ_Ay°eC￥(2¿u) _상각_후순위채내역 5" xfId="4711" xr:uid="{00000000-0005-0000-0000-0000B3110000}"/>
    <cellStyle name="Ç¥ÁØ_Áý°èÇ¥(2¿ù) _상각_후순위채내역 5" xfId="4712" xr:uid="{00000000-0005-0000-0000-0000B4110000}"/>
    <cellStyle name="C￥AØ_Ay°eC￥(2¿u) _상각_후순위채내역 6" xfId="4713" xr:uid="{00000000-0005-0000-0000-0000B5110000}"/>
    <cellStyle name="Ç¥ÁØ_Áý°èÇ¥(2¿ù) _상각_후순위채내역 6" xfId="4714" xr:uid="{00000000-0005-0000-0000-0000B6110000}"/>
    <cellStyle name="C￥AØ_Ay°eC￥(2¿u) _상각_후순위채내역 7" xfId="4715" xr:uid="{00000000-0005-0000-0000-0000B7110000}"/>
    <cellStyle name="Ç¥ÁØ_Áý°èÇ¥(2¿ù) _상각_후순위채내역 7" xfId="4716" xr:uid="{00000000-0005-0000-0000-0000B8110000}"/>
    <cellStyle name="C￥AØ_Ay°eC￥(2¿u) _상반기현할차(장기성채권)" xfId="4717" xr:uid="{00000000-0005-0000-0000-0000B9110000}"/>
    <cellStyle name="Ç¥ÁØ_Áý°èÇ¥(2¿ù) _상반기현할차(장기성채권)" xfId="4718" xr:uid="{00000000-0005-0000-0000-0000BA110000}"/>
    <cellStyle name="C￥AØ_Ay°eC￥(2¿u) _상반기현할차(장기성채권) 2" xfId="4719" xr:uid="{00000000-0005-0000-0000-0000BB110000}"/>
    <cellStyle name="Ç¥ÁØ_Áý°èÇ¥(2¿ù) _상반기현할차(장기성채권) 2" xfId="4720" xr:uid="{00000000-0005-0000-0000-0000BC110000}"/>
    <cellStyle name="C￥AØ_Ay°eC￥(2¿u) _상반기현할차(장기성채권) 2 2" xfId="4721" xr:uid="{00000000-0005-0000-0000-0000BD110000}"/>
    <cellStyle name="Ç¥ÁØ_Áý°èÇ¥(2¿ù) _상반기현할차(장기성채권) 3" xfId="4722" xr:uid="{00000000-0005-0000-0000-0000BE110000}"/>
    <cellStyle name="C￥AØ_Ay°eC￥(2¿u) _상반기현할차(장기성채권) 4" xfId="4723" xr:uid="{00000000-0005-0000-0000-0000BF110000}"/>
    <cellStyle name="Ç¥ÁØ_Áý°èÇ¥(2¿ù) _상반기현할차(장기성채권) 4" xfId="4724" xr:uid="{00000000-0005-0000-0000-0000C0110000}"/>
    <cellStyle name="C￥AØ_Ay°eC￥(2¿u) _상반기현할차(장기성채권) 5" xfId="4725" xr:uid="{00000000-0005-0000-0000-0000C1110000}"/>
    <cellStyle name="Ç¥ÁØ_Áý°èÇ¥(2¿ù) _상반기현할차(장기성채권) 5" xfId="4726" xr:uid="{00000000-0005-0000-0000-0000C2110000}"/>
    <cellStyle name="C￥AØ_Ay°eC￥(2¿u) _상반기현할차(장기성채권) 6" xfId="4727" xr:uid="{00000000-0005-0000-0000-0000C3110000}"/>
    <cellStyle name="Ç¥ÁØ_Áý°èÇ¥(2¿ù) _상반기현할차(장기성채권) 6" xfId="4728" xr:uid="{00000000-0005-0000-0000-0000C4110000}"/>
    <cellStyle name="C￥AØ_Ay°eC￥(2¿u) _상반기현할차(장기성채권) 7" xfId="4729" xr:uid="{00000000-0005-0000-0000-0000C5110000}"/>
    <cellStyle name="Ç¥ÁØ_Áý°èÇ¥(2¿ù) _상반기현할차(장기성채권) 7" xfId="4730" xr:uid="{00000000-0005-0000-0000-0000C6110000}"/>
    <cellStyle name="C￥AØ_Ay°eC￥(2¿u) _손익첨부자료" xfId="4731" xr:uid="{00000000-0005-0000-0000-0000C7110000}"/>
    <cellStyle name="Ç¥ÁØ_Áý°èÇ¥(2¿ù) _손익첨부자료" xfId="4732" xr:uid="{00000000-0005-0000-0000-0000C8110000}"/>
    <cellStyle name="C￥AØ_Ay°eC￥(2¿u) _손익첨부자료 2" xfId="4733" xr:uid="{00000000-0005-0000-0000-0000C9110000}"/>
    <cellStyle name="Ç¥ÁØ_Áý°èÇ¥(2¿ù) _순천공장, 투자계획안(3차조정안)" xfId="4734" xr:uid="{00000000-0005-0000-0000-0000CA110000}"/>
    <cellStyle name="C￥AØ_Ay°eC￥(2¿u) _순천공장, 투자계획안(3차조정안) 10" xfId="4735" xr:uid="{00000000-0005-0000-0000-0000CB110000}"/>
    <cellStyle name="Ç¥ÁØ_Áý°èÇ¥(2¿ù) _순천공장, 투자계획안(3차조정안)_투자계획" xfId="4736" xr:uid="{00000000-0005-0000-0000-0000CC110000}"/>
    <cellStyle name="C￥AØ_Ay°eC￥(2¿u) _순천공장, 투자계획안(3차조정안)_투자계획 10" xfId="4737" xr:uid="{00000000-0005-0000-0000-0000CD110000}"/>
    <cellStyle name="Ç¥ÁØ_Áý°èÇ¥(2¿ù) _용준대손검토(장기성)" xfId="4738" xr:uid="{00000000-0005-0000-0000-0000CE110000}"/>
    <cellStyle name="C￥AØ_Ay°eC￥(2¿u) _용준대손검토(장기성) 10" xfId="4739" xr:uid="{00000000-0005-0000-0000-0000CF110000}"/>
    <cellStyle name="Ç¥ÁØ_Áý°èÇ¥(2¿ù) _이월" xfId="4740" xr:uid="{00000000-0005-0000-0000-0000D0110000}"/>
    <cellStyle name="C￥AØ_Ay°eC￥(2¿u) _이월 10" xfId="4741" xr:uid="{00000000-0005-0000-0000-0000D1110000}"/>
    <cellStyle name="Ç¥ÁØ_Áý°èÇ¥(2¿ù) _현재가치(1~4분기)" xfId="4742" xr:uid="{00000000-0005-0000-0000-0000D2110000}"/>
    <cellStyle name="C￥AØ_Ay°eC￥(2¿u) _현재가치(1~4분기) 10" xfId="4743" xr:uid="{00000000-0005-0000-0000-0000D3110000}"/>
    <cellStyle name="Ç¥ÁØ_Áý°èÇ¥(2¿ù) _현재가치(1~4분기) 10" xfId="4744" xr:uid="{00000000-0005-0000-0000-0000D4110000}"/>
    <cellStyle name="C￥AØ_Ay°eC￥(2¿u) _현재가치(1~4분기) 11" xfId="4745" xr:uid="{00000000-0005-0000-0000-0000D5110000}"/>
    <cellStyle name="Ç¥ÁØ_Áý°èÇ¥(2¿ù) _현재가치(1~4분기) 11" xfId="4746" xr:uid="{00000000-0005-0000-0000-0000D6110000}"/>
    <cellStyle name="C￥AØ_Ay°eC￥(2¿u) _현재가치(1~4분기) 12" xfId="4747" xr:uid="{00000000-0005-0000-0000-0000D7110000}"/>
    <cellStyle name="Ç¥ÁØ_Áý°èÇ¥(2¿ù) _현재가치(1~4분기) 12" xfId="4748" xr:uid="{00000000-0005-0000-0000-0000D8110000}"/>
    <cellStyle name="C￥AØ_Ay°eC￥(2¿u) _현재가치(1~4분기) 13" xfId="4749" xr:uid="{00000000-0005-0000-0000-0000D9110000}"/>
    <cellStyle name="Ç¥ÁØ_Áý°èÇ¥(2¿ù) _현재가치(1~4분기) 13" xfId="4750" xr:uid="{00000000-0005-0000-0000-0000DA110000}"/>
    <cellStyle name="C￥AØ_Ay°eC￥(2¿u) _현재가치(1~4분기) 14" xfId="4751" xr:uid="{00000000-0005-0000-0000-0000DB110000}"/>
    <cellStyle name="Ç¥ÁØ_Áý°èÇ¥(2¿ù) _현재가치(1~4분기) 14" xfId="4752" xr:uid="{00000000-0005-0000-0000-0000DC110000}"/>
    <cellStyle name="C￥AØ_Ay°eC￥(2¿u) _현재가치(1~4분기) 15" xfId="4753" xr:uid="{00000000-0005-0000-0000-0000DD110000}"/>
    <cellStyle name="Ç¥ÁØ_Áý°èÇ¥(2¿ù) _현재가치(1~4분기) 15" xfId="4754" xr:uid="{00000000-0005-0000-0000-0000DE110000}"/>
    <cellStyle name="C￥AØ_Ay°eC￥(2¿u) _현재가치(1~4분기) 2" xfId="4755" xr:uid="{00000000-0005-0000-0000-0000DF110000}"/>
    <cellStyle name="Ç¥ÁØ_Áý°èÇ¥(2¿ù) _현재가치(1~4분기) 2" xfId="4756" xr:uid="{00000000-0005-0000-0000-0000E0110000}"/>
    <cellStyle name="C￥AØ_Ay°eC￥(2¿u) _현재가치(1~4분기) 2 2" xfId="4757" xr:uid="{00000000-0005-0000-0000-0000E1110000}"/>
    <cellStyle name="Ç¥ÁØ_Áý°èÇ¥(2¿ù) _현재가치(1~4분기) 3" xfId="4758" xr:uid="{00000000-0005-0000-0000-0000E2110000}"/>
    <cellStyle name="C￥AØ_Ay°eC￥(2¿u) _현재가치(1~4분기) 4" xfId="4759" xr:uid="{00000000-0005-0000-0000-0000E3110000}"/>
    <cellStyle name="Ç¥ÁØ_Áý°èÇ¥(2¿ù) _현재가치(1~4분기) 4" xfId="4760" xr:uid="{00000000-0005-0000-0000-0000E4110000}"/>
    <cellStyle name="C￥AØ_Ay°eC￥(2¿u) _현재가치(1~4분기) 5" xfId="4761" xr:uid="{00000000-0005-0000-0000-0000E5110000}"/>
    <cellStyle name="Ç¥ÁØ_Áý°èÇ¥(2¿ù) _현재가치(1~4분기) 5" xfId="4762" xr:uid="{00000000-0005-0000-0000-0000E6110000}"/>
    <cellStyle name="C￥AØ_Ay°eC￥(2¿u) _현재가치(1~4분기) 6" xfId="4763" xr:uid="{00000000-0005-0000-0000-0000E7110000}"/>
    <cellStyle name="Ç¥ÁØ_Áý°èÇ¥(2¿ù) _현재가치(1~4분기) 6" xfId="4764" xr:uid="{00000000-0005-0000-0000-0000E8110000}"/>
    <cellStyle name="C￥AØ_Ay°eC￥(2¿u) _현재가치(1~4분기) 7" xfId="4765" xr:uid="{00000000-0005-0000-0000-0000E9110000}"/>
    <cellStyle name="Ç¥ÁØ_Áý°èÇ¥(2¿ù) _현재가치(1~4분기) 7" xfId="4766" xr:uid="{00000000-0005-0000-0000-0000EA110000}"/>
    <cellStyle name="C￥AØ_Ay°eC￥(2¿u) _현재가치(1~4분기) 8" xfId="4767" xr:uid="{00000000-0005-0000-0000-0000EB110000}"/>
    <cellStyle name="Ç¥ÁØ_Áý°èÇ¥(2¿ù) _현재가치(1~4분기) 8" xfId="4768" xr:uid="{00000000-0005-0000-0000-0000EC110000}"/>
    <cellStyle name="C￥AØ_Ay°eC￥(2¿u) _현재가치(1~4분기) 9" xfId="4769" xr:uid="{00000000-0005-0000-0000-0000ED110000}"/>
    <cellStyle name="Ç¥ÁØ_Áý°èÇ¥(2¿ù) _현재가치(1~4분기) 9" xfId="4770" xr:uid="{00000000-0005-0000-0000-0000EE110000}"/>
    <cellStyle name="C￥AØ_CD-ROM " xfId="4771" xr:uid="{00000000-0005-0000-0000-0000EF110000}"/>
    <cellStyle name="Ç¥ÁØ_CD-ROM " xfId="4772" xr:uid="{00000000-0005-0000-0000-0000F0110000}"/>
    <cellStyle name="C￥AØ_CoAo¹yAI °A¾×¿ⓒ½A " xfId="4773" xr:uid="{00000000-0005-0000-0000-0000F1110000}"/>
    <cellStyle name="Ç¥ÁØ_È¸¼±½ÅÃ»¼­" xfId="4774" xr:uid="{00000000-0005-0000-0000-0000F2110000}"/>
    <cellStyle name="C￥AØ_E¸¼±½AA≫¼­" xfId="4775" xr:uid="{00000000-0005-0000-0000-0000F3110000}"/>
    <cellStyle name="Ç¥ÁØ_Jinro-BS" xfId="4776" xr:uid="{00000000-0005-0000-0000-0000F4110000}"/>
    <cellStyle name="C￥AØ_Sheet1_¿μ¾÷CoE² " xfId="4777" xr:uid="{00000000-0005-0000-0000-0000F5110000}"/>
    <cellStyle name="Ç¥ÁØ_Sheet1_0N-HANDLING " xfId="4778" xr:uid="{00000000-0005-0000-0000-0000F6110000}"/>
    <cellStyle name="C￥AØ_Sheet1_Ay°eC￥(2¿u) " xfId="4779" xr:uid="{00000000-0005-0000-0000-0000F7110000}"/>
    <cellStyle name="Ç¥ÁØ_Sheet1_Áý°èÇ¥(2¿ù) " xfId="4780" xr:uid="{00000000-0005-0000-0000-0000F8110000}"/>
    <cellStyle name="C￥AØ_Sheet1_Ay°eC￥(2¿u) _●6월결산전표내역정리" xfId="4781" xr:uid="{00000000-0005-0000-0000-0000F9110000}"/>
    <cellStyle name="Ç¥ÁØ_Sheet1_Áý°èÇ¥(2¿ù) _●6월결산전표내역정리" xfId="4782" xr:uid="{00000000-0005-0000-0000-0000FA110000}"/>
    <cellStyle name="C￥AØ_Sheet1_Ay°eC￥(2¿u) _●6월결산전표내역정리 10" xfId="4783" xr:uid="{00000000-0005-0000-0000-0000FB110000}"/>
    <cellStyle name="Ç¥ÁØ_Sheet1_Áý°èÇ¥(2¿ù) _●6월결산전표내역정리 10" xfId="4784" xr:uid="{00000000-0005-0000-0000-0000FC110000}"/>
    <cellStyle name="C￥AØ_Sheet1_Ay°eC￥(2¿u) _●6월결산전표내역정리 11" xfId="4785" xr:uid="{00000000-0005-0000-0000-0000FD110000}"/>
    <cellStyle name="Ç¥ÁØ_Sheet1_Áý°èÇ¥(2¿ù) _●6월결산전표내역정리 11" xfId="4786" xr:uid="{00000000-0005-0000-0000-0000FE110000}"/>
    <cellStyle name="C￥AØ_Sheet1_Ay°eC￥(2¿u) _●6월결산전표내역정리 12" xfId="4787" xr:uid="{00000000-0005-0000-0000-0000FF110000}"/>
    <cellStyle name="Ç¥ÁØ_Sheet1_Áý°èÇ¥(2¿ù) _●6월결산전표내역정리 12" xfId="4788" xr:uid="{00000000-0005-0000-0000-000000120000}"/>
    <cellStyle name="C￥AØ_Sheet1_Ay°eC￥(2¿u) _●6월결산전표내역정리 13" xfId="4789" xr:uid="{00000000-0005-0000-0000-000001120000}"/>
    <cellStyle name="Ç¥ÁØ_Sheet1_Áý°èÇ¥(2¿ù) _●6월결산전표내역정리 13" xfId="4790" xr:uid="{00000000-0005-0000-0000-000002120000}"/>
    <cellStyle name="C￥AØ_Sheet1_Ay°eC￥(2¿u) _●6월결산전표내역정리 14" xfId="4791" xr:uid="{00000000-0005-0000-0000-000003120000}"/>
    <cellStyle name="Ç¥ÁØ_Sheet1_Áý°èÇ¥(2¿ù) _●6월결산전표내역정리 14" xfId="4792" xr:uid="{00000000-0005-0000-0000-000004120000}"/>
    <cellStyle name="C￥AØ_Sheet1_Ay°eC￥(2¿u) _●6월결산전표내역정리 15" xfId="4793" xr:uid="{00000000-0005-0000-0000-000005120000}"/>
    <cellStyle name="Ç¥ÁØ_Sheet1_Áý°èÇ¥(2¿ù) _●6월결산전표내역정리 15" xfId="4794" xr:uid="{00000000-0005-0000-0000-000006120000}"/>
    <cellStyle name="C￥AØ_Sheet1_Ay°eC￥(2¿u) _●6월결산전표내역정리 2" xfId="4795" xr:uid="{00000000-0005-0000-0000-000007120000}"/>
    <cellStyle name="Ç¥ÁØ_Sheet1_Áý°èÇ¥(2¿ù) _●6월결산전표내역정리 2" xfId="4796" xr:uid="{00000000-0005-0000-0000-000008120000}"/>
    <cellStyle name="C￥AØ_Sheet1_Ay°eC￥(2¿u) _●6월결산전표내역정리 3" xfId="4797" xr:uid="{00000000-0005-0000-0000-000009120000}"/>
    <cellStyle name="Ç¥ÁØ_Sheet1_Áý°èÇ¥(2¿ù) _●6월결산전표내역정리 3" xfId="4798" xr:uid="{00000000-0005-0000-0000-00000A120000}"/>
    <cellStyle name="C￥AØ_Sheet1_Ay°eC￥(2¿u) _●6월결산전표내역정리 4" xfId="4799" xr:uid="{00000000-0005-0000-0000-00000B120000}"/>
    <cellStyle name="Ç¥ÁØ_Sheet1_Áý°èÇ¥(2¿ù) _●6월결산전표내역정리 4" xfId="4800" xr:uid="{00000000-0005-0000-0000-00000C120000}"/>
    <cellStyle name="C￥AØ_Sheet1_Ay°eC￥(2¿u) _●6월결산전표내역정리 5" xfId="4801" xr:uid="{00000000-0005-0000-0000-00000D120000}"/>
    <cellStyle name="Ç¥ÁØ_Sheet1_Áý°èÇ¥(2¿ù) _●6월결산전표내역정리 5" xfId="4802" xr:uid="{00000000-0005-0000-0000-00000E120000}"/>
    <cellStyle name="C￥AØ_Sheet1_Ay°eC￥(2¿u) _●6월결산전표내역정리 6" xfId="4803" xr:uid="{00000000-0005-0000-0000-00000F120000}"/>
    <cellStyle name="Ç¥ÁØ_Sheet1_Áý°èÇ¥(2¿ù) _●6월결산전표내역정리 6" xfId="4804" xr:uid="{00000000-0005-0000-0000-000010120000}"/>
    <cellStyle name="C￥AØ_Sheet1_Ay°eC￥(2¿u) _●6월결산전표내역정리 7" xfId="4805" xr:uid="{00000000-0005-0000-0000-000011120000}"/>
    <cellStyle name="Ç¥ÁØ_Sheet1_Áý°èÇ¥(2¿ù) _●6월결산전표내역정리 7" xfId="4806" xr:uid="{00000000-0005-0000-0000-000012120000}"/>
    <cellStyle name="C￥AØ_Sheet1_Ay°eC￥(2¿u) _●6월결산전표내역정리 8" xfId="4807" xr:uid="{00000000-0005-0000-0000-000013120000}"/>
    <cellStyle name="Ç¥ÁØ_Sheet1_Áý°èÇ¥(2¿ù) _●6월결산전표내역정리 8" xfId="4808" xr:uid="{00000000-0005-0000-0000-000014120000}"/>
    <cellStyle name="C￥AØ_Sheet1_Ay°eC￥(2¿u) _●6월결산전표내역정리 9" xfId="4809" xr:uid="{00000000-0005-0000-0000-000015120000}"/>
    <cellStyle name="Ç¥ÁØ_Sheet1_Áý°èÇ¥(2¿ù) _●6월결산전표내역정리 9" xfId="4810" xr:uid="{00000000-0005-0000-0000-000016120000}"/>
    <cellStyle name="C￥AØ_Sheet1_Ay°eC￥(2¿u) _●분석적검토" xfId="4811" xr:uid="{00000000-0005-0000-0000-000017120000}"/>
    <cellStyle name="Ç¥ÁØ_Sheet1_Áý°èÇ¥(2¿ù) _●분석적검토" xfId="4812" xr:uid="{00000000-0005-0000-0000-000018120000}"/>
    <cellStyle name="C￥AØ_Sheet1_Ay°eC￥(2¿u) _●분석적검토 10" xfId="4813" xr:uid="{00000000-0005-0000-0000-000019120000}"/>
    <cellStyle name="Ç¥ÁØ_Sheet1_Áý°èÇ¥(2¿ù) _●분석적검토 10" xfId="4814" xr:uid="{00000000-0005-0000-0000-00001A120000}"/>
    <cellStyle name="C￥AØ_Sheet1_Ay°eC￥(2¿u) _●분석적검토 11" xfId="4815" xr:uid="{00000000-0005-0000-0000-00001B120000}"/>
    <cellStyle name="Ç¥ÁØ_Sheet1_Áý°èÇ¥(2¿ù) _●분석적검토 11" xfId="4816" xr:uid="{00000000-0005-0000-0000-00001C120000}"/>
    <cellStyle name="C￥AØ_Sheet1_Ay°eC￥(2¿u) _●분석적검토 12" xfId="4817" xr:uid="{00000000-0005-0000-0000-00001D120000}"/>
    <cellStyle name="Ç¥ÁØ_Sheet1_Áý°èÇ¥(2¿ù) _●분석적검토 12" xfId="4818" xr:uid="{00000000-0005-0000-0000-00001E120000}"/>
    <cellStyle name="C￥AØ_Sheet1_Ay°eC￥(2¿u) _●분석적검토 13" xfId="4819" xr:uid="{00000000-0005-0000-0000-00001F120000}"/>
    <cellStyle name="Ç¥ÁØ_Sheet1_Áý°èÇ¥(2¿ù) _●분석적검토 13" xfId="4820" xr:uid="{00000000-0005-0000-0000-000020120000}"/>
    <cellStyle name="C￥AØ_Sheet1_Ay°eC￥(2¿u) _●분석적검토 14" xfId="4821" xr:uid="{00000000-0005-0000-0000-000021120000}"/>
    <cellStyle name="Ç¥ÁØ_Sheet1_Áý°èÇ¥(2¿ù) _●분석적검토 14" xfId="4822" xr:uid="{00000000-0005-0000-0000-000022120000}"/>
    <cellStyle name="C￥AØ_Sheet1_Ay°eC￥(2¿u) _●분석적검토 15" xfId="4823" xr:uid="{00000000-0005-0000-0000-000023120000}"/>
    <cellStyle name="Ç¥ÁØ_Sheet1_Áý°èÇ¥(2¿ù) _●분석적검토 15" xfId="4824" xr:uid="{00000000-0005-0000-0000-000024120000}"/>
    <cellStyle name="C￥AØ_Sheet1_Ay°eC￥(2¿u) _●분석적검토 2" xfId="4825" xr:uid="{00000000-0005-0000-0000-000025120000}"/>
    <cellStyle name="Ç¥ÁØ_Sheet1_Áý°èÇ¥(2¿ù) _●분석적검토 2" xfId="4826" xr:uid="{00000000-0005-0000-0000-000026120000}"/>
    <cellStyle name="C￥AØ_Sheet1_Ay°eC￥(2¿u) _●분석적검토 3" xfId="4827" xr:uid="{00000000-0005-0000-0000-000027120000}"/>
    <cellStyle name="Ç¥ÁØ_Sheet1_Áý°èÇ¥(2¿ù) _●분석적검토 3" xfId="4828" xr:uid="{00000000-0005-0000-0000-000028120000}"/>
    <cellStyle name="C￥AØ_Sheet1_Ay°eC￥(2¿u) _●분석적검토 4" xfId="4829" xr:uid="{00000000-0005-0000-0000-000029120000}"/>
    <cellStyle name="Ç¥ÁØ_Sheet1_Áý°èÇ¥(2¿ù) _●분석적검토 4" xfId="4830" xr:uid="{00000000-0005-0000-0000-00002A120000}"/>
    <cellStyle name="C￥AØ_Sheet1_Ay°eC￥(2¿u) _●분석적검토 5" xfId="4831" xr:uid="{00000000-0005-0000-0000-00002B120000}"/>
    <cellStyle name="Ç¥ÁØ_Sheet1_Áý°èÇ¥(2¿ù) _●분석적검토 5" xfId="4832" xr:uid="{00000000-0005-0000-0000-00002C120000}"/>
    <cellStyle name="C￥AØ_Sheet1_Ay°eC￥(2¿u) _●분석적검토 6" xfId="4833" xr:uid="{00000000-0005-0000-0000-00002D120000}"/>
    <cellStyle name="Ç¥ÁØ_Sheet1_Áý°èÇ¥(2¿ù) _●분석적검토 6" xfId="4834" xr:uid="{00000000-0005-0000-0000-00002E120000}"/>
    <cellStyle name="C￥AØ_Sheet1_Ay°eC￥(2¿u) _●분석적검토 7" xfId="4835" xr:uid="{00000000-0005-0000-0000-00002F120000}"/>
    <cellStyle name="Ç¥ÁØ_Sheet1_Áý°èÇ¥(2¿ù) _●분석적검토 7" xfId="4836" xr:uid="{00000000-0005-0000-0000-000030120000}"/>
    <cellStyle name="C￥AØ_Sheet1_Ay°eC￥(2¿u) _●분석적검토 8" xfId="4837" xr:uid="{00000000-0005-0000-0000-000031120000}"/>
    <cellStyle name="Ç¥ÁØ_Sheet1_Áý°èÇ¥(2¿ù) _●분석적검토 8" xfId="4838" xr:uid="{00000000-0005-0000-0000-000032120000}"/>
    <cellStyle name="C￥AØ_Sheet1_Ay°eC￥(2¿u) _●분석적검토 9" xfId="4839" xr:uid="{00000000-0005-0000-0000-000033120000}"/>
    <cellStyle name="Ç¥ÁØ_Sheet1_Áý°èÇ¥(2¿ù) _●분석적검토 9" xfId="4840" xr:uid="{00000000-0005-0000-0000-000034120000}"/>
    <cellStyle name="C￥AØ_Sheet1_Ay°eC￥(2¿u) _02.12.대손세액xls" xfId="4841" xr:uid="{00000000-0005-0000-0000-000035120000}"/>
    <cellStyle name="Ç¥ÁØ_Sheet1_Áý°èÇ¥(2¿ù) _02.12.대손세액xls" xfId="4842" xr:uid="{00000000-0005-0000-0000-000036120000}"/>
    <cellStyle name="C￥AØ_Sheet1_Ay°eC￥(2¿u) _02.12.대손세액xls 10" xfId="4843" xr:uid="{00000000-0005-0000-0000-000037120000}"/>
    <cellStyle name="Ç¥ÁØ_Sheet1_Áý°èÇ¥(2¿ù) _02.12.대손세액xls 10" xfId="4844" xr:uid="{00000000-0005-0000-0000-000038120000}"/>
    <cellStyle name="C￥AØ_Sheet1_Ay°eC￥(2¿u) _02.12.대손세액xls 11" xfId="4845" xr:uid="{00000000-0005-0000-0000-000039120000}"/>
    <cellStyle name="Ç¥ÁØ_Sheet1_Áý°èÇ¥(2¿ù) _02.12.대손세액xls 11" xfId="4846" xr:uid="{00000000-0005-0000-0000-00003A120000}"/>
    <cellStyle name="C￥AØ_Sheet1_Ay°eC￥(2¿u) _02.12.대손세액xls 12" xfId="4847" xr:uid="{00000000-0005-0000-0000-00003B120000}"/>
    <cellStyle name="Ç¥ÁØ_Sheet1_Áý°èÇ¥(2¿ù) _02.12.대손세액xls 12" xfId="4848" xr:uid="{00000000-0005-0000-0000-00003C120000}"/>
    <cellStyle name="C￥AØ_Sheet1_Ay°eC￥(2¿u) _02.12.대손세액xls 13" xfId="4849" xr:uid="{00000000-0005-0000-0000-00003D120000}"/>
    <cellStyle name="Ç¥ÁØ_Sheet1_Áý°èÇ¥(2¿ù) _02.12.대손세액xls 13" xfId="4850" xr:uid="{00000000-0005-0000-0000-00003E120000}"/>
    <cellStyle name="C￥AØ_Sheet1_Ay°eC￥(2¿u) _02.12.대손세액xls 14" xfId="4851" xr:uid="{00000000-0005-0000-0000-00003F120000}"/>
    <cellStyle name="Ç¥ÁØ_Sheet1_Áý°èÇ¥(2¿ù) _02.12.대손세액xls 14" xfId="4852" xr:uid="{00000000-0005-0000-0000-000040120000}"/>
    <cellStyle name="C￥AØ_Sheet1_Ay°eC￥(2¿u) _02.12.대손세액xls 15" xfId="4853" xr:uid="{00000000-0005-0000-0000-000041120000}"/>
    <cellStyle name="Ç¥ÁØ_Sheet1_Áý°èÇ¥(2¿ù) _02.12.대손세액xls 15" xfId="4854" xr:uid="{00000000-0005-0000-0000-000042120000}"/>
    <cellStyle name="C￥AØ_Sheet1_Ay°eC￥(2¿u) _02.12.대손세액xls 2" xfId="4855" xr:uid="{00000000-0005-0000-0000-000043120000}"/>
    <cellStyle name="Ç¥ÁØ_Sheet1_Áý°èÇ¥(2¿ù) _02.12.대손세액xls 2" xfId="4856" xr:uid="{00000000-0005-0000-0000-000044120000}"/>
    <cellStyle name="C￥AØ_Sheet1_Ay°eC￥(2¿u) _02.12.대손세액xls 3" xfId="4857" xr:uid="{00000000-0005-0000-0000-000045120000}"/>
    <cellStyle name="Ç¥ÁØ_Sheet1_Áý°èÇ¥(2¿ù) _02.12.대손세액xls 3" xfId="4858" xr:uid="{00000000-0005-0000-0000-000046120000}"/>
    <cellStyle name="C￥AØ_Sheet1_Ay°eC￥(2¿u) _02.12.대손세액xls 4" xfId="4859" xr:uid="{00000000-0005-0000-0000-000047120000}"/>
    <cellStyle name="Ç¥ÁØ_Sheet1_Áý°èÇ¥(2¿ù) _02.12.대손세액xls 4" xfId="4860" xr:uid="{00000000-0005-0000-0000-000048120000}"/>
    <cellStyle name="C￥AØ_Sheet1_Ay°eC￥(2¿u) _02.12.대손세액xls 5" xfId="4861" xr:uid="{00000000-0005-0000-0000-000049120000}"/>
    <cellStyle name="Ç¥ÁØ_Sheet1_Áý°èÇ¥(2¿ù) _02.12.대손세액xls 5" xfId="4862" xr:uid="{00000000-0005-0000-0000-00004A120000}"/>
    <cellStyle name="C￥AØ_Sheet1_Ay°eC￥(2¿u) _02.12.대손세액xls 6" xfId="4863" xr:uid="{00000000-0005-0000-0000-00004B120000}"/>
    <cellStyle name="Ç¥ÁØ_Sheet1_Áý°èÇ¥(2¿ù) _02.12.대손세액xls 6" xfId="4864" xr:uid="{00000000-0005-0000-0000-00004C120000}"/>
    <cellStyle name="C￥AØ_Sheet1_Ay°eC￥(2¿u) _02.12.대손세액xls 7" xfId="4865" xr:uid="{00000000-0005-0000-0000-00004D120000}"/>
    <cellStyle name="Ç¥ÁØ_Sheet1_Áý°èÇ¥(2¿ù) _02.12.대손세액xls 7" xfId="4866" xr:uid="{00000000-0005-0000-0000-00004E120000}"/>
    <cellStyle name="C￥AØ_Sheet1_Ay°eC￥(2¿u) _02.12.대손세액xls 8" xfId="4867" xr:uid="{00000000-0005-0000-0000-00004F120000}"/>
    <cellStyle name="Ç¥ÁØ_Sheet1_Áý°èÇ¥(2¿ù) _02.12.대손세액xls 8" xfId="4868" xr:uid="{00000000-0005-0000-0000-000050120000}"/>
    <cellStyle name="C￥AØ_Sheet1_Ay°eC￥(2¿u) _02.12.대손세액xls 9" xfId="4869" xr:uid="{00000000-0005-0000-0000-000051120000}"/>
    <cellStyle name="Ç¥ÁØ_Sheet1_Áý°èÇ¥(2¿ù) _02.12.대손세액xls 9" xfId="4870" xr:uid="{00000000-0005-0000-0000-000052120000}"/>
    <cellStyle name="C￥AØ_Sheet1_Ay°eC￥(2¿u) _2003년06월명세" xfId="4871" xr:uid="{00000000-0005-0000-0000-000053120000}"/>
    <cellStyle name="Ç¥ÁØ_Sheet1_Áý°èÇ¥(2¿ù) _2003년06월명세" xfId="4872" xr:uid="{00000000-0005-0000-0000-000054120000}"/>
    <cellStyle name="C￥AØ_Sheet1_Ay°eC￥(2¿u) _6월결산전표내역정리-200379" xfId="4873" xr:uid="{00000000-0005-0000-0000-000055120000}"/>
    <cellStyle name="Ç¥ÁØ_Sheet1_Áý°èÇ¥(2¿ù) _6월결산전표내역정리-200379" xfId="4874" xr:uid="{00000000-0005-0000-0000-000056120000}"/>
    <cellStyle name="C￥AØ_Sheet1_Ay°eC￥(2¿u) _6월결산전표내역정리-200379 10" xfId="4875" xr:uid="{00000000-0005-0000-0000-000057120000}"/>
    <cellStyle name="Ç¥ÁØ_Sheet1_Áý°èÇ¥(2¿ù) _6월결산전표내역정리-200379 10" xfId="4876" xr:uid="{00000000-0005-0000-0000-000058120000}"/>
    <cellStyle name="C￥AØ_Sheet1_Ay°eC￥(2¿u) _6월결산전표내역정리-200379 11" xfId="4877" xr:uid="{00000000-0005-0000-0000-000059120000}"/>
    <cellStyle name="Ç¥ÁØ_Sheet1_Áý°èÇ¥(2¿ù) _6월결산전표내역정리-200379 11" xfId="4878" xr:uid="{00000000-0005-0000-0000-00005A120000}"/>
    <cellStyle name="C￥AØ_Sheet1_Ay°eC￥(2¿u) _6월결산전표내역정리-200379 12" xfId="4879" xr:uid="{00000000-0005-0000-0000-00005B120000}"/>
    <cellStyle name="Ç¥ÁØ_Sheet1_Áý°èÇ¥(2¿ù) _6월결산전표내역정리-200379 12" xfId="4880" xr:uid="{00000000-0005-0000-0000-00005C120000}"/>
    <cellStyle name="C￥AØ_Sheet1_Ay°eC￥(2¿u) _6월결산전표내역정리-200379 13" xfId="4881" xr:uid="{00000000-0005-0000-0000-00005D120000}"/>
    <cellStyle name="Ç¥ÁØ_Sheet1_Áý°èÇ¥(2¿ù) _6월결산전표내역정리-200379 13" xfId="4882" xr:uid="{00000000-0005-0000-0000-00005E120000}"/>
    <cellStyle name="C￥AØ_Sheet1_Ay°eC￥(2¿u) _6월결산전표내역정리-200379 14" xfId="4883" xr:uid="{00000000-0005-0000-0000-00005F120000}"/>
    <cellStyle name="Ç¥ÁØ_Sheet1_Áý°èÇ¥(2¿ù) _6월결산전표내역정리-200379 14" xfId="4884" xr:uid="{00000000-0005-0000-0000-000060120000}"/>
    <cellStyle name="C￥AØ_Sheet1_Ay°eC￥(2¿u) _6월결산전표내역정리-200379 15" xfId="4885" xr:uid="{00000000-0005-0000-0000-000061120000}"/>
    <cellStyle name="Ç¥ÁØ_Sheet1_Áý°èÇ¥(2¿ù) _6월결산전표내역정리-200379 15" xfId="4886" xr:uid="{00000000-0005-0000-0000-000062120000}"/>
    <cellStyle name="C￥AØ_Sheet1_Ay°eC￥(2¿u) _6월결산전표내역정리-200379 2" xfId="4887" xr:uid="{00000000-0005-0000-0000-000063120000}"/>
    <cellStyle name="Ç¥ÁØ_Sheet1_Áý°èÇ¥(2¿ù) _6월결산전표내역정리-200379 2" xfId="4888" xr:uid="{00000000-0005-0000-0000-000064120000}"/>
    <cellStyle name="C￥AØ_Sheet1_Ay°eC￥(2¿u) _6월결산전표내역정리-200379 3" xfId="4889" xr:uid="{00000000-0005-0000-0000-000065120000}"/>
    <cellStyle name="Ç¥ÁØ_Sheet1_Áý°èÇ¥(2¿ù) _6월결산전표내역정리-200379 3" xfId="4890" xr:uid="{00000000-0005-0000-0000-000066120000}"/>
    <cellStyle name="C￥AØ_Sheet1_Ay°eC￥(2¿u) _6월결산전표내역정리-200379 4" xfId="4891" xr:uid="{00000000-0005-0000-0000-000067120000}"/>
    <cellStyle name="Ç¥ÁØ_Sheet1_Áý°èÇ¥(2¿ù) _6월결산전표내역정리-200379 4" xfId="4892" xr:uid="{00000000-0005-0000-0000-000068120000}"/>
    <cellStyle name="C￥AØ_Sheet1_Ay°eC￥(2¿u) _6월결산전표내역정리-200379 5" xfId="4893" xr:uid="{00000000-0005-0000-0000-000069120000}"/>
    <cellStyle name="Ç¥ÁØ_Sheet1_Áý°èÇ¥(2¿ù) _6월결산전표내역정리-200379 5" xfId="4894" xr:uid="{00000000-0005-0000-0000-00006A120000}"/>
    <cellStyle name="C￥AØ_Sheet1_Ay°eC￥(2¿u) _6월결산전표내역정리-200379 6" xfId="4895" xr:uid="{00000000-0005-0000-0000-00006B120000}"/>
    <cellStyle name="Ç¥ÁØ_Sheet1_Áý°èÇ¥(2¿ù) _6월결산전표내역정리-200379 6" xfId="4896" xr:uid="{00000000-0005-0000-0000-00006C120000}"/>
    <cellStyle name="C￥AØ_Sheet1_Ay°eC￥(2¿u) _6월결산전표내역정리-200379 7" xfId="4897" xr:uid="{00000000-0005-0000-0000-00006D120000}"/>
    <cellStyle name="Ç¥ÁØ_Sheet1_Áý°èÇ¥(2¿ù) _6월결산전표내역정리-200379 7" xfId="4898" xr:uid="{00000000-0005-0000-0000-00006E120000}"/>
    <cellStyle name="C￥AØ_Sheet1_Ay°eC￥(2¿u) _6월결산전표내역정리-200379 8" xfId="4899" xr:uid="{00000000-0005-0000-0000-00006F120000}"/>
    <cellStyle name="Ç¥ÁØ_Sheet1_Áý°èÇ¥(2¿ù) _6월결산전표내역정리-200379 8" xfId="4900" xr:uid="{00000000-0005-0000-0000-000070120000}"/>
    <cellStyle name="C￥AØ_Sheet1_Ay°eC￥(2¿u) _6월결산전표내역정리-200379 9" xfId="4901" xr:uid="{00000000-0005-0000-0000-000071120000}"/>
    <cellStyle name="Ç¥ÁØ_Sheet1_Áý°èÇ¥(2¿ù) _6월결산전표내역정리-200379 9" xfId="4902" xr:uid="{00000000-0005-0000-0000-000072120000}"/>
    <cellStyle name="C￥AØ_Sheet1_Ay°eC￥(2¿u) _6월추정결산비용-2003619" xfId="4903" xr:uid="{00000000-0005-0000-0000-000073120000}"/>
    <cellStyle name="Ç¥ÁØ_Sheet1_Áý°èÇ¥(2¿ù) _6월추정결산비용-2003619" xfId="4904" xr:uid="{00000000-0005-0000-0000-000074120000}"/>
    <cellStyle name="C￥AØ_Sheet1_Ay°eC￥(2¿u) _6월추정결산비용-2003619 10" xfId="4905" xr:uid="{00000000-0005-0000-0000-000075120000}"/>
    <cellStyle name="Ç¥ÁØ_Sheet1_Áý°èÇ¥(2¿ù) _6월추정결산비용-2003619 10" xfId="4906" xr:uid="{00000000-0005-0000-0000-000076120000}"/>
    <cellStyle name="C￥AØ_Sheet1_Ay°eC￥(2¿u) _6월추정결산비용-2003619 11" xfId="4907" xr:uid="{00000000-0005-0000-0000-000077120000}"/>
    <cellStyle name="Ç¥ÁØ_Sheet1_Áý°èÇ¥(2¿ù) _6월추정결산비용-2003619 11" xfId="4908" xr:uid="{00000000-0005-0000-0000-000078120000}"/>
    <cellStyle name="C￥AØ_Sheet1_Ay°eC￥(2¿u) _6월추정결산비용-2003619 12" xfId="4909" xr:uid="{00000000-0005-0000-0000-000079120000}"/>
    <cellStyle name="Ç¥ÁØ_Sheet1_Áý°èÇ¥(2¿ù) _6월추정결산비용-2003619 12" xfId="4910" xr:uid="{00000000-0005-0000-0000-00007A120000}"/>
    <cellStyle name="C￥AØ_Sheet1_Ay°eC￥(2¿u) _6월추정결산비용-2003619 13" xfId="4911" xr:uid="{00000000-0005-0000-0000-00007B120000}"/>
    <cellStyle name="Ç¥ÁØ_Sheet1_Áý°èÇ¥(2¿ù) _6월추정결산비용-2003619 13" xfId="4912" xr:uid="{00000000-0005-0000-0000-00007C120000}"/>
    <cellStyle name="C￥AØ_Sheet1_Ay°eC￥(2¿u) _6월추정결산비용-2003619 14" xfId="4913" xr:uid="{00000000-0005-0000-0000-00007D120000}"/>
    <cellStyle name="Ç¥ÁØ_Sheet1_Áý°èÇ¥(2¿ù) _6월추정결산비용-2003619 14" xfId="4914" xr:uid="{00000000-0005-0000-0000-00007E120000}"/>
    <cellStyle name="C￥AØ_Sheet1_Ay°eC￥(2¿u) _6월추정결산비용-2003619 15" xfId="4915" xr:uid="{00000000-0005-0000-0000-00007F120000}"/>
    <cellStyle name="Ç¥ÁØ_Sheet1_Áý°èÇ¥(2¿ù) _6월추정결산비용-2003619 15" xfId="4916" xr:uid="{00000000-0005-0000-0000-000080120000}"/>
    <cellStyle name="C￥AØ_Sheet1_Ay°eC￥(2¿u) _6월추정결산비용-2003619 2" xfId="4917" xr:uid="{00000000-0005-0000-0000-000081120000}"/>
    <cellStyle name="Ç¥ÁØ_Sheet1_Áý°èÇ¥(2¿ù) _6월추정결산비용-2003619 2" xfId="4918" xr:uid="{00000000-0005-0000-0000-000082120000}"/>
    <cellStyle name="C￥AØ_Sheet1_Ay°eC￥(2¿u) _6월추정결산비용-2003619 3" xfId="4919" xr:uid="{00000000-0005-0000-0000-000083120000}"/>
    <cellStyle name="Ç¥ÁØ_Sheet1_Áý°èÇ¥(2¿ù) _6월추정결산비용-2003619 3" xfId="4920" xr:uid="{00000000-0005-0000-0000-000084120000}"/>
    <cellStyle name="C￥AØ_Sheet1_Ay°eC￥(2¿u) _6월추정결산비용-2003619 4" xfId="4921" xr:uid="{00000000-0005-0000-0000-000085120000}"/>
    <cellStyle name="Ç¥ÁØ_Sheet1_Áý°èÇ¥(2¿ù) _6월추정결산비용-2003619 4" xfId="4922" xr:uid="{00000000-0005-0000-0000-000086120000}"/>
    <cellStyle name="C￥AØ_Sheet1_Ay°eC￥(2¿u) _6월추정결산비용-2003619 5" xfId="4923" xr:uid="{00000000-0005-0000-0000-000087120000}"/>
    <cellStyle name="Ç¥ÁØ_Sheet1_Áý°èÇ¥(2¿ù) _6월추정결산비용-2003619 5" xfId="4924" xr:uid="{00000000-0005-0000-0000-000088120000}"/>
    <cellStyle name="C￥AØ_Sheet1_Ay°eC￥(2¿u) _6월추정결산비용-2003619 6" xfId="4925" xr:uid="{00000000-0005-0000-0000-000089120000}"/>
    <cellStyle name="Ç¥ÁØ_Sheet1_Áý°èÇ¥(2¿ù) _6월추정결산비용-2003619 6" xfId="4926" xr:uid="{00000000-0005-0000-0000-00008A120000}"/>
    <cellStyle name="C￥AØ_Sheet1_Ay°eC￥(2¿u) _6월추정결산비용-2003619 7" xfId="4927" xr:uid="{00000000-0005-0000-0000-00008B120000}"/>
    <cellStyle name="Ç¥ÁØ_Sheet1_Áý°èÇ¥(2¿ù) _6월추정결산비용-2003619 7" xfId="4928" xr:uid="{00000000-0005-0000-0000-00008C120000}"/>
    <cellStyle name="C￥AØ_Sheet1_Ay°eC￥(2¿u) _6월추정결산비용-2003619 8" xfId="4929" xr:uid="{00000000-0005-0000-0000-00008D120000}"/>
    <cellStyle name="Ç¥ÁØ_Sheet1_Áý°èÇ¥(2¿ù) _6월추정결산비용-2003619 8" xfId="4930" xr:uid="{00000000-0005-0000-0000-00008E120000}"/>
    <cellStyle name="C￥AØ_Sheet1_Ay°eC￥(2¿u) _6월추정결산비용-2003619 9" xfId="4931" xr:uid="{00000000-0005-0000-0000-00008F120000}"/>
    <cellStyle name="Ç¥ÁØ_Sheet1_Áý°èÇ¥(2¿ù) _6월추정결산비용-2003619 9" xfId="4932" xr:uid="{00000000-0005-0000-0000-000090120000}"/>
    <cellStyle name="C￥AØ_Sheet1_Ay°eC￥(2¿u) _6투자자산" xfId="4933" xr:uid="{00000000-0005-0000-0000-000091120000}"/>
    <cellStyle name="Ç¥ÁØ_Sheet1_Áý°èÇ¥(2¿ù) _6투자자산" xfId="4934" xr:uid="{00000000-0005-0000-0000-000092120000}"/>
    <cellStyle name="C￥AØ_Sheet1_Ay°eC￥(2¿u) _6투자자산 10" xfId="4935" xr:uid="{00000000-0005-0000-0000-000093120000}"/>
    <cellStyle name="Ç¥ÁØ_Sheet1_Áý°èÇ¥(2¿ù) _6투자자산 10" xfId="4936" xr:uid="{00000000-0005-0000-0000-000094120000}"/>
    <cellStyle name="C￥AØ_Sheet1_Ay°eC￥(2¿u) _6투자자산 11" xfId="4937" xr:uid="{00000000-0005-0000-0000-000095120000}"/>
    <cellStyle name="Ç¥ÁØ_Sheet1_Áý°èÇ¥(2¿ù) _6투자자산 11" xfId="4938" xr:uid="{00000000-0005-0000-0000-000096120000}"/>
    <cellStyle name="C￥AØ_Sheet1_Ay°eC￥(2¿u) _6투자자산 12" xfId="4939" xr:uid="{00000000-0005-0000-0000-000097120000}"/>
    <cellStyle name="Ç¥ÁØ_Sheet1_Áý°èÇ¥(2¿ù) _6투자자산 12" xfId="4940" xr:uid="{00000000-0005-0000-0000-000098120000}"/>
    <cellStyle name="C￥AØ_Sheet1_Ay°eC￥(2¿u) _6투자자산 13" xfId="4941" xr:uid="{00000000-0005-0000-0000-000099120000}"/>
    <cellStyle name="Ç¥ÁØ_Sheet1_Áý°èÇ¥(2¿ù) _6투자자산 13" xfId="4942" xr:uid="{00000000-0005-0000-0000-00009A120000}"/>
    <cellStyle name="C￥AØ_Sheet1_Ay°eC￥(2¿u) _6투자자산 14" xfId="4943" xr:uid="{00000000-0005-0000-0000-00009B120000}"/>
    <cellStyle name="Ç¥ÁØ_Sheet1_Áý°èÇ¥(2¿ù) _6투자자산 14" xfId="4944" xr:uid="{00000000-0005-0000-0000-00009C120000}"/>
    <cellStyle name="C￥AØ_Sheet1_Ay°eC￥(2¿u) _6투자자산 15" xfId="4945" xr:uid="{00000000-0005-0000-0000-00009D120000}"/>
    <cellStyle name="Ç¥ÁØ_Sheet1_Áý°èÇ¥(2¿ù) _6투자자산 15" xfId="4946" xr:uid="{00000000-0005-0000-0000-00009E120000}"/>
    <cellStyle name="C￥AØ_Sheet1_Ay°eC￥(2¿u) _6투자자산 2" xfId="4947" xr:uid="{00000000-0005-0000-0000-00009F120000}"/>
    <cellStyle name="Ç¥ÁØ_Sheet1_Áý°èÇ¥(2¿ù) _6투자자산 2" xfId="4948" xr:uid="{00000000-0005-0000-0000-0000A0120000}"/>
    <cellStyle name="C￥AØ_Sheet1_Ay°eC￥(2¿u) _6투자자산 3" xfId="4949" xr:uid="{00000000-0005-0000-0000-0000A1120000}"/>
    <cellStyle name="Ç¥ÁØ_Sheet1_Áý°èÇ¥(2¿ù) _6투자자산 3" xfId="4950" xr:uid="{00000000-0005-0000-0000-0000A2120000}"/>
    <cellStyle name="C￥AØ_Sheet1_Ay°eC￥(2¿u) _6투자자산 4" xfId="4951" xr:uid="{00000000-0005-0000-0000-0000A3120000}"/>
    <cellStyle name="Ç¥ÁØ_Sheet1_Áý°èÇ¥(2¿ù) _6투자자산 4" xfId="4952" xr:uid="{00000000-0005-0000-0000-0000A4120000}"/>
    <cellStyle name="C￥AØ_Sheet1_Ay°eC￥(2¿u) _6투자자산 5" xfId="4953" xr:uid="{00000000-0005-0000-0000-0000A5120000}"/>
    <cellStyle name="Ç¥ÁØ_Sheet1_Áý°èÇ¥(2¿ù) _6투자자산 5" xfId="4954" xr:uid="{00000000-0005-0000-0000-0000A6120000}"/>
    <cellStyle name="C￥AØ_Sheet1_Ay°eC￥(2¿u) _6투자자산 6" xfId="4955" xr:uid="{00000000-0005-0000-0000-0000A7120000}"/>
    <cellStyle name="Ç¥ÁØ_Sheet1_Áý°èÇ¥(2¿ù) _6투자자산 6" xfId="4956" xr:uid="{00000000-0005-0000-0000-0000A8120000}"/>
    <cellStyle name="C￥AØ_Sheet1_Ay°eC￥(2¿u) _6투자자산 7" xfId="4957" xr:uid="{00000000-0005-0000-0000-0000A9120000}"/>
    <cellStyle name="Ç¥ÁØ_Sheet1_Áý°èÇ¥(2¿ù) _6투자자산 7" xfId="4958" xr:uid="{00000000-0005-0000-0000-0000AA120000}"/>
    <cellStyle name="C￥AØ_Sheet1_Ay°eC￥(2¿u) _6투자자산 8" xfId="4959" xr:uid="{00000000-0005-0000-0000-0000AB120000}"/>
    <cellStyle name="Ç¥ÁØ_Sheet1_Áý°èÇ¥(2¿ù) _6투자자산 8" xfId="4960" xr:uid="{00000000-0005-0000-0000-0000AC120000}"/>
    <cellStyle name="C￥AØ_Sheet1_Ay°eC￥(2¿u) _6투자자산 9" xfId="4961" xr:uid="{00000000-0005-0000-0000-0000AD120000}"/>
    <cellStyle name="Ç¥ÁØ_Sheet1_Áý°èÇ¥(2¿ù) _6투자자산 9" xfId="4962" xr:uid="{00000000-0005-0000-0000-0000AE120000}"/>
    <cellStyle name="C￥AØ_Sheet1_Ay°eC￥(2¿u) _기준서요약" xfId="4963" xr:uid="{00000000-0005-0000-0000-0000AF120000}"/>
    <cellStyle name="Ç¥ÁØ_Sheet1_Áý°èÇ¥(2¿ù) _기준서요약" xfId="4964" xr:uid="{00000000-0005-0000-0000-0000B0120000}"/>
    <cellStyle name="C￥AØ_Sheet1_Ay°eC￥(2¿u) _기준서요약 10" xfId="4965" xr:uid="{00000000-0005-0000-0000-0000B1120000}"/>
    <cellStyle name="Ç¥ÁØ_Sheet1_Áý°èÇ¥(2¿ù) _기준서요약 10" xfId="4966" xr:uid="{00000000-0005-0000-0000-0000B2120000}"/>
    <cellStyle name="C￥AØ_Sheet1_Ay°eC￥(2¿u) _기준서요약 11" xfId="4967" xr:uid="{00000000-0005-0000-0000-0000B3120000}"/>
    <cellStyle name="Ç¥ÁØ_Sheet1_Áý°èÇ¥(2¿ù) _기준서요약 11" xfId="4968" xr:uid="{00000000-0005-0000-0000-0000B4120000}"/>
    <cellStyle name="C￥AØ_Sheet1_Ay°eC￥(2¿u) _기준서요약 12" xfId="4969" xr:uid="{00000000-0005-0000-0000-0000B5120000}"/>
    <cellStyle name="Ç¥ÁØ_Sheet1_Áý°èÇ¥(2¿ù) _기준서요약 12" xfId="4970" xr:uid="{00000000-0005-0000-0000-0000B6120000}"/>
    <cellStyle name="C￥AØ_Sheet1_Ay°eC￥(2¿u) _기준서요약 13" xfId="4971" xr:uid="{00000000-0005-0000-0000-0000B7120000}"/>
    <cellStyle name="Ç¥ÁØ_Sheet1_Áý°èÇ¥(2¿ù) _기준서요약 13" xfId="4972" xr:uid="{00000000-0005-0000-0000-0000B8120000}"/>
    <cellStyle name="C￥AØ_Sheet1_Ay°eC￥(2¿u) _기준서요약 14" xfId="4973" xr:uid="{00000000-0005-0000-0000-0000B9120000}"/>
    <cellStyle name="Ç¥ÁØ_Sheet1_Áý°èÇ¥(2¿ù) _기준서요약 14" xfId="4974" xr:uid="{00000000-0005-0000-0000-0000BA120000}"/>
    <cellStyle name="C￥AØ_Sheet1_Ay°eC￥(2¿u) _기준서요약 15" xfId="4975" xr:uid="{00000000-0005-0000-0000-0000BB120000}"/>
    <cellStyle name="Ç¥ÁØ_Sheet1_Áý°èÇ¥(2¿ù) _기준서요약 15" xfId="4976" xr:uid="{00000000-0005-0000-0000-0000BC120000}"/>
    <cellStyle name="C￥AØ_Sheet1_Ay°eC￥(2¿u) _기준서요약 2" xfId="4977" xr:uid="{00000000-0005-0000-0000-0000BD120000}"/>
    <cellStyle name="Ç¥ÁØ_Sheet1_Áý°èÇ¥(2¿ù) _기준서요약 2" xfId="4978" xr:uid="{00000000-0005-0000-0000-0000BE120000}"/>
    <cellStyle name="C￥AØ_Sheet1_Ay°eC￥(2¿u) _기준서요약 3" xfId="4979" xr:uid="{00000000-0005-0000-0000-0000BF120000}"/>
    <cellStyle name="Ç¥ÁØ_Sheet1_Áý°èÇ¥(2¿ù) _기준서요약 3" xfId="4980" xr:uid="{00000000-0005-0000-0000-0000C0120000}"/>
    <cellStyle name="C￥AØ_Sheet1_Ay°eC￥(2¿u) _기준서요약 4" xfId="4981" xr:uid="{00000000-0005-0000-0000-0000C1120000}"/>
    <cellStyle name="Ç¥ÁØ_Sheet1_Áý°èÇ¥(2¿ù) _기준서요약 4" xfId="4982" xr:uid="{00000000-0005-0000-0000-0000C2120000}"/>
    <cellStyle name="C￥AØ_Sheet1_Ay°eC￥(2¿u) _기준서요약 5" xfId="4983" xr:uid="{00000000-0005-0000-0000-0000C3120000}"/>
    <cellStyle name="Ç¥ÁØ_Sheet1_Áý°èÇ¥(2¿ù) _기준서요약 5" xfId="4984" xr:uid="{00000000-0005-0000-0000-0000C4120000}"/>
    <cellStyle name="C￥AØ_Sheet1_Ay°eC￥(2¿u) _기준서요약 6" xfId="4985" xr:uid="{00000000-0005-0000-0000-0000C5120000}"/>
    <cellStyle name="Ç¥ÁØ_Sheet1_Áý°èÇ¥(2¿ù) _기준서요약 6" xfId="4986" xr:uid="{00000000-0005-0000-0000-0000C6120000}"/>
    <cellStyle name="C￥AØ_Sheet1_Ay°eC￥(2¿u) _기준서요약 7" xfId="4987" xr:uid="{00000000-0005-0000-0000-0000C7120000}"/>
    <cellStyle name="Ç¥ÁØ_Sheet1_Áý°èÇ¥(2¿ù) _기준서요약 7" xfId="4988" xr:uid="{00000000-0005-0000-0000-0000C8120000}"/>
    <cellStyle name="C￥AØ_Sheet1_Ay°eC￥(2¿u) _기준서요약 8" xfId="4989" xr:uid="{00000000-0005-0000-0000-0000C9120000}"/>
    <cellStyle name="Ç¥ÁØ_Sheet1_Áý°èÇ¥(2¿ù) _기준서요약 8" xfId="4990" xr:uid="{00000000-0005-0000-0000-0000CA120000}"/>
    <cellStyle name="C￥AØ_Sheet1_Ay°eC￥(2¿u) _기준서요약 9" xfId="4991" xr:uid="{00000000-0005-0000-0000-0000CB120000}"/>
    <cellStyle name="Ç¥ÁØ_Sheet1_Áý°èÇ¥(2¿ù) _기준서요약 9" xfId="4992" xr:uid="{00000000-0005-0000-0000-0000CC120000}"/>
    <cellStyle name="C￥AØ_Sheet1_Ay°eC￥(2¿u) _당좌자산" xfId="4993" xr:uid="{00000000-0005-0000-0000-0000CD120000}"/>
    <cellStyle name="Ç¥ÁØ_Sheet1_Áý°èÇ¥(2¿ù) _당좌자산" xfId="4994" xr:uid="{00000000-0005-0000-0000-0000CE120000}"/>
    <cellStyle name="C￥AØ_Sheet1_Ay°eC￥(2¿u) _대손충당금(정호)" xfId="4995" xr:uid="{00000000-0005-0000-0000-0000CF120000}"/>
    <cellStyle name="Ç¥ÁØ_Sheet1_Áý°èÇ¥(2¿ù) _대손충당금(정호)" xfId="4996" xr:uid="{00000000-0005-0000-0000-0000D0120000}"/>
    <cellStyle name="C￥AØ_Sheet1_Ay°eC￥(2¿u) _대손충당금(정호) 10" xfId="4997" xr:uid="{00000000-0005-0000-0000-0000D1120000}"/>
    <cellStyle name="Ç¥ÁØ_Sheet1_Áý°èÇ¥(2¿ù) _대손충당금(정호) 10" xfId="4998" xr:uid="{00000000-0005-0000-0000-0000D2120000}"/>
    <cellStyle name="C￥AØ_Sheet1_Ay°eC￥(2¿u) _대손충당금(정호) 11" xfId="4999" xr:uid="{00000000-0005-0000-0000-0000D3120000}"/>
    <cellStyle name="Ç¥ÁØ_Sheet1_Áý°èÇ¥(2¿ù) _대손충당금(정호) 11" xfId="5000" xr:uid="{00000000-0005-0000-0000-0000D4120000}"/>
    <cellStyle name="C￥AØ_Sheet1_Ay°eC￥(2¿u) _대손충당금(정호) 12" xfId="5001" xr:uid="{00000000-0005-0000-0000-0000D5120000}"/>
    <cellStyle name="Ç¥ÁØ_Sheet1_Áý°èÇ¥(2¿ù) _대손충당금(정호) 12" xfId="5002" xr:uid="{00000000-0005-0000-0000-0000D6120000}"/>
    <cellStyle name="C￥AØ_Sheet1_Ay°eC￥(2¿u) _대손충당금(정호) 13" xfId="5003" xr:uid="{00000000-0005-0000-0000-0000D7120000}"/>
    <cellStyle name="Ç¥ÁØ_Sheet1_Áý°èÇ¥(2¿ù) _대손충당금(정호) 13" xfId="5004" xr:uid="{00000000-0005-0000-0000-0000D8120000}"/>
    <cellStyle name="C￥AØ_Sheet1_Ay°eC￥(2¿u) _대손충당금(정호) 14" xfId="5005" xr:uid="{00000000-0005-0000-0000-0000D9120000}"/>
    <cellStyle name="Ç¥ÁØ_Sheet1_Áý°èÇ¥(2¿ù) _대손충당금(정호) 14" xfId="5006" xr:uid="{00000000-0005-0000-0000-0000DA120000}"/>
    <cellStyle name="C￥AØ_Sheet1_Ay°eC￥(2¿u) _대손충당금(정호) 15" xfId="5007" xr:uid="{00000000-0005-0000-0000-0000DB120000}"/>
    <cellStyle name="Ç¥ÁØ_Sheet1_Áý°èÇ¥(2¿ù) _대손충당금(정호) 15" xfId="5008" xr:uid="{00000000-0005-0000-0000-0000DC120000}"/>
    <cellStyle name="C￥AØ_Sheet1_Ay°eC￥(2¿u) _대손충당금(정호) 2" xfId="5009" xr:uid="{00000000-0005-0000-0000-0000DD120000}"/>
    <cellStyle name="Ç¥ÁØ_Sheet1_Áý°èÇ¥(2¿ù) _대손충당금(정호) 2" xfId="5010" xr:uid="{00000000-0005-0000-0000-0000DE120000}"/>
    <cellStyle name="C￥AØ_Sheet1_Ay°eC￥(2¿u) _대손충당금(정호) 3" xfId="5011" xr:uid="{00000000-0005-0000-0000-0000DF120000}"/>
    <cellStyle name="Ç¥ÁØ_Sheet1_Áý°èÇ¥(2¿ù) _대손충당금(정호) 3" xfId="5012" xr:uid="{00000000-0005-0000-0000-0000E0120000}"/>
    <cellStyle name="C￥AØ_Sheet1_Ay°eC￥(2¿u) _대손충당금(정호) 4" xfId="5013" xr:uid="{00000000-0005-0000-0000-0000E1120000}"/>
    <cellStyle name="Ç¥ÁØ_Sheet1_Áý°èÇ¥(2¿ù) _대손충당금(정호) 4" xfId="5014" xr:uid="{00000000-0005-0000-0000-0000E2120000}"/>
    <cellStyle name="C￥AØ_Sheet1_Ay°eC￥(2¿u) _대손충당금(정호) 5" xfId="5015" xr:uid="{00000000-0005-0000-0000-0000E3120000}"/>
    <cellStyle name="Ç¥ÁØ_Sheet1_Áý°èÇ¥(2¿ù) _대손충당금(정호) 5" xfId="5016" xr:uid="{00000000-0005-0000-0000-0000E4120000}"/>
    <cellStyle name="C￥AØ_Sheet1_Ay°eC￥(2¿u) _대손충당금(정호) 6" xfId="5017" xr:uid="{00000000-0005-0000-0000-0000E5120000}"/>
    <cellStyle name="Ç¥ÁØ_Sheet1_Áý°èÇ¥(2¿ù) _대손충당금(정호) 6" xfId="5018" xr:uid="{00000000-0005-0000-0000-0000E6120000}"/>
    <cellStyle name="C￥AØ_Sheet1_Ay°eC￥(2¿u) _대손충당금(정호) 7" xfId="5019" xr:uid="{00000000-0005-0000-0000-0000E7120000}"/>
    <cellStyle name="Ç¥ÁØ_Sheet1_Áý°èÇ¥(2¿ù) _대손충당금(정호) 7" xfId="5020" xr:uid="{00000000-0005-0000-0000-0000E8120000}"/>
    <cellStyle name="C￥AØ_Sheet1_Ay°eC￥(2¿u) _대손충당금(정호) 8" xfId="5021" xr:uid="{00000000-0005-0000-0000-0000E9120000}"/>
    <cellStyle name="Ç¥ÁØ_Sheet1_Áý°èÇ¥(2¿ù) _대손충당금(정호) 8" xfId="5022" xr:uid="{00000000-0005-0000-0000-0000EA120000}"/>
    <cellStyle name="C￥AØ_Sheet1_Ay°eC￥(2¿u) _대손충당금(정호) 9" xfId="5023" xr:uid="{00000000-0005-0000-0000-0000EB120000}"/>
    <cellStyle name="Ç¥ÁØ_Sheet1_Áý°èÇ¥(2¿ù) _대손충당금(정호) 9" xfId="5024" xr:uid="{00000000-0005-0000-0000-0000EC120000}"/>
    <cellStyle name="C￥AØ_Sheet1_Ay°eC￥(2¿u) _대손충당금설정검토(상반기추정)-2003619" xfId="5025" xr:uid="{00000000-0005-0000-0000-0000ED120000}"/>
    <cellStyle name="Ç¥ÁØ_Sheet1_Áý°èÇ¥(2¿ù) _대손충당금설정검토(상반기추정)-2003619" xfId="5026" xr:uid="{00000000-0005-0000-0000-0000EE120000}"/>
    <cellStyle name="C￥AØ_Sheet1_Ay°eC￥(2¿u) _대손충당금설정검토(상반기추정)-2003619 10" xfId="5027" xr:uid="{00000000-0005-0000-0000-0000EF120000}"/>
    <cellStyle name="Ç¥ÁØ_Sheet1_Áý°èÇ¥(2¿ù) _대손충당금설정검토(상반기추정)-2003619 10" xfId="5028" xr:uid="{00000000-0005-0000-0000-0000F0120000}"/>
    <cellStyle name="C￥AØ_Sheet1_Ay°eC￥(2¿u) _대손충당금설정검토(상반기추정)-2003619 11" xfId="5029" xr:uid="{00000000-0005-0000-0000-0000F1120000}"/>
    <cellStyle name="Ç¥ÁØ_Sheet1_Áý°èÇ¥(2¿ù) _대손충당금설정검토(상반기추정)-2003619 11" xfId="5030" xr:uid="{00000000-0005-0000-0000-0000F2120000}"/>
    <cellStyle name="C￥AØ_Sheet1_Ay°eC￥(2¿u) _대손충당금설정검토(상반기추정)-2003619 12" xfId="5031" xr:uid="{00000000-0005-0000-0000-0000F3120000}"/>
    <cellStyle name="Ç¥ÁØ_Sheet1_Áý°èÇ¥(2¿ù) _대손충당금설정검토(상반기추정)-2003619 12" xfId="5032" xr:uid="{00000000-0005-0000-0000-0000F4120000}"/>
    <cellStyle name="C￥AØ_Sheet1_Ay°eC￥(2¿u) _대손충당금설정검토(상반기추정)-2003619 13" xfId="5033" xr:uid="{00000000-0005-0000-0000-0000F5120000}"/>
    <cellStyle name="Ç¥ÁØ_Sheet1_Áý°èÇ¥(2¿ù) _대손충당금설정검토(상반기추정)-2003619 13" xfId="5034" xr:uid="{00000000-0005-0000-0000-0000F6120000}"/>
    <cellStyle name="C￥AØ_Sheet1_Ay°eC￥(2¿u) _대손충당금설정검토(상반기추정)-2003619 14" xfId="5035" xr:uid="{00000000-0005-0000-0000-0000F7120000}"/>
    <cellStyle name="Ç¥ÁØ_Sheet1_Áý°èÇ¥(2¿ù) _대손충당금설정검토(상반기추정)-2003619 14" xfId="5036" xr:uid="{00000000-0005-0000-0000-0000F8120000}"/>
    <cellStyle name="C￥AØ_Sheet1_Ay°eC￥(2¿u) _대손충당금설정검토(상반기추정)-2003619 15" xfId="5037" xr:uid="{00000000-0005-0000-0000-0000F9120000}"/>
    <cellStyle name="Ç¥ÁØ_Sheet1_Áý°èÇ¥(2¿ù) _대손충당금설정검토(상반기추정)-2003619 15" xfId="5038" xr:uid="{00000000-0005-0000-0000-0000FA120000}"/>
    <cellStyle name="C￥AØ_Sheet1_Ay°eC￥(2¿u) _대손충당금설정검토(상반기추정)-2003619 2" xfId="5039" xr:uid="{00000000-0005-0000-0000-0000FB120000}"/>
    <cellStyle name="Ç¥ÁØ_Sheet1_Áý°èÇ¥(2¿ù) _대손충당금설정검토(상반기추정)-2003619 2" xfId="5040" xr:uid="{00000000-0005-0000-0000-0000FC120000}"/>
    <cellStyle name="C￥AØ_Sheet1_Ay°eC￥(2¿u) _대손충당금설정검토(상반기추정)-2003619 3" xfId="5041" xr:uid="{00000000-0005-0000-0000-0000FD120000}"/>
    <cellStyle name="Ç¥ÁØ_Sheet1_Áý°èÇ¥(2¿ù) _대손충당금설정검토(상반기추정)-2003619 3" xfId="5042" xr:uid="{00000000-0005-0000-0000-0000FE120000}"/>
    <cellStyle name="C￥AØ_Sheet1_Ay°eC￥(2¿u) _대손충당금설정검토(상반기추정)-2003619 4" xfId="5043" xr:uid="{00000000-0005-0000-0000-0000FF120000}"/>
    <cellStyle name="Ç¥ÁØ_Sheet1_Áý°èÇ¥(2¿ù) _대손충당금설정검토(상반기추정)-2003619 4" xfId="5044" xr:uid="{00000000-0005-0000-0000-000000130000}"/>
    <cellStyle name="C￥AØ_Sheet1_Ay°eC￥(2¿u) _대손충당금설정검토(상반기추정)-2003619 5" xfId="5045" xr:uid="{00000000-0005-0000-0000-000001130000}"/>
    <cellStyle name="Ç¥ÁØ_Sheet1_Áý°èÇ¥(2¿ù) _대손충당금설정검토(상반기추정)-2003619 5" xfId="5046" xr:uid="{00000000-0005-0000-0000-000002130000}"/>
    <cellStyle name="C￥AØ_Sheet1_Ay°eC￥(2¿u) _대손충당금설정검토(상반기추정)-2003619 6" xfId="5047" xr:uid="{00000000-0005-0000-0000-000003130000}"/>
    <cellStyle name="Ç¥ÁØ_Sheet1_Áý°èÇ¥(2¿ù) _대손충당금설정검토(상반기추정)-2003619 6" xfId="5048" xr:uid="{00000000-0005-0000-0000-000004130000}"/>
    <cellStyle name="C￥AØ_Sheet1_Ay°eC￥(2¿u) _대손충당금설정검토(상반기추정)-2003619 7" xfId="5049" xr:uid="{00000000-0005-0000-0000-000005130000}"/>
    <cellStyle name="Ç¥ÁØ_Sheet1_Áý°èÇ¥(2¿ù) _대손충당금설정검토(상반기추정)-2003619 7" xfId="5050" xr:uid="{00000000-0005-0000-0000-000006130000}"/>
    <cellStyle name="C￥AØ_Sheet1_Ay°eC￥(2¿u) _대손충당금설정검토(상반기추정)-2003619 8" xfId="5051" xr:uid="{00000000-0005-0000-0000-000007130000}"/>
    <cellStyle name="Ç¥ÁØ_Sheet1_Áý°èÇ¥(2¿ù) _대손충당금설정검토(상반기추정)-2003619 8" xfId="5052" xr:uid="{00000000-0005-0000-0000-000008130000}"/>
    <cellStyle name="C￥AØ_Sheet1_Ay°eC￥(2¿u) _대손충당금설정검토(상반기추정)-2003619 9" xfId="5053" xr:uid="{00000000-0005-0000-0000-000009130000}"/>
    <cellStyle name="Ç¥ÁØ_Sheet1_Áý°èÇ¥(2¿ù) _대손충당금설정검토(상반기추정)-2003619 9" xfId="5054" xr:uid="{00000000-0005-0000-0000-00000A130000}"/>
    <cellStyle name="C￥AØ_Sheet1_Ay°eC￥(2¿u) _반기" xfId="5055" xr:uid="{00000000-0005-0000-0000-00000B130000}"/>
    <cellStyle name="Ç¥ÁØ_Sheet1_Áý°èÇ¥(2¿ù) _반기" xfId="5056" xr:uid="{00000000-0005-0000-0000-00000C130000}"/>
    <cellStyle name="C￥AØ_Sheet1_Ay°eC￥(2¿u) _반기 10" xfId="5057" xr:uid="{00000000-0005-0000-0000-00000D130000}"/>
    <cellStyle name="Ç¥ÁØ_Sheet1_Áý°èÇ¥(2¿ù) _반기 10" xfId="5058" xr:uid="{00000000-0005-0000-0000-00000E130000}"/>
    <cellStyle name="C￥AØ_Sheet1_Ay°eC￥(2¿u) _반기 11" xfId="5059" xr:uid="{00000000-0005-0000-0000-00000F130000}"/>
    <cellStyle name="Ç¥ÁØ_Sheet1_Áý°èÇ¥(2¿ù) _반기 11" xfId="5060" xr:uid="{00000000-0005-0000-0000-000010130000}"/>
    <cellStyle name="C￥AØ_Sheet1_Ay°eC￥(2¿u) _반기 12" xfId="5061" xr:uid="{00000000-0005-0000-0000-000011130000}"/>
    <cellStyle name="Ç¥ÁØ_Sheet1_Áý°èÇ¥(2¿ù) _반기 12" xfId="5062" xr:uid="{00000000-0005-0000-0000-000012130000}"/>
    <cellStyle name="C￥AØ_Sheet1_Ay°eC￥(2¿u) _반기 13" xfId="5063" xr:uid="{00000000-0005-0000-0000-000013130000}"/>
    <cellStyle name="Ç¥ÁØ_Sheet1_Áý°èÇ¥(2¿ù) _반기 13" xfId="5064" xr:uid="{00000000-0005-0000-0000-000014130000}"/>
    <cellStyle name="C￥AØ_Sheet1_Ay°eC￥(2¿u) _반기 14" xfId="5065" xr:uid="{00000000-0005-0000-0000-000015130000}"/>
    <cellStyle name="Ç¥ÁØ_Sheet1_Áý°èÇ¥(2¿ù) _반기 14" xfId="5066" xr:uid="{00000000-0005-0000-0000-000016130000}"/>
    <cellStyle name="C￥AØ_Sheet1_Ay°eC￥(2¿u) _반기 15" xfId="5067" xr:uid="{00000000-0005-0000-0000-000017130000}"/>
    <cellStyle name="Ç¥ÁØ_Sheet1_Áý°èÇ¥(2¿ù) _반기 15" xfId="5068" xr:uid="{00000000-0005-0000-0000-000018130000}"/>
    <cellStyle name="C￥AØ_Sheet1_Ay°eC￥(2¿u) _반기 2" xfId="5069" xr:uid="{00000000-0005-0000-0000-000019130000}"/>
    <cellStyle name="Ç¥ÁØ_Sheet1_Áý°èÇ¥(2¿ù) _반기 2" xfId="5070" xr:uid="{00000000-0005-0000-0000-00001A130000}"/>
    <cellStyle name="C￥AØ_Sheet1_Ay°eC￥(2¿u) _반기 3" xfId="5071" xr:uid="{00000000-0005-0000-0000-00001B130000}"/>
    <cellStyle name="Ç¥ÁØ_Sheet1_Áý°èÇ¥(2¿ù) _반기 3" xfId="5072" xr:uid="{00000000-0005-0000-0000-00001C130000}"/>
    <cellStyle name="C￥AØ_Sheet1_Ay°eC￥(2¿u) _반기 4" xfId="5073" xr:uid="{00000000-0005-0000-0000-00001D130000}"/>
    <cellStyle name="Ç¥ÁØ_Sheet1_Áý°èÇ¥(2¿ù) _반기 4" xfId="5074" xr:uid="{00000000-0005-0000-0000-00001E130000}"/>
    <cellStyle name="C￥AØ_Sheet1_Ay°eC￥(2¿u) _반기 5" xfId="5075" xr:uid="{00000000-0005-0000-0000-00001F130000}"/>
    <cellStyle name="Ç¥ÁØ_Sheet1_Áý°èÇ¥(2¿ù) _반기 5" xfId="5076" xr:uid="{00000000-0005-0000-0000-000020130000}"/>
    <cellStyle name="C￥AØ_Sheet1_Ay°eC￥(2¿u) _반기 6" xfId="5077" xr:uid="{00000000-0005-0000-0000-000021130000}"/>
    <cellStyle name="Ç¥ÁØ_Sheet1_Áý°èÇ¥(2¿ù) _반기 6" xfId="5078" xr:uid="{00000000-0005-0000-0000-000022130000}"/>
    <cellStyle name="C￥AØ_Sheet1_Ay°eC￥(2¿u) _반기 7" xfId="5079" xr:uid="{00000000-0005-0000-0000-000023130000}"/>
    <cellStyle name="Ç¥ÁØ_Sheet1_Áý°èÇ¥(2¿ù) _반기 7" xfId="5080" xr:uid="{00000000-0005-0000-0000-000024130000}"/>
    <cellStyle name="C￥AØ_Sheet1_Ay°eC￥(2¿u) _반기 8" xfId="5081" xr:uid="{00000000-0005-0000-0000-000025130000}"/>
    <cellStyle name="Ç¥ÁØ_Sheet1_Áý°èÇ¥(2¿ù) _반기 8" xfId="5082" xr:uid="{00000000-0005-0000-0000-000026130000}"/>
    <cellStyle name="C￥AØ_Sheet1_Ay°eC￥(2¿u) _반기 9" xfId="5083" xr:uid="{00000000-0005-0000-0000-000027130000}"/>
    <cellStyle name="Ç¥ÁØ_Sheet1_Áý°èÇ¥(2¿ù) _반기 9" xfId="5084" xr:uid="{00000000-0005-0000-0000-000028130000}"/>
    <cellStyle name="C￥AØ_Sheet1_Ay°eC￥(2¿u) _순천공장, 투자계획안(3차조정안)" xfId="5085" xr:uid="{00000000-0005-0000-0000-000029130000}"/>
    <cellStyle name="Ç¥ÁØ_Sheet1_Áý°èÇ¥(2¿ù) _순천공장, 투자계획안(3차조정안)" xfId="5086" xr:uid="{00000000-0005-0000-0000-00002A130000}"/>
    <cellStyle name="C￥AØ_Sheet1_Ay°eC￥(2¿u) _순천공장, 투자계획안(3차조정안)_투자계획" xfId="5087" xr:uid="{00000000-0005-0000-0000-00002B130000}"/>
    <cellStyle name="Ç¥ÁØ_Sheet1_Áý°èÇ¥(2¿ù) _순천공장, 투자계획안(3차조정안)_투자계획" xfId="5088" xr:uid="{00000000-0005-0000-0000-00002C130000}"/>
    <cellStyle name="C￥AØ_Sheet1_Ay°eC￥(2¿u) _제시손익(02,03)" xfId="5089" xr:uid="{00000000-0005-0000-0000-00002D130000}"/>
    <cellStyle name="Ç¥ÁØ_Sheet1_Áý°èÇ¥(2¿ù) _제시손익(02,03)" xfId="5090" xr:uid="{00000000-0005-0000-0000-00002E130000}"/>
    <cellStyle name="C￥AØ_Sheet1_Ay°eC￥(2¿u) _제시손익(02,03) 10" xfId="5091" xr:uid="{00000000-0005-0000-0000-00002F130000}"/>
    <cellStyle name="Ç¥ÁØ_Sheet1_Áý°èÇ¥(2¿ù) _제시손익(02,03) 10" xfId="5092" xr:uid="{00000000-0005-0000-0000-000030130000}"/>
    <cellStyle name="C￥AØ_Sheet1_Ay°eC￥(2¿u) _제시손익(02,03) 11" xfId="5093" xr:uid="{00000000-0005-0000-0000-000031130000}"/>
    <cellStyle name="Ç¥ÁØ_Sheet1_Áý°èÇ¥(2¿ù) _제시손익(02,03) 11" xfId="5094" xr:uid="{00000000-0005-0000-0000-000032130000}"/>
    <cellStyle name="C￥AØ_Sheet1_Ay°eC￥(2¿u) _제시손익(02,03) 12" xfId="5095" xr:uid="{00000000-0005-0000-0000-000033130000}"/>
    <cellStyle name="Ç¥ÁØ_Sheet1_Áý°èÇ¥(2¿ù) _제시손익(02,03) 12" xfId="5096" xr:uid="{00000000-0005-0000-0000-000034130000}"/>
    <cellStyle name="C￥AØ_Sheet1_Ay°eC￥(2¿u) _제시손익(02,03) 13" xfId="5097" xr:uid="{00000000-0005-0000-0000-000035130000}"/>
    <cellStyle name="Ç¥ÁØ_Sheet1_Áý°èÇ¥(2¿ù) _제시손익(02,03) 13" xfId="5098" xr:uid="{00000000-0005-0000-0000-000036130000}"/>
    <cellStyle name="C￥AØ_Sheet1_Ay°eC￥(2¿u) _제시손익(02,03) 14" xfId="5099" xr:uid="{00000000-0005-0000-0000-000037130000}"/>
    <cellStyle name="Ç¥ÁØ_Sheet1_Áý°èÇ¥(2¿ù) _제시손익(02,03) 14" xfId="5100" xr:uid="{00000000-0005-0000-0000-000038130000}"/>
    <cellStyle name="C￥AØ_Sheet1_Ay°eC￥(2¿u) _제시손익(02,03) 15" xfId="5101" xr:uid="{00000000-0005-0000-0000-000039130000}"/>
    <cellStyle name="Ç¥ÁØ_Sheet1_Áý°èÇ¥(2¿ù) _제시손익(02,03) 15" xfId="5102" xr:uid="{00000000-0005-0000-0000-00003A130000}"/>
    <cellStyle name="C￥AØ_Sheet1_Ay°eC￥(2¿u) _제시손익(02,03) 2" xfId="5103" xr:uid="{00000000-0005-0000-0000-00003B130000}"/>
    <cellStyle name="Ç¥ÁØ_Sheet1_Áý°èÇ¥(2¿ù) _제시손익(02,03) 2" xfId="5104" xr:uid="{00000000-0005-0000-0000-00003C130000}"/>
    <cellStyle name="C￥AØ_Sheet1_Ay°eC￥(2¿u) _제시손익(02,03) 3" xfId="5105" xr:uid="{00000000-0005-0000-0000-00003D130000}"/>
    <cellStyle name="Ç¥ÁØ_Sheet1_Áý°èÇ¥(2¿ù) _제시손익(02,03) 3" xfId="5106" xr:uid="{00000000-0005-0000-0000-00003E130000}"/>
    <cellStyle name="C￥AØ_Sheet1_Ay°eC￥(2¿u) _제시손익(02,03) 4" xfId="5107" xr:uid="{00000000-0005-0000-0000-00003F130000}"/>
    <cellStyle name="Ç¥ÁØ_Sheet1_Áý°èÇ¥(2¿ù) _제시손익(02,03) 4" xfId="5108" xr:uid="{00000000-0005-0000-0000-000040130000}"/>
    <cellStyle name="C￥AØ_Sheet1_Ay°eC￥(2¿u) _제시손익(02,03) 5" xfId="5109" xr:uid="{00000000-0005-0000-0000-000041130000}"/>
    <cellStyle name="Ç¥ÁØ_Sheet1_Áý°èÇ¥(2¿ù) _제시손익(02,03) 5" xfId="5110" xr:uid="{00000000-0005-0000-0000-000042130000}"/>
    <cellStyle name="C￥AØ_Sheet1_Ay°eC￥(2¿u) _제시손익(02,03) 6" xfId="5111" xr:uid="{00000000-0005-0000-0000-000043130000}"/>
    <cellStyle name="Ç¥ÁØ_Sheet1_Áý°èÇ¥(2¿ù) _제시손익(02,03) 6" xfId="5112" xr:uid="{00000000-0005-0000-0000-000044130000}"/>
    <cellStyle name="C￥AØ_Sheet1_Ay°eC￥(2¿u) _제시손익(02,03) 7" xfId="5113" xr:uid="{00000000-0005-0000-0000-000045130000}"/>
    <cellStyle name="Ç¥ÁØ_Sheet1_Áý°èÇ¥(2¿ù) _제시손익(02,03) 7" xfId="5114" xr:uid="{00000000-0005-0000-0000-000046130000}"/>
    <cellStyle name="C￥AØ_Sheet1_Ay°eC￥(2¿u) _제시손익(02,03) 8" xfId="5115" xr:uid="{00000000-0005-0000-0000-000047130000}"/>
    <cellStyle name="Ç¥ÁØ_Sheet1_Áý°èÇ¥(2¿ù) _제시손익(02,03) 8" xfId="5116" xr:uid="{00000000-0005-0000-0000-000048130000}"/>
    <cellStyle name="C￥AØ_Sheet1_Ay°eC￥(2¿u) _제시손익(02,03) 9" xfId="5117" xr:uid="{00000000-0005-0000-0000-000049130000}"/>
    <cellStyle name="Ç¥ÁØ_Sheet1_Áý°èÇ¥(2¿ù) _제시손익(02,03) 9" xfId="5118" xr:uid="{00000000-0005-0000-0000-00004A130000}"/>
    <cellStyle name="C￥AØ_Sheet1_Ay°eC￥(2¿u) _후순위채내역" xfId="5119" xr:uid="{00000000-0005-0000-0000-00004B130000}"/>
    <cellStyle name="Ç¥ÁØ_Sheet1_Áý°èÇ¥(2¿ù) _후순위채내역" xfId="5120" xr:uid="{00000000-0005-0000-0000-00004C130000}"/>
    <cellStyle name="C￥AØ_Sheet1_Ay°eC￥(2¿u) _후순위채내역 10" xfId="5121" xr:uid="{00000000-0005-0000-0000-00004D130000}"/>
    <cellStyle name="Ç¥ÁØ_Sheet1_Áý°èÇ¥(2¿ù) _후순위채내역 10" xfId="5122" xr:uid="{00000000-0005-0000-0000-00004E130000}"/>
    <cellStyle name="C￥AØ_Sheet1_Ay°eC￥(2¿u) _후순위채내역 11" xfId="5123" xr:uid="{00000000-0005-0000-0000-00004F130000}"/>
    <cellStyle name="Ç¥ÁØ_Sheet1_Áý°èÇ¥(2¿ù) _후순위채내역 11" xfId="5124" xr:uid="{00000000-0005-0000-0000-000050130000}"/>
    <cellStyle name="C￥AØ_Sheet1_Ay°eC￥(2¿u) _후순위채내역 12" xfId="5125" xr:uid="{00000000-0005-0000-0000-000051130000}"/>
    <cellStyle name="Ç¥ÁØ_Sheet1_Áý°èÇ¥(2¿ù) _후순위채내역 12" xfId="5126" xr:uid="{00000000-0005-0000-0000-000052130000}"/>
    <cellStyle name="C￥AØ_Sheet1_Ay°eC￥(2¿u) _후순위채내역 13" xfId="5127" xr:uid="{00000000-0005-0000-0000-000053130000}"/>
    <cellStyle name="Ç¥ÁØ_Sheet1_Áý°èÇ¥(2¿ù) _후순위채내역 13" xfId="5128" xr:uid="{00000000-0005-0000-0000-000054130000}"/>
    <cellStyle name="C￥AØ_Sheet1_Ay°eC￥(2¿u) _후순위채내역 14" xfId="5129" xr:uid="{00000000-0005-0000-0000-000055130000}"/>
    <cellStyle name="Ç¥ÁØ_Sheet1_Áý°èÇ¥(2¿ù) _후순위채내역 14" xfId="5130" xr:uid="{00000000-0005-0000-0000-000056130000}"/>
    <cellStyle name="C￥AØ_Sheet1_Ay°eC￥(2¿u) _후순위채내역 15" xfId="5131" xr:uid="{00000000-0005-0000-0000-000057130000}"/>
    <cellStyle name="Ç¥ÁØ_Sheet1_Áý°èÇ¥(2¿ù) _후순위채내역 15" xfId="5132" xr:uid="{00000000-0005-0000-0000-000058130000}"/>
    <cellStyle name="C￥AØ_Sheet1_Ay°eC￥(2¿u) _후순위채내역 2" xfId="5133" xr:uid="{00000000-0005-0000-0000-000059130000}"/>
    <cellStyle name="Ç¥ÁØ_Sheet1_Áý°èÇ¥(2¿ù) _후순위채내역 2" xfId="5134" xr:uid="{00000000-0005-0000-0000-00005A130000}"/>
    <cellStyle name="C￥AØ_Sheet1_Ay°eC￥(2¿u) _후순위채내역 3" xfId="5135" xr:uid="{00000000-0005-0000-0000-00005B130000}"/>
    <cellStyle name="Ç¥ÁØ_Sheet1_Áý°èÇ¥(2¿ù) _후순위채내역 3" xfId="5136" xr:uid="{00000000-0005-0000-0000-00005C130000}"/>
    <cellStyle name="C￥AØ_Sheet1_Ay°eC￥(2¿u) _후순위채내역 4" xfId="5137" xr:uid="{00000000-0005-0000-0000-00005D130000}"/>
    <cellStyle name="Ç¥ÁØ_Sheet1_Áý°èÇ¥(2¿ù) _후순위채내역 4" xfId="5138" xr:uid="{00000000-0005-0000-0000-00005E130000}"/>
    <cellStyle name="C￥AØ_Sheet1_Ay°eC￥(2¿u) _후순위채내역 5" xfId="5139" xr:uid="{00000000-0005-0000-0000-00005F130000}"/>
    <cellStyle name="Ç¥ÁØ_Sheet1_Áý°èÇ¥(2¿ù) _후순위채내역 5" xfId="5140" xr:uid="{00000000-0005-0000-0000-000060130000}"/>
    <cellStyle name="C￥AØ_Sheet1_Ay°eC￥(2¿u) _후순위채내역 6" xfId="5141" xr:uid="{00000000-0005-0000-0000-000061130000}"/>
    <cellStyle name="Ç¥ÁØ_Sheet1_Áý°èÇ¥(2¿ù) _후순위채내역 6" xfId="5142" xr:uid="{00000000-0005-0000-0000-000062130000}"/>
    <cellStyle name="C￥AØ_Sheet1_Ay°eC￥(2¿u) _후순위채내역 7" xfId="5143" xr:uid="{00000000-0005-0000-0000-000063130000}"/>
    <cellStyle name="Ç¥ÁØ_Sheet1_Áý°èÇ¥(2¿ù) _후순위채내역 7" xfId="5144" xr:uid="{00000000-0005-0000-0000-000064130000}"/>
    <cellStyle name="C￥AØ_Sheet1_Ay°eC￥(2¿u) _후순위채내역 8" xfId="5145" xr:uid="{00000000-0005-0000-0000-000065130000}"/>
    <cellStyle name="Ç¥ÁØ_Sheet1_Áý°èÇ¥(2¿ù) _후순위채내역 8" xfId="5146" xr:uid="{00000000-0005-0000-0000-000066130000}"/>
    <cellStyle name="C￥AØ_Sheet1_Ay°eC￥(2¿u) _후순위채내역 9" xfId="5147" xr:uid="{00000000-0005-0000-0000-000067130000}"/>
    <cellStyle name="Ç¥ÁØ_Sheet1_Áý°èÇ¥(2¿ù) _후순위채내역 9" xfId="5148" xr:uid="{00000000-0005-0000-0000-000068130000}"/>
    <cellStyle name="C￥AØ_SOON1 " xfId="5149" xr:uid="{00000000-0005-0000-0000-000069130000}"/>
    <cellStyle name="Calc C⟐rrency (0)" xfId="5150" xr:uid="{00000000-0005-0000-0000-00006A130000}"/>
    <cellStyle name="Calc Currency (0)" xfId="5151" xr:uid="{00000000-0005-0000-0000-00006B130000}"/>
    <cellStyle name="Calc Currency (0) 2" xfId="5152" xr:uid="{00000000-0005-0000-0000-00006C130000}"/>
    <cellStyle name="Calc Currency (0) 3" xfId="5153" xr:uid="{00000000-0005-0000-0000-00006D130000}"/>
    <cellStyle name="Calc Currency (2)" xfId="5154" xr:uid="{00000000-0005-0000-0000-00006E130000}"/>
    <cellStyle name="Calc Currency (2) 2" xfId="5155" xr:uid="{00000000-0005-0000-0000-00006F130000}"/>
    <cellStyle name="Calc Percent (0)" xfId="5156" xr:uid="{00000000-0005-0000-0000-000070130000}"/>
    <cellStyle name="Calc Percent (0) 2" xfId="5157" xr:uid="{00000000-0005-0000-0000-000071130000}"/>
    <cellStyle name="Calc Percent (1)" xfId="5158" xr:uid="{00000000-0005-0000-0000-000072130000}"/>
    <cellStyle name="Calc Percent (2)" xfId="5159" xr:uid="{00000000-0005-0000-0000-000073130000}"/>
    <cellStyle name="Calc Percent (2) 2" xfId="5160" xr:uid="{00000000-0005-0000-0000-000074130000}"/>
    <cellStyle name="Calc Units (0)" xfId="5161" xr:uid="{00000000-0005-0000-0000-000075130000}"/>
    <cellStyle name="Calc Units (0) 2" xfId="5162" xr:uid="{00000000-0005-0000-0000-000076130000}"/>
    <cellStyle name="Calc Units (1)" xfId="5163" xr:uid="{00000000-0005-0000-0000-000077130000}"/>
    <cellStyle name="Calc Units (1) 2" xfId="5164" xr:uid="{00000000-0005-0000-0000-000078130000}"/>
    <cellStyle name="Calc Units (2)" xfId="5165" xr:uid="{00000000-0005-0000-0000-000079130000}"/>
    <cellStyle name="Calculation" xfId="5166" xr:uid="{00000000-0005-0000-0000-00007A130000}"/>
    <cellStyle name="Calculation 2" xfId="5167" xr:uid="{00000000-0005-0000-0000-00007B130000}"/>
    <cellStyle name="Case" xfId="5168" xr:uid="{00000000-0005-0000-0000-00007C130000}"/>
    <cellStyle name="cate" xfId="5169" xr:uid="{00000000-0005-0000-0000-00007D130000}"/>
    <cellStyle name="cate1" xfId="5170" xr:uid="{00000000-0005-0000-0000-00007E130000}"/>
    <cellStyle name="cate2" xfId="5171" xr:uid="{00000000-0005-0000-0000-00007F130000}"/>
    <cellStyle name="category" xfId="5172" xr:uid="{00000000-0005-0000-0000-000080130000}"/>
    <cellStyle name="Check Cell" xfId="5173" xr:uid="{00000000-0005-0000-0000-000081130000}"/>
    <cellStyle name="choi" xfId="5174" xr:uid="{00000000-0005-0000-0000-000082130000}"/>
    <cellStyle name="CIAIÆU¸μAⓒ" xfId="5175" xr:uid="{00000000-0005-0000-0000-000083130000}"/>
    <cellStyle name="ⓒoe¨￢¨￠Aⓒ÷_¡¾aA￠￢" xfId="5176" xr:uid="{00000000-0005-0000-0000-000084130000}"/>
    <cellStyle name="Column Heading" xfId="5177" xr:uid="{00000000-0005-0000-0000-000085130000}"/>
    <cellStyle name="ColumnHeading" xfId="5178" xr:uid="{00000000-0005-0000-0000-000086130000}"/>
    <cellStyle name="columns_array" xfId="5179" xr:uid="{00000000-0005-0000-0000-000087130000}"/>
    <cellStyle name="CombinedVol_Data" xfId="5180" xr:uid="{00000000-0005-0000-0000-000088130000}"/>
    <cellStyle name="Comma" xfId="5181" xr:uid="{00000000-0005-0000-0000-000089130000}"/>
    <cellStyle name="Comma  - A?Cu1" xfId="5182" xr:uid="{00000000-0005-0000-0000-00008A130000}"/>
    <cellStyle name="Comma  - A?Cu2" xfId="5183" xr:uid="{00000000-0005-0000-0000-00008B130000}"/>
    <cellStyle name="Comma  - A?Cu3" xfId="5184" xr:uid="{00000000-0005-0000-0000-00008C130000}"/>
    <cellStyle name="Comma  - A?Cu4" xfId="5185" xr:uid="{00000000-0005-0000-0000-00008D130000}"/>
    <cellStyle name="Comma  - A?Cu5" xfId="5186" xr:uid="{00000000-0005-0000-0000-00008E130000}"/>
    <cellStyle name="Comma  - A?Cu6" xfId="5187" xr:uid="{00000000-0005-0000-0000-00008F130000}"/>
    <cellStyle name="Comma  - A?Cu7" xfId="5188" xr:uid="{00000000-0005-0000-0000-000090130000}"/>
    <cellStyle name="Comma  - A?Cu8" xfId="5189" xr:uid="{00000000-0005-0000-0000-000091130000}"/>
    <cellStyle name="Comma  - Style1" xfId="5190" xr:uid="{00000000-0005-0000-0000-000092130000}"/>
    <cellStyle name="Comma  - Style1 2" xfId="5191" xr:uid="{00000000-0005-0000-0000-000093130000}"/>
    <cellStyle name="Comma  - Style2" xfId="5192" xr:uid="{00000000-0005-0000-0000-000094130000}"/>
    <cellStyle name="Comma  - Style2 2" xfId="5193" xr:uid="{00000000-0005-0000-0000-000095130000}"/>
    <cellStyle name="Comma  - Style3" xfId="5194" xr:uid="{00000000-0005-0000-0000-000096130000}"/>
    <cellStyle name="Comma  - Style3 2" xfId="5195" xr:uid="{00000000-0005-0000-0000-000097130000}"/>
    <cellStyle name="Comma  - Style4" xfId="5196" xr:uid="{00000000-0005-0000-0000-000098130000}"/>
    <cellStyle name="Comma  - Style4 2" xfId="5197" xr:uid="{00000000-0005-0000-0000-000099130000}"/>
    <cellStyle name="Comma  - Style5" xfId="5198" xr:uid="{00000000-0005-0000-0000-00009A130000}"/>
    <cellStyle name="Comma  - Style5 2" xfId="5199" xr:uid="{00000000-0005-0000-0000-00009B130000}"/>
    <cellStyle name="Comma  - Style6" xfId="5200" xr:uid="{00000000-0005-0000-0000-00009C130000}"/>
    <cellStyle name="Comma  - Style6 2" xfId="5201" xr:uid="{00000000-0005-0000-0000-00009D130000}"/>
    <cellStyle name="Comma  - Style7" xfId="5202" xr:uid="{00000000-0005-0000-0000-00009E130000}"/>
    <cellStyle name="Comma  - Style7 2" xfId="5203" xr:uid="{00000000-0005-0000-0000-00009F130000}"/>
    <cellStyle name="Comma  - Style8" xfId="5204" xr:uid="{00000000-0005-0000-0000-0000A0130000}"/>
    <cellStyle name="Comma  - Style8 2" xfId="5205" xr:uid="{00000000-0005-0000-0000-0000A1130000}"/>
    <cellStyle name="Comma  - 유형1" xfId="5206" xr:uid="{00000000-0005-0000-0000-0000A2130000}"/>
    <cellStyle name="Comma  - 유형2" xfId="5207" xr:uid="{00000000-0005-0000-0000-0000A3130000}"/>
    <cellStyle name="Comma  - 유형3" xfId="5208" xr:uid="{00000000-0005-0000-0000-0000A4130000}"/>
    <cellStyle name="Comma  - 유형4" xfId="5209" xr:uid="{00000000-0005-0000-0000-0000A5130000}"/>
    <cellStyle name="Comma  - 유형5" xfId="5210" xr:uid="{00000000-0005-0000-0000-0000A6130000}"/>
    <cellStyle name="Comma  - 유형6" xfId="5211" xr:uid="{00000000-0005-0000-0000-0000A7130000}"/>
    <cellStyle name="Comma  - 유형7" xfId="5212" xr:uid="{00000000-0005-0000-0000-0000A8130000}"/>
    <cellStyle name="Comma  - 유형8" xfId="5213" xr:uid="{00000000-0005-0000-0000-0000A9130000}"/>
    <cellStyle name="Comma [0]" xfId="5214" xr:uid="{00000000-0005-0000-0000-0000AA130000}"/>
    <cellStyle name="Comma [0] 2" xfId="181" xr:uid="{00000000-0005-0000-0000-0000AB130000}"/>
    <cellStyle name="Comma [0] 3" xfId="5215" xr:uid="{00000000-0005-0000-0000-0000AC130000}"/>
    <cellStyle name="Comma [0][[heet1_FY96" xfId="5216" xr:uid="{00000000-0005-0000-0000-0000AD130000}"/>
    <cellStyle name="Comma [0]_ 내역 (2)" xfId="5217" xr:uid="{00000000-0005-0000-0000-0000AE130000}"/>
    <cellStyle name="Comma [00]" xfId="5218" xr:uid="{00000000-0005-0000-0000-0000AF130000}"/>
    <cellStyle name="Comma [00] 2" xfId="5219" xr:uid="{00000000-0005-0000-0000-0000B0130000}"/>
    <cellStyle name="Comma 0" xfId="5220" xr:uid="{00000000-0005-0000-0000-0000B1130000}"/>
    <cellStyle name="Comma 2" xfId="5221" xr:uid="{00000000-0005-0000-0000-0000B2130000}"/>
    <cellStyle name="Comma 3" xfId="5222" xr:uid="{00000000-0005-0000-0000-0000B3130000}"/>
    <cellStyle name="Comma 4" xfId="5223" xr:uid="{00000000-0005-0000-0000-0000B4130000}"/>
    <cellStyle name="Comma 5" xfId="5224" xr:uid="{00000000-0005-0000-0000-0000B5130000}"/>
    <cellStyle name="comma zerodec" xfId="5225" xr:uid="{00000000-0005-0000-0000-0000B6130000}"/>
    <cellStyle name="comma zerodec 2" xfId="5226" xr:uid="{00000000-0005-0000-0000-0000B7130000}"/>
    <cellStyle name="Comma^ODCOS " xfId="5227" xr:uid="{00000000-0005-0000-0000-0000B8130000}"/>
    <cellStyle name="Comma_  address" xfId="5228" xr:uid="{00000000-0005-0000-0000-0000B9130000}"/>
    <cellStyle name="Comma0" xfId="5229" xr:uid="{00000000-0005-0000-0000-0000BA130000}"/>
    <cellStyle name="Comma0 - Modelo1" xfId="5230" xr:uid="{00000000-0005-0000-0000-0000BB130000}"/>
    <cellStyle name="Comma0 - Modelo1 2" xfId="5231" xr:uid="{00000000-0005-0000-0000-0000BC130000}"/>
    <cellStyle name="Comma0 - Modelo1 2 2" xfId="5232" xr:uid="{00000000-0005-0000-0000-0000BD130000}"/>
    <cellStyle name="Comma0 - Modelo1 2 3" xfId="5233" xr:uid="{00000000-0005-0000-0000-0000BE130000}"/>
    <cellStyle name="Comma0 - Modelo1 3" xfId="5234" xr:uid="{00000000-0005-0000-0000-0000BF130000}"/>
    <cellStyle name="Comma0 - Modelo1 4" xfId="5235" xr:uid="{00000000-0005-0000-0000-0000C0130000}"/>
    <cellStyle name="Comma0 - Style1" xfId="5236" xr:uid="{00000000-0005-0000-0000-0000C1130000}"/>
    <cellStyle name="Comma0 2" xfId="5237" xr:uid="{00000000-0005-0000-0000-0000C2130000}"/>
    <cellStyle name="Comma0 3" xfId="5238" xr:uid="{00000000-0005-0000-0000-0000C3130000}"/>
    <cellStyle name="Comma0_한일_06기말정산표_0224v1" xfId="5239" xr:uid="{00000000-0005-0000-0000-0000C4130000}"/>
    <cellStyle name="Comma1 - Modelo2" xfId="5240" xr:uid="{00000000-0005-0000-0000-0000C5130000}"/>
    <cellStyle name="Comma1 - Modelo2 2" xfId="5241" xr:uid="{00000000-0005-0000-0000-0000C6130000}"/>
    <cellStyle name="Comma1 - Modelo2 2 2" xfId="5242" xr:uid="{00000000-0005-0000-0000-0000C7130000}"/>
    <cellStyle name="Comma1 - Modelo2 2 3" xfId="5243" xr:uid="{00000000-0005-0000-0000-0000C8130000}"/>
    <cellStyle name="Comma1 - Modelo2 3" xfId="5244" xr:uid="{00000000-0005-0000-0000-0000C9130000}"/>
    <cellStyle name="Comma1 - Modelo2 4" xfId="5245" xr:uid="{00000000-0005-0000-0000-0000CA130000}"/>
    <cellStyle name="Comma1 - Style2" xfId="5246" xr:uid="{00000000-0005-0000-0000-0000CB130000}"/>
    <cellStyle name="Component" xfId="5247" xr:uid="{00000000-0005-0000-0000-0000CC130000}"/>
    <cellStyle name="Cooma_Real Rev per Staff (2)" xfId="5248" xr:uid="{00000000-0005-0000-0000-0000CD130000}"/>
    <cellStyle name="Copied" xfId="5249" xr:uid="{00000000-0005-0000-0000-0000CE130000}"/>
    <cellStyle name="COST1" xfId="5250" xr:uid="{00000000-0005-0000-0000-0000CF130000}"/>
    <cellStyle name="Cur?ncy [0]_QTR94_95_97회비_사업부제품광고제외 (2)_11요식 " xfId="5251" xr:uid="{00000000-0005-0000-0000-0000D0130000}"/>
    <cellStyle name="Curren - Style2" xfId="5252" xr:uid="{00000000-0005-0000-0000-0000D1130000}"/>
    <cellStyle name="Curren?_x0012_퐀_x0017_?" xfId="5253" xr:uid="{00000000-0005-0000-0000-0000D2130000}"/>
    <cellStyle name="Currenc?[0]_MATERAL2_실예PL " xfId="5254" xr:uid="{00000000-0005-0000-0000-0000D3130000}"/>
    <cellStyle name="Currenc?ODCOS " xfId="5255" xr:uid="{00000000-0005-0000-0000-0000D4130000}"/>
    <cellStyle name="Currency" xfId="5256" xr:uid="{00000000-0005-0000-0000-0000D5130000}"/>
    <cellStyle name="Currency--" xfId="5257" xr:uid="{00000000-0005-0000-0000-0000D6130000}"/>
    <cellStyle name="Currency [0]" xfId="5258" xr:uid="{00000000-0005-0000-0000-0000D7130000}"/>
    <cellStyle name="Currency [0] 2" xfId="5259" xr:uid="{00000000-0005-0000-0000-0000D8130000}"/>
    <cellStyle name="Currency [0] 3" xfId="5260" xr:uid="{00000000-0005-0000-0000-0000D9130000}"/>
    <cellStyle name="Currency [0]?1" xfId="5261" xr:uid="{00000000-0005-0000-0000-0000DA130000}"/>
    <cellStyle name="Currency [0]_ SG&amp;A Bridge " xfId="5262" xr:uid="{00000000-0005-0000-0000-0000DB130000}"/>
    <cellStyle name="Currency [0}_r1" xfId="5263" xr:uid="{00000000-0005-0000-0000-0000DC130000}"/>
    <cellStyle name="Currency [00]" xfId="5264" xr:uid="{00000000-0005-0000-0000-0000DD130000}"/>
    <cellStyle name="Currency [00] 2" xfId="5265" xr:uid="{00000000-0005-0000-0000-0000DE130000}"/>
    <cellStyle name="Currency [1]" xfId="5266" xr:uid="{00000000-0005-0000-0000-0000DF130000}"/>
    <cellStyle name="Currency [2]" xfId="5267" xr:uid="{00000000-0005-0000-0000-0000E0130000}"/>
    <cellStyle name="Currency 0" xfId="5268" xr:uid="{00000000-0005-0000-0000-0000E1130000}"/>
    <cellStyle name="Currency 2" xfId="5269" xr:uid="{00000000-0005-0000-0000-0000E2130000}"/>
    <cellStyle name="Currency 3" xfId="5270" xr:uid="{00000000-0005-0000-0000-0000E3130000}"/>
    <cellStyle name="Currency 4" xfId="5271" xr:uid="{00000000-0005-0000-0000-0000E4130000}"/>
    <cellStyle name="Currency 5" xfId="5272" xr:uid="{00000000-0005-0000-0000-0000E5130000}"/>
    <cellStyle name="currency-$" xfId="5273" xr:uid="{00000000-0005-0000-0000-0000E6130000}"/>
    <cellStyle name="Currency_  address" xfId="5274" xr:uid="{00000000-0005-0000-0000-0000E7130000}"/>
    <cellStyle name="Currency--_3700-200(Equity)_v13" xfId="5275" xr:uid="{00000000-0005-0000-0000-0000E8130000}"/>
    <cellStyle name="Currency_ARN (2)" xfId="5276" xr:uid="{00000000-0005-0000-0000-0000E9130000}"/>
    <cellStyle name="Currency`[0]_P&amp;L" xfId="5277" xr:uid="{00000000-0005-0000-0000-0000EA130000}"/>
    <cellStyle name="Currency0" xfId="5278" xr:uid="{00000000-0005-0000-0000-0000EB130000}"/>
    <cellStyle name="Currency0 2" xfId="5279" xr:uid="{00000000-0005-0000-0000-0000EC130000}"/>
    <cellStyle name="Currency1" xfId="5280" xr:uid="{00000000-0005-0000-0000-0000ED130000}"/>
    <cellStyle name="Currency1 2" xfId="5281" xr:uid="{00000000-0005-0000-0000-0000EE130000}"/>
    <cellStyle name="Currency1 3" xfId="5282" xr:uid="{00000000-0005-0000-0000-0000EF130000}"/>
    <cellStyle name="Curren堼y_9월경비_1월회비내역 (2)_1" xfId="5283" xr:uid="{00000000-0005-0000-0000-0000F0130000}"/>
    <cellStyle name="Cu䁲rency [0]_QTR94_95_97회비" xfId="5284" xr:uid="{00000000-0005-0000-0000-0000F1130000}"/>
    <cellStyle name="ÇYÁO_?1»e?äA» " xfId="5285" xr:uid="{00000000-0005-0000-0000-0000F2130000}"/>
    <cellStyle name="d" xfId="5286" xr:uid="{00000000-0005-0000-0000-0000F3130000}"/>
    <cellStyle name="D 2" xfId="5287" xr:uid="{00000000-0005-0000-0000-0000F4130000}"/>
    <cellStyle name="D_01_AM monthly_Lease_200208" xfId="5288" xr:uid="{00000000-0005-0000-0000-0000F5130000}"/>
    <cellStyle name="D_02_AM monthly_analysis_2000208" xfId="5289" xr:uid="{00000000-0005-0000-0000-0000F6130000}"/>
    <cellStyle name="D_03_yardi_한화_20028" xfId="5290" xr:uid="{00000000-0005-0000-0000-0000F7130000}"/>
    <cellStyle name="D_05_yardi_대한_200208" xfId="5291" xr:uid="{00000000-0005-0000-0000-0000F8130000}"/>
    <cellStyle name="D_cover_yardi_Yvette" xfId="5292" xr:uid="{00000000-0005-0000-0000-0000F9130000}"/>
    <cellStyle name="D_PM Monthly report_한화_송부" xfId="5293" xr:uid="{00000000-0005-0000-0000-0000FA130000}"/>
    <cellStyle name="D_Rev1_IS Report_by C&amp;W_for Sep" xfId="5294" xr:uid="{00000000-0005-0000-0000-0000FB130000}"/>
    <cellStyle name="D_Sheet11" xfId="5295" xr:uid="{00000000-0005-0000-0000-0000FC130000}"/>
    <cellStyle name="D_Sheet12" xfId="5296" xr:uid="{00000000-0005-0000-0000-0000FD130000}"/>
    <cellStyle name="D_Sheet5" xfId="5297" xr:uid="{00000000-0005-0000-0000-0000FE130000}"/>
    <cellStyle name="D_Sheet6" xfId="5298" xr:uid="{00000000-0005-0000-0000-0000FF130000}"/>
    <cellStyle name="d_정산표-현대선물_200906_ver5.3" xfId="5299" xr:uid="{00000000-0005-0000-0000-000000140000}"/>
    <cellStyle name="D_한화_수익편차" xfId="5300" xr:uid="{00000000-0005-0000-0000-000001140000}"/>
    <cellStyle name="Date" xfId="5301" xr:uid="{00000000-0005-0000-0000-000002140000}"/>
    <cellStyle name="Date [d-mmm-yy]" xfId="5302" xr:uid="{00000000-0005-0000-0000-000003140000}"/>
    <cellStyle name="Date [mm-dd-yy]" xfId="5303" xr:uid="{00000000-0005-0000-0000-000004140000}"/>
    <cellStyle name="Date [mm-dd-yyyy]" xfId="5304" xr:uid="{00000000-0005-0000-0000-000005140000}"/>
    <cellStyle name="Date [mm-d-yy]" xfId="5305" xr:uid="{00000000-0005-0000-0000-000006140000}"/>
    <cellStyle name="Date [mm-d-yyyy]" xfId="5306" xr:uid="{00000000-0005-0000-0000-000007140000}"/>
    <cellStyle name="Date [mmm-d-yy]" xfId="5307" xr:uid="{00000000-0005-0000-0000-000008140000}"/>
    <cellStyle name="Date [mmm-d-yyyy]" xfId="5308" xr:uid="{00000000-0005-0000-0000-000009140000}"/>
    <cellStyle name="Date [mmm-yy]" xfId="5309" xr:uid="{00000000-0005-0000-0000-00000A140000}"/>
    <cellStyle name="Date [mmm-yyyy]" xfId="5310" xr:uid="{00000000-0005-0000-0000-00000B140000}"/>
    <cellStyle name="Date 2" xfId="5311" xr:uid="{00000000-0005-0000-0000-00000C140000}"/>
    <cellStyle name="Date 3" xfId="5312" xr:uid="{00000000-0005-0000-0000-00000D140000}"/>
    <cellStyle name="Date 4" xfId="5313" xr:uid="{00000000-0005-0000-0000-00000E140000}"/>
    <cellStyle name="Date Aligned" xfId="5314" xr:uid="{00000000-0005-0000-0000-00000F140000}"/>
    <cellStyle name="Date Aligned 2" xfId="5315" xr:uid="{00000000-0005-0000-0000-000010140000}"/>
    <cellStyle name="Date Short" xfId="5316" xr:uid="{00000000-0005-0000-0000-000011140000}"/>
    <cellStyle name="Date_★ 2005년 법인세 세부 내역(최종)revised" xfId="5317" xr:uid="{00000000-0005-0000-0000-000012140000}"/>
    <cellStyle name="Date2" xfId="5318" xr:uid="{00000000-0005-0000-0000-000013140000}"/>
    <cellStyle name="Date2h" xfId="5319" xr:uid="{00000000-0005-0000-0000-000014140000}"/>
    <cellStyle name="DATETIME" xfId="5320" xr:uid="{00000000-0005-0000-0000-000015140000}"/>
    <cellStyle name="Datum 10" xfId="5321" xr:uid="{00000000-0005-0000-0000-000016140000}"/>
    <cellStyle name="Datum 11" xfId="5322" xr:uid="{00000000-0005-0000-0000-000017140000}"/>
    <cellStyle name="Datum 12" xfId="5323" xr:uid="{00000000-0005-0000-0000-000018140000}"/>
    <cellStyle name="Datum 8" xfId="5324" xr:uid="{00000000-0005-0000-0000-000019140000}"/>
    <cellStyle name="Datum 9" xfId="5325" xr:uid="{00000000-0005-0000-0000-00001A140000}"/>
    <cellStyle name="dec0" xfId="5326" xr:uid="{00000000-0005-0000-0000-00001B140000}"/>
    <cellStyle name="dec1" xfId="5327" xr:uid="{00000000-0005-0000-0000-00001C140000}"/>
    <cellStyle name="dec2" xfId="5328" xr:uid="{00000000-0005-0000-0000-00001D140000}"/>
    <cellStyle name="dec4" xfId="5329" xr:uid="{00000000-0005-0000-0000-00001E140000}"/>
    <cellStyle name="DELTA" xfId="5330" xr:uid="{00000000-0005-0000-0000-00001F140000}"/>
    <cellStyle name="Dezimal [0]_Aktenbewertung 1994" xfId="5331" xr:uid="{00000000-0005-0000-0000-000020140000}"/>
    <cellStyle name="Dezimal_Aktenbewertung 1994" xfId="5332" xr:uid="{00000000-0005-0000-0000-000021140000}"/>
    <cellStyle name="Dia" xfId="5333" xr:uid="{00000000-0005-0000-0000-000022140000}"/>
    <cellStyle name="Dollar (zero dec)" xfId="5334" xr:uid="{00000000-0005-0000-0000-000023140000}"/>
    <cellStyle name="Dollar (zero dec) 2" xfId="5335" xr:uid="{00000000-0005-0000-0000-000024140000}"/>
    <cellStyle name="dollars" xfId="5336" xr:uid="{00000000-0005-0000-0000-000025140000}"/>
    <cellStyle name="Dotted Line" xfId="5337" xr:uid="{00000000-0005-0000-0000-000026140000}"/>
    <cellStyle name="Dotted Line 2" xfId="5338" xr:uid="{00000000-0005-0000-0000-000027140000}"/>
    <cellStyle name="Double Accounting" xfId="5339" xr:uid="{00000000-0005-0000-0000-000028140000}"/>
    <cellStyle name="Double Accounting 2" xfId="5340" xr:uid="{00000000-0005-0000-0000-000029140000}"/>
    <cellStyle name="DownLoad" xfId="5341" xr:uid="{00000000-0005-0000-0000-00002A140000}"/>
    <cellStyle name="DSYSPROJ" xfId="5342" xr:uid="{00000000-0005-0000-0000-00002B140000}"/>
    <cellStyle name="EASpecial" xfId="5343" xr:uid="{00000000-0005-0000-0000-00002C140000}"/>
    <cellStyle name="egg" xfId="5344" xr:uid="{00000000-0005-0000-0000-00002D140000}"/>
    <cellStyle name="Encabez1" xfId="5345" xr:uid="{00000000-0005-0000-0000-00002E140000}"/>
    <cellStyle name="Encabez2" xfId="5346" xr:uid="{00000000-0005-0000-0000-00002F140000}"/>
    <cellStyle name="Enter Currency (0)" xfId="5347" xr:uid="{00000000-0005-0000-0000-000030140000}"/>
    <cellStyle name="Enter Currency (0) 2" xfId="5348" xr:uid="{00000000-0005-0000-0000-000031140000}"/>
    <cellStyle name="Enter Currency (2)" xfId="5349" xr:uid="{00000000-0005-0000-0000-000032140000}"/>
    <cellStyle name="Enter Currency (2) 2" xfId="5350" xr:uid="{00000000-0005-0000-0000-000033140000}"/>
    <cellStyle name="Enter Units (0)" xfId="5351" xr:uid="{00000000-0005-0000-0000-000034140000}"/>
    <cellStyle name="Enter Units (0) 2" xfId="5352" xr:uid="{00000000-0005-0000-0000-000035140000}"/>
    <cellStyle name="Enter Units (1)" xfId="5353" xr:uid="{00000000-0005-0000-0000-000036140000}"/>
    <cellStyle name="Enter Units (1) 2" xfId="5354" xr:uid="{00000000-0005-0000-0000-000037140000}"/>
    <cellStyle name="Enter Units (2)" xfId="5355" xr:uid="{00000000-0005-0000-0000-000038140000}"/>
    <cellStyle name="Enter Units (2) 2" xfId="5356" xr:uid="{00000000-0005-0000-0000-000039140000}"/>
    <cellStyle name="Entered" xfId="5357" xr:uid="{00000000-0005-0000-0000-00003A140000}"/>
    <cellStyle name="entry" xfId="5358" xr:uid="{00000000-0005-0000-0000-00003B140000}"/>
    <cellStyle name="Euro" xfId="5359" xr:uid="{00000000-0005-0000-0000-00003C140000}"/>
    <cellStyle name="Euro 2" xfId="5360" xr:uid="{00000000-0005-0000-0000-00003D140000}"/>
    <cellStyle name="EvenBodyShade" xfId="5361" xr:uid="{00000000-0005-0000-0000-00003E140000}"/>
    <cellStyle name="Explanatory Text" xfId="5362" xr:uid="{00000000-0005-0000-0000-00003F140000}"/>
    <cellStyle name="F1" xfId="5363" xr:uid="{00000000-0005-0000-0000-000040140000}"/>
    <cellStyle name="F2" xfId="5364" xr:uid="{00000000-0005-0000-0000-000041140000}"/>
    <cellStyle name="F2 2" xfId="5365" xr:uid="{00000000-0005-0000-0000-000042140000}"/>
    <cellStyle name="F3" xfId="5366" xr:uid="{00000000-0005-0000-0000-000043140000}"/>
    <cellStyle name="F3 2" xfId="5367" xr:uid="{00000000-0005-0000-0000-000044140000}"/>
    <cellStyle name="F4" xfId="5368" xr:uid="{00000000-0005-0000-0000-000045140000}"/>
    <cellStyle name="F4 2" xfId="5369" xr:uid="{00000000-0005-0000-0000-000046140000}"/>
    <cellStyle name="F5" xfId="5370" xr:uid="{00000000-0005-0000-0000-000047140000}"/>
    <cellStyle name="F5 2" xfId="5371" xr:uid="{00000000-0005-0000-0000-000048140000}"/>
    <cellStyle name="F6" xfId="5372" xr:uid="{00000000-0005-0000-0000-000049140000}"/>
    <cellStyle name="F6 2" xfId="5373" xr:uid="{00000000-0005-0000-0000-00004A140000}"/>
    <cellStyle name="F7" xfId="5374" xr:uid="{00000000-0005-0000-0000-00004B140000}"/>
    <cellStyle name="F7 2" xfId="5375" xr:uid="{00000000-0005-0000-0000-00004C140000}"/>
    <cellStyle name="F8" xfId="5376" xr:uid="{00000000-0005-0000-0000-00004D140000}"/>
    <cellStyle name="F8 2" xfId="5377" xr:uid="{00000000-0005-0000-0000-00004E140000}"/>
    <cellStyle name="Fijo" xfId="5378" xr:uid="{00000000-0005-0000-0000-00004F140000}"/>
    <cellStyle name="Financiero" xfId="5379" xr:uid="{00000000-0005-0000-0000-000050140000}"/>
    <cellStyle name="Fixed" xfId="5380" xr:uid="{00000000-0005-0000-0000-000051140000}"/>
    <cellStyle name="Fixed [0]" xfId="5381" xr:uid="{00000000-0005-0000-0000-000052140000}"/>
    <cellStyle name="Fixed 2" xfId="5382" xr:uid="{00000000-0005-0000-0000-000053140000}"/>
    <cellStyle name="Fixed 3" xfId="5383" xr:uid="{00000000-0005-0000-0000-000054140000}"/>
    <cellStyle name="Fixed 4" xfId="5384" xr:uid="{00000000-0005-0000-0000-000055140000}"/>
    <cellStyle name="Fixed_정산표-현대선물_200906_ver5.3" xfId="5385" xr:uid="{00000000-0005-0000-0000-000056140000}"/>
    <cellStyle name="Followed Hyperlink" xfId="5386" xr:uid="{00000000-0005-0000-0000-000057140000}"/>
    <cellStyle name="Followed Hyperlink 2" xfId="5387" xr:uid="{00000000-0005-0000-0000-000058140000}"/>
    <cellStyle name="Followed Hyperlink 3" xfId="5388" xr:uid="{00000000-0005-0000-0000-000059140000}"/>
    <cellStyle name="Footnote" xfId="5389" xr:uid="{00000000-0005-0000-0000-00005A140000}"/>
    <cellStyle name="G10" xfId="5390" xr:uid="{00000000-0005-0000-0000-00005B140000}"/>
    <cellStyle name="gbox" xfId="5391" xr:uid="{00000000-0005-0000-0000-00005C140000}"/>
    <cellStyle name="gbox 2" xfId="5392" xr:uid="{00000000-0005-0000-0000-00005D140000}"/>
    <cellStyle name="gbox 3" xfId="5393" xr:uid="{00000000-0005-0000-0000-00005E140000}"/>
    <cellStyle name="gchoose" xfId="5394" xr:uid="{00000000-0005-0000-0000-00005F140000}"/>
    <cellStyle name="gen" xfId="5395" xr:uid="{00000000-0005-0000-0000-000060140000}"/>
    <cellStyle name="GerBOM1" xfId="5396" xr:uid="{00000000-0005-0000-0000-000061140000}"/>
    <cellStyle name="Good" xfId="5397" xr:uid="{00000000-0005-0000-0000-000062140000}"/>
    <cellStyle name="GrandTotal" xfId="5398" xr:uid="{00000000-0005-0000-0000-000063140000}"/>
    <cellStyle name="Grey" xfId="5399" xr:uid="{00000000-0005-0000-0000-000064140000}"/>
    <cellStyle name="Grey 2" xfId="5400" xr:uid="{00000000-0005-0000-0000-000065140000}"/>
    <cellStyle name="grey2" xfId="5401" xr:uid="{00000000-0005-0000-0000-000066140000}"/>
    <cellStyle name="greyl" xfId="5402" xr:uid="{00000000-0005-0000-0000-000067140000}"/>
    <cellStyle name="GrowthRate" xfId="5403" xr:uid="{00000000-0005-0000-0000-000068140000}"/>
    <cellStyle name="Hard Percent" xfId="5404" xr:uid="{00000000-0005-0000-0000-000069140000}"/>
    <cellStyle name="Head1" xfId="5405" xr:uid="{00000000-0005-0000-0000-00006A140000}"/>
    <cellStyle name="Head2" xfId="5406" xr:uid="{00000000-0005-0000-0000-00006B140000}"/>
    <cellStyle name="Head3" xfId="5407" xr:uid="{00000000-0005-0000-0000-00006C140000}"/>
    <cellStyle name="Head4" xfId="5408" xr:uid="{00000000-0005-0000-0000-00006D140000}"/>
    <cellStyle name="Head5" xfId="5409" xr:uid="{00000000-0005-0000-0000-00006E140000}"/>
    <cellStyle name="Head6" xfId="5410" xr:uid="{00000000-0005-0000-0000-00006F140000}"/>
    <cellStyle name="Head7" xfId="5411" xr:uid="{00000000-0005-0000-0000-000070140000}"/>
    <cellStyle name="Head8" xfId="5412" xr:uid="{00000000-0005-0000-0000-000071140000}"/>
    <cellStyle name="Head9" xfId="5413" xr:uid="{00000000-0005-0000-0000-000072140000}"/>
    <cellStyle name="HEADER" xfId="5414" xr:uid="{00000000-0005-0000-0000-000073140000}"/>
    <cellStyle name="Header1" xfId="5415" xr:uid="{00000000-0005-0000-0000-000074140000}"/>
    <cellStyle name="Header2" xfId="5416" xr:uid="{00000000-0005-0000-0000-000075140000}"/>
    <cellStyle name="Header2 2" xfId="5417" xr:uid="{00000000-0005-0000-0000-000076140000}"/>
    <cellStyle name="Heading" xfId="5418" xr:uid="{00000000-0005-0000-0000-000077140000}"/>
    <cellStyle name="Heading 1" xfId="5419" xr:uid="{00000000-0005-0000-0000-000078140000}"/>
    <cellStyle name="Heading 1 2" xfId="5420" xr:uid="{00000000-0005-0000-0000-000079140000}"/>
    <cellStyle name="Heading 2" xfId="5421" xr:uid="{00000000-0005-0000-0000-00007A140000}"/>
    <cellStyle name="Heading 2 2" xfId="5422" xr:uid="{00000000-0005-0000-0000-00007B140000}"/>
    <cellStyle name="Heading 2 3" xfId="5423" xr:uid="{00000000-0005-0000-0000-00007C140000}"/>
    <cellStyle name="Heading 3" xfId="5424" xr:uid="{00000000-0005-0000-0000-00007D140000}"/>
    <cellStyle name="Heading 3 2" xfId="5425" xr:uid="{00000000-0005-0000-0000-00007E140000}"/>
    <cellStyle name="Heading 4" xfId="5426" xr:uid="{00000000-0005-0000-0000-00007F140000}"/>
    <cellStyle name="heading 5" xfId="5427" xr:uid="{00000000-0005-0000-0000-000080140000}"/>
    <cellStyle name="heading, 1,A MAJOR/BOLD" xfId="5428" xr:uid="{00000000-0005-0000-0000-000081140000}"/>
    <cellStyle name="Heading_PJ전자 재무제표_20071231" xfId="5429" xr:uid="{00000000-0005-0000-0000-000082140000}"/>
    <cellStyle name="Heading1" xfId="5430" xr:uid="{00000000-0005-0000-0000-000083140000}"/>
    <cellStyle name="HEADING1 2" xfId="5431" xr:uid="{00000000-0005-0000-0000-000084140000}"/>
    <cellStyle name="Heading1 3" xfId="5432" xr:uid="{00000000-0005-0000-0000-000085140000}"/>
    <cellStyle name="Heading2" xfId="5433" xr:uid="{00000000-0005-0000-0000-000086140000}"/>
    <cellStyle name="HEADING2 2" xfId="5434" xr:uid="{00000000-0005-0000-0000-000087140000}"/>
    <cellStyle name="Heading2 3" xfId="5435" xr:uid="{00000000-0005-0000-0000-000088140000}"/>
    <cellStyle name="Heading4" xfId="5436" xr:uid="{00000000-0005-0000-0000-000089140000}"/>
    <cellStyle name="HEADINGS" xfId="5437" xr:uid="{00000000-0005-0000-0000-00008A140000}"/>
    <cellStyle name="HEADINGSTOP" xfId="5438" xr:uid="{00000000-0005-0000-0000-00008B140000}"/>
    <cellStyle name="HeadShade" xfId="5439" xr:uid="{00000000-0005-0000-0000-00008C140000}"/>
    <cellStyle name="Hedaings" xfId="5440" xr:uid="{00000000-0005-0000-0000-00008D140000}"/>
    <cellStyle name="Horizontal" xfId="5441" xr:uid="{00000000-0005-0000-0000-00008E140000}"/>
    <cellStyle name="Hyperlink" xfId="5442" xr:uid="{00000000-0005-0000-0000-00008F140000}"/>
    <cellStyle name="Hyperlink 2" xfId="5443" xr:uid="{00000000-0005-0000-0000-000090140000}"/>
    <cellStyle name="I" xfId="5444" xr:uid="{00000000-0005-0000-0000-000091140000}"/>
    <cellStyle name="I_01_AM monthly_Lease_200208" xfId="5445" xr:uid="{00000000-0005-0000-0000-000092140000}"/>
    <cellStyle name="I_02_AM monthly_analysis_2000208" xfId="5446" xr:uid="{00000000-0005-0000-0000-000093140000}"/>
    <cellStyle name="I_03_yardi_한화_20028" xfId="5447" xr:uid="{00000000-0005-0000-0000-000094140000}"/>
    <cellStyle name="I_05_yardi_대한_200208" xfId="5448" xr:uid="{00000000-0005-0000-0000-000095140000}"/>
    <cellStyle name="I_cover_yardi_Yvette" xfId="5449" xr:uid="{00000000-0005-0000-0000-000096140000}"/>
    <cellStyle name="I_IS" xfId="5450" xr:uid="{00000000-0005-0000-0000-000097140000}"/>
    <cellStyle name="I_PM Monthly report_한화_송부" xfId="5451" xr:uid="{00000000-0005-0000-0000-000098140000}"/>
    <cellStyle name="I_Rev1_IS Report_by C&amp;W_for Sep" xfId="5452" xr:uid="{00000000-0005-0000-0000-000099140000}"/>
    <cellStyle name="I_Sheet11" xfId="5453" xr:uid="{00000000-0005-0000-0000-00009A140000}"/>
    <cellStyle name="I_Sheet12" xfId="5454" xr:uid="{00000000-0005-0000-0000-00009B140000}"/>
    <cellStyle name="I_한화_수익편차" xfId="5455" xr:uid="{00000000-0005-0000-0000-00009C140000}"/>
    <cellStyle name="Iau÷iu?INCOM1" xfId="5456" xr:uid="{00000000-0005-0000-0000-00009D140000}"/>
    <cellStyle name="Iau÷iu?INCOM10" xfId="5457" xr:uid="{00000000-0005-0000-0000-00009E140000}"/>
    <cellStyle name="Iau÷iu?INCOM2" xfId="5458" xr:uid="{00000000-0005-0000-0000-00009F140000}"/>
    <cellStyle name="Iau÷iu?INCOM3" xfId="5459" xr:uid="{00000000-0005-0000-0000-0000A0140000}"/>
    <cellStyle name="Iau÷iu?INCOM4" xfId="5460" xr:uid="{00000000-0005-0000-0000-0000A1140000}"/>
    <cellStyle name="Iau÷iu?INCOM5" xfId="5461" xr:uid="{00000000-0005-0000-0000-0000A2140000}"/>
    <cellStyle name="Iau÷iu?INCOM6" xfId="5462" xr:uid="{00000000-0005-0000-0000-0000A3140000}"/>
    <cellStyle name="Iau÷iu?INCOM7" xfId="5463" xr:uid="{00000000-0005-0000-0000-0000A4140000}"/>
    <cellStyle name="Iau÷iu?INCOM8" xfId="5464" xr:uid="{00000000-0005-0000-0000-0000A5140000}"/>
    <cellStyle name="Iau÷iu?INCOM9" xfId="5465" xr:uid="{00000000-0005-0000-0000-0000A6140000}"/>
    <cellStyle name="Iau÷iu?PRIB11" xfId="5466" xr:uid="{00000000-0005-0000-0000-0000A7140000}"/>
    <cellStyle name="Îáû÷íûé_INCOM1" xfId="5467" xr:uid="{00000000-0005-0000-0000-0000A8140000}"/>
    <cellStyle name="iles|_x0005_h" xfId="5468" xr:uid="{00000000-0005-0000-0000-0000A9140000}"/>
    <cellStyle name="Input" xfId="5469" xr:uid="{00000000-0005-0000-0000-0000AA140000}"/>
    <cellStyle name="Input [yellow]" xfId="5470" xr:uid="{00000000-0005-0000-0000-0000AB140000}"/>
    <cellStyle name="Input [yellow] 2" xfId="5471" xr:uid="{00000000-0005-0000-0000-0000AC140000}"/>
    <cellStyle name="Input [yellow] 3" xfId="5472" xr:uid="{00000000-0005-0000-0000-0000AD140000}"/>
    <cellStyle name="Input 2" xfId="5473" xr:uid="{00000000-0005-0000-0000-0000AE140000}"/>
    <cellStyle name="Input 3" xfId="5474" xr:uid="{00000000-0005-0000-0000-0000AF140000}"/>
    <cellStyle name="Input 4" xfId="5475" xr:uid="{00000000-0005-0000-0000-0000B0140000}"/>
    <cellStyle name="input 5" xfId="5476" xr:uid="{00000000-0005-0000-0000-0000B1140000}"/>
    <cellStyle name="Input Cells" xfId="5477" xr:uid="{00000000-0005-0000-0000-0000B2140000}"/>
    <cellStyle name="Input Currency" xfId="5478" xr:uid="{00000000-0005-0000-0000-0000B3140000}"/>
    <cellStyle name="Input Date" xfId="5479" xr:uid="{00000000-0005-0000-0000-0000B4140000}"/>
    <cellStyle name="Input Fixed [0]" xfId="5480" xr:uid="{00000000-0005-0000-0000-0000B5140000}"/>
    <cellStyle name="Input Normal" xfId="5481" xr:uid="{00000000-0005-0000-0000-0000B6140000}"/>
    <cellStyle name="Input Percent" xfId="5482" xr:uid="{00000000-0005-0000-0000-0000B7140000}"/>
    <cellStyle name="Input Percent [2]" xfId="5483" xr:uid="{00000000-0005-0000-0000-0000B8140000}"/>
    <cellStyle name="Input Percent_3700-200(Equity)_v13" xfId="5484" xr:uid="{00000000-0005-0000-0000-0000B9140000}"/>
    <cellStyle name="Input Titles" xfId="5485" xr:uid="{00000000-0005-0000-0000-0000BA140000}"/>
    <cellStyle name="Input_Debt Resturing" xfId="5486" xr:uid="{00000000-0005-0000-0000-0000BB140000}"/>
    <cellStyle name="ip" xfId="5487" xr:uid="{00000000-0005-0000-0000-0000BC140000}"/>
    <cellStyle name="ip 2" xfId="5488" xr:uid="{00000000-0005-0000-0000-0000BD140000}"/>
    <cellStyle name="ip 3" xfId="5489" xr:uid="{00000000-0005-0000-0000-0000BE140000}"/>
    <cellStyle name="k.h.s-style" xfId="5490" xr:uid="{00000000-0005-0000-0000-0000BF140000}"/>
    <cellStyle name="Komma [0]_BINV" xfId="5491" xr:uid="{00000000-0005-0000-0000-0000C0140000}"/>
    <cellStyle name="Komma_BINV" xfId="5492" xr:uid="{00000000-0005-0000-0000-0000C1140000}"/>
    <cellStyle name="KTY" xfId="5493" xr:uid="{00000000-0005-0000-0000-0000C2140000}"/>
    <cellStyle name="KWE標準" xfId="5494" xr:uid="{00000000-0005-0000-0000-0000C3140000}"/>
    <cellStyle name="L" xfId="5495" xr:uid="{00000000-0005-0000-0000-0000C4140000}"/>
    <cellStyle name="ŀ??ŀŀ??ŀŀ??ŀŀ??ŀŀ??ŀŀ??ŀ" xfId="5496" xr:uid="{00000000-0005-0000-0000-0000C5140000}"/>
    <cellStyle name="ŀ??ŀŀ??ŀŀ??ŀŀ??ŀŀ??ŀŀ??ŀŀ??ŀŀ??ŀŀ??ŀŀ??ŀŀ??ŀ" xfId="5497" xr:uid="{00000000-0005-0000-0000-0000C6140000}"/>
    <cellStyle name="ŀ??ŀŀ??ŀŀ??ŀŀ??ŀŀ??ŀŀ??ŀŀ??ŀŀ??ŀŀ??ŀŀ??ŀŀ??ŀ 2" xfId="5498" xr:uid="{00000000-0005-0000-0000-0000C7140000}"/>
    <cellStyle name="label" xfId="5499" xr:uid="{00000000-0005-0000-0000-0000C8140000}"/>
    <cellStyle name="left" xfId="5500" xr:uid="{00000000-0005-0000-0000-0000C9140000}"/>
    <cellStyle name="les" xfId="5501" xr:uid="{00000000-0005-0000-0000-0000CA140000}"/>
    <cellStyle name="Link Currency (0)" xfId="5502" xr:uid="{00000000-0005-0000-0000-0000CB140000}"/>
    <cellStyle name="Link Currency (0) 2" xfId="5503" xr:uid="{00000000-0005-0000-0000-0000CC140000}"/>
    <cellStyle name="Link Currency (2)" xfId="5504" xr:uid="{00000000-0005-0000-0000-0000CD140000}"/>
    <cellStyle name="Link Currency (2) 2" xfId="5505" xr:uid="{00000000-0005-0000-0000-0000CE140000}"/>
    <cellStyle name="Link Units (0)" xfId="5506" xr:uid="{00000000-0005-0000-0000-0000CF140000}"/>
    <cellStyle name="Link Units (0) 2" xfId="5507" xr:uid="{00000000-0005-0000-0000-0000D0140000}"/>
    <cellStyle name="Link Units (1)" xfId="5508" xr:uid="{00000000-0005-0000-0000-0000D1140000}"/>
    <cellStyle name="Link Units (1) 2" xfId="5509" xr:uid="{00000000-0005-0000-0000-0000D2140000}"/>
    <cellStyle name="Link Units (2)" xfId="5510" xr:uid="{00000000-0005-0000-0000-0000D3140000}"/>
    <cellStyle name="Link Units (2) 2" xfId="5511" xr:uid="{00000000-0005-0000-0000-0000D4140000}"/>
    <cellStyle name="Linked Cell" xfId="5512" xr:uid="{00000000-0005-0000-0000-0000D5140000}"/>
    <cellStyle name="Linked Cells" xfId="5513" xr:uid="{00000000-0005-0000-0000-0000D6140000}"/>
    <cellStyle name="ls" xfId="5514" xr:uid="{00000000-0005-0000-0000-0000D7140000}"/>
    <cellStyle name="ŀ䅀᠀ŀŀ䅀᠀ŀŀ䅀᠀ŀŀ䅀᠀ŀŀ䅀᠀ŀŀ䅀᠀ŀ" xfId="5515" xr:uid="{00000000-0005-0000-0000-0000D8140000}"/>
    <cellStyle name="ŀ䅀਀ŀŀ䅀᠀ŀŀ䅀਀ŀŀ䅀᠀ŀŀ䅀᠀ŀŀ䅀᠀ŀŀ䅀᠀ŀŀ䅀᠀ŀŀ䅀᠀ŀŀ䅀᠀ŀŀ䅀᠀ŀ" xfId="5516" xr:uid="{00000000-0005-0000-0000-0000D9140000}"/>
    <cellStyle name="ŀ䅀਀ŀŀ䅀᠀ŀŀ䅀਀ŀŀ䅀᠀ŀŀ䅀᠀ŀŀ䅀᠀ŀŀ䅀᠀ŀŀ䅀᠀ŀŀ䅀᠀ŀŀ䅀᠀ŀŀ䅀᠀ŀ 2" xfId="5517" xr:uid="{00000000-0005-0000-0000-0000DA140000}"/>
    <cellStyle name="M" xfId="5518" xr:uid="{00000000-0005-0000-0000-0000DB140000}"/>
    <cellStyle name="m/d/yyyy" xfId="5519" xr:uid="{00000000-0005-0000-0000-0000DC140000}"/>
    <cellStyle name="M_01_AM monthly_Lease_200208" xfId="5520" xr:uid="{00000000-0005-0000-0000-0000DD140000}"/>
    <cellStyle name="M_02_AM monthly_analysis_2000208" xfId="5521" xr:uid="{00000000-0005-0000-0000-0000DE140000}"/>
    <cellStyle name="M_03_yardi_한화_20028" xfId="5522" xr:uid="{00000000-0005-0000-0000-0000DF140000}"/>
    <cellStyle name="M_05_yardi_대한_200208" xfId="5523" xr:uid="{00000000-0005-0000-0000-0000E0140000}"/>
    <cellStyle name="M_cover_yardi_Yvette" xfId="5524" xr:uid="{00000000-0005-0000-0000-0000E1140000}"/>
    <cellStyle name="M_PM Monthly report_한화_송부" xfId="5525" xr:uid="{00000000-0005-0000-0000-0000E2140000}"/>
    <cellStyle name="M_Rev1_IS Report_by C&amp;W_for Sep" xfId="5526" xr:uid="{00000000-0005-0000-0000-0000E3140000}"/>
    <cellStyle name="M_Sheet11" xfId="5527" xr:uid="{00000000-0005-0000-0000-0000E4140000}"/>
    <cellStyle name="M_Sheet12" xfId="5528" xr:uid="{00000000-0005-0000-0000-0000E5140000}"/>
    <cellStyle name="M_Sheet5" xfId="5529" xr:uid="{00000000-0005-0000-0000-0000E6140000}"/>
    <cellStyle name="M_Sheet6" xfId="5530" xr:uid="{00000000-0005-0000-0000-0000E7140000}"/>
    <cellStyle name="M_한화_수익편차" xfId="5531" xr:uid="{00000000-0005-0000-0000-0000E8140000}"/>
    <cellStyle name="Magic" xfId="5532" xr:uid="{00000000-0005-0000-0000-0000E9140000}"/>
    <cellStyle name="Matrix" xfId="5533" xr:uid="{00000000-0005-0000-0000-0000EA140000}"/>
    <cellStyle name="Millares [0]_10 AVERIAS MASIVAS + ANT" xfId="5534" xr:uid="{00000000-0005-0000-0000-0000EB140000}"/>
    <cellStyle name="Millares_10 AVERIAS MASIVAS + ANT" xfId="5535" xr:uid="{00000000-0005-0000-0000-0000EC140000}"/>
    <cellStyle name="Milliers [0]_998" xfId="5536" xr:uid="{00000000-0005-0000-0000-0000ED140000}"/>
    <cellStyle name="Milliers_998" xfId="5537" xr:uid="{00000000-0005-0000-0000-0000EE140000}"/>
    <cellStyle name="Model" xfId="5538" xr:uid="{00000000-0005-0000-0000-0000EF140000}"/>
    <cellStyle name="Model 2" xfId="5539" xr:uid="{00000000-0005-0000-0000-0000F0140000}"/>
    <cellStyle name="ModelCool" xfId="5540" xr:uid="{00000000-0005-0000-0000-0000F1140000}"/>
    <cellStyle name="ModelCoolInput" xfId="5541" xr:uid="{00000000-0005-0000-0000-0000F2140000}"/>
    <cellStyle name="Moeda [0]_0300" xfId="5542" xr:uid="{00000000-0005-0000-0000-0000F3140000}"/>
    <cellStyle name="Moeda_0300" xfId="5543" xr:uid="{00000000-0005-0000-0000-0000F4140000}"/>
    <cellStyle name="Mon?aire [0]_Arabian Spec" xfId="5544" xr:uid="{00000000-0005-0000-0000-0000F5140000}"/>
    <cellStyle name="Mon?aire_Arabian Spec" xfId="5545" xr:uid="{00000000-0005-0000-0000-0000F6140000}"/>
    <cellStyle name="Mon?taire [0]_laroux" xfId="5546" xr:uid="{00000000-0005-0000-0000-0000F7140000}"/>
    <cellStyle name="Mon?taire_laroux" xfId="5547" xr:uid="{00000000-0005-0000-0000-0000F8140000}"/>
    <cellStyle name="Moneda [0]_10 AVERIAS MASIVAS + ANT" xfId="5548" xr:uid="{00000000-0005-0000-0000-0000F9140000}"/>
    <cellStyle name="Moneda_10 AVERIAS MASIVAS + ANT" xfId="5549" xr:uid="{00000000-0005-0000-0000-0000FA140000}"/>
    <cellStyle name="Monétaire [0]_998" xfId="5550" xr:uid="{00000000-0005-0000-0000-0000FB140000}"/>
    <cellStyle name="Monétaire_998" xfId="5551" xr:uid="{00000000-0005-0000-0000-0000FC140000}"/>
    <cellStyle name="Monetario" xfId="5552" xr:uid="{00000000-0005-0000-0000-0000FD140000}"/>
    <cellStyle name="MS Proofing Tools" xfId="5553" xr:uid="{00000000-0005-0000-0000-0000FE140000}"/>
    <cellStyle name="MS Proofing Tools 2" xfId="5554" xr:uid="{00000000-0005-0000-0000-0000FF140000}"/>
    <cellStyle name="Multiple" xfId="5555" xr:uid="{00000000-0005-0000-0000-000000150000}"/>
    <cellStyle name="My-수량" xfId="5556" xr:uid="{00000000-0005-0000-0000-000001150000}"/>
    <cellStyle name="n" xfId="5557" xr:uid="{00000000-0005-0000-0000-000002150000}"/>
    <cellStyle name="NA is zero" xfId="5558" xr:uid="{00000000-0005-0000-0000-000003150000}"/>
    <cellStyle name="nb" xfId="5559" xr:uid="{00000000-0005-0000-0000-000004150000}"/>
    <cellStyle name="Neutral" xfId="5560" xr:uid="{00000000-0005-0000-0000-000005150000}"/>
    <cellStyle name="New Times Roman" xfId="5561" xr:uid="{00000000-0005-0000-0000-000006150000}"/>
    <cellStyle name="nf" xfId="5562" xr:uid="{00000000-0005-0000-0000-000007150000}"/>
    <cellStyle name="no dec" xfId="5563" xr:uid="{00000000-0005-0000-0000-000008150000}"/>
    <cellStyle name="nohs" xfId="5564" xr:uid="{00000000-0005-0000-0000-000009150000}"/>
    <cellStyle name="Non défini" xfId="5565" xr:uid="{00000000-0005-0000-0000-00000A150000}"/>
    <cellStyle name="Non_definito" xfId="5566" xr:uid="{00000000-0005-0000-0000-00000B150000}"/>
    <cellStyle name="Norma`" xfId="5567" xr:uid="{00000000-0005-0000-0000-00000C150000}"/>
    <cellStyle name="normal" xfId="5568" xr:uid="{00000000-0005-0000-0000-00000D150000}"/>
    <cellStyle name="Normal--" xfId="5569" xr:uid="{00000000-0005-0000-0000-00000E150000}"/>
    <cellStyle name="Normal - Style1" xfId="5570" xr:uid="{00000000-0005-0000-0000-00000F150000}"/>
    <cellStyle name="Normal - Style1 2" xfId="5571" xr:uid="{00000000-0005-0000-0000-000010150000}"/>
    <cellStyle name="Normal - Style1 3" xfId="5572" xr:uid="{00000000-0005-0000-0000-000011150000}"/>
    <cellStyle name="Normal - Style2" xfId="5573" xr:uid="{00000000-0005-0000-0000-000012150000}"/>
    <cellStyle name="Normal - Style3" xfId="5574" xr:uid="{00000000-0005-0000-0000-000013150000}"/>
    <cellStyle name="Normal - Style4" xfId="5575" xr:uid="{00000000-0005-0000-0000-000014150000}"/>
    <cellStyle name="Normal - Style5" xfId="5576" xr:uid="{00000000-0005-0000-0000-000015150000}"/>
    <cellStyle name="Normal - Style6" xfId="5577" xr:uid="{00000000-0005-0000-0000-000016150000}"/>
    <cellStyle name="Normal - Style7" xfId="5578" xr:uid="{00000000-0005-0000-0000-000017150000}"/>
    <cellStyle name="Normal - Style8" xfId="5579" xr:uid="{00000000-0005-0000-0000-000018150000}"/>
    <cellStyle name="Normal [0]" xfId="5580" xr:uid="{00000000-0005-0000-0000-000019150000}"/>
    <cellStyle name="Normal [1]" xfId="5581" xr:uid="{00000000-0005-0000-0000-00001A150000}"/>
    <cellStyle name="Normal [2]" xfId="5582" xr:uid="{00000000-0005-0000-0000-00001B150000}"/>
    <cellStyle name="Normal [3]" xfId="5583" xr:uid="{00000000-0005-0000-0000-00001C150000}"/>
    <cellStyle name="Normal 2" xfId="178" xr:uid="{00000000-0005-0000-0000-00001D150000}"/>
    <cellStyle name="Normal 3" xfId="5584" xr:uid="{00000000-0005-0000-0000-00001E150000}"/>
    <cellStyle name="Normal 3 2" xfId="5585" xr:uid="{00000000-0005-0000-0000-00001F150000}"/>
    <cellStyle name="Normal Bold" xfId="5586" xr:uid="{00000000-0005-0000-0000-000020150000}"/>
    <cellStyle name="Normal Pct" xfId="5587" xr:uid="{00000000-0005-0000-0000-000021150000}"/>
    <cellStyle name="Normal_  address" xfId="5588" xr:uid="{00000000-0005-0000-0000-000022150000}"/>
    <cellStyle name="Normal--_3700-200(Equity)_v13" xfId="5589" xr:uid="{00000000-0005-0000-0000-000023150000}"/>
    <cellStyle name="Normal_Capex" xfId="5590" xr:uid="{00000000-0005-0000-0000-000024150000}"/>
    <cellStyle name="Normal1" xfId="5591" xr:uid="{00000000-0005-0000-0000-000025150000}"/>
    <cellStyle name="Normal1 2" xfId="5592" xr:uid="{00000000-0005-0000-0000-000026150000}"/>
    <cellStyle name="Normal1 3" xfId="5593" xr:uid="{00000000-0005-0000-0000-000027150000}"/>
    <cellStyle name="Normal2" xfId="5594" xr:uid="{00000000-0005-0000-0000-000028150000}"/>
    <cellStyle name="Normal2 2" xfId="5595" xr:uid="{00000000-0005-0000-0000-000029150000}"/>
    <cellStyle name="Normal2 3" xfId="5596" xr:uid="{00000000-0005-0000-0000-00002A150000}"/>
    <cellStyle name="Normal3" xfId="5597" xr:uid="{00000000-0005-0000-0000-00002B150000}"/>
    <cellStyle name="Normal3 2" xfId="5598" xr:uid="{00000000-0005-0000-0000-00002C150000}"/>
    <cellStyle name="Normal4" xfId="5599" xr:uid="{00000000-0005-0000-0000-00002D150000}"/>
    <cellStyle name="Normal4 2" xfId="5600" xr:uid="{00000000-0005-0000-0000-00002E150000}"/>
    <cellStyle name="NormalMultiple" xfId="5601" xr:uid="{00000000-0005-0000-0000-00002F150000}"/>
    <cellStyle name="NormalWhiteOut" xfId="5602" xr:uid="{00000000-0005-0000-0000-000030150000}"/>
    <cellStyle name="NormalX" xfId="5603" xr:uid="{00000000-0005-0000-0000-000031150000}"/>
    <cellStyle name="NormalxShadow" xfId="5604" xr:uid="{00000000-0005-0000-0000-000032150000}"/>
    <cellStyle name="Note" xfId="5605" xr:uid="{00000000-0005-0000-0000-000033150000}"/>
    <cellStyle name="Note 2" xfId="5606" xr:uid="{00000000-0005-0000-0000-000034150000}"/>
    <cellStyle name="Note 3" xfId="5607" xr:uid="{00000000-0005-0000-0000-000035150000}"/>
    <cellStyle name="noteb" xfId="5608" xr:uid="{00000000-0005-0000-0000-000036150000}"/>
    <cellStyle name="NPPESalesPct" xfId="5609" xr:uid="{00000000-0005-0000-0000-000037150000}"/>
    <cellStyle name="NWI%S" xfId="5610" xr:uid="{00000000-0005-0000-0000-000038150000}"/>
    <cellStyle name="õ" xfId="5611" xr:uid="{00000000-0005-0000-0000-000039150000}"/>
    <cellStyle name="OddBodyShade" xfId="5612" xr:uid="{00000000-0005-0000-0000-00003A150000}"/>
    <cellStyle name="Œ…?æ맖?e [0.00]_laroux" xfId="5613" xr:uid="{00000000-0005-0000-0000-00003B150000}"/>
    <cellStyle name="Œ…?æ맖?e_laroux" xfId="5614" xr:uid="{00000000-0005-0000-0000-00003C150000}"/>
    <cellStyle name="Œ…‹æØ‚è [0.00]_laroux" xfId="5615" xr:uid="{00000000-0005-0000-0000-00003D150000}"/>
    <cellStyle name="Œ…‹æØ‚è_laroux" xfId="5616" xr:uid="{00000000-0005-0000-0000-00003E150000}"/>
    <cellStyle name="oft Excel]_x000d__x000a_Comment=The open=/f lines load custom functions into the Paste Function list._x000d__x000a_Maximized=3_x000d__x000a_AutoFormat=" xfId="5617" xr:uid="{00000000-0005-0000-0000-00003F150000}"/>
    <cellStyle name="oft Excel]_x000d__x000a_Options3=0_x000d__x000a_Options5=1667_x000d__x000a_GetMetricBeforeRotation=1_x000d__x000a_Maximized=3_x000d__x000a_StickyPtX=396_x000d__x000a_StickyPtY=403_x000d__x000a_Defaul" xfId="5618" xr:uid="{00000000-0005-0000-0000-000040150000}"/>
    <cellStyle name="oft Excel]_x000d__x000a_Options5=1411_x000d__x000a_CBTLOCATION=C:\EXCEL\EXCELCBT_x000d__x000a_StickyPtX=607_x000d__x000a_StickyPtY=422_x000d__x000a_Default Chart=_x000d__x000a_Options3=0_x000d_" xfId="5619" xr:uid="{00000000-0005-0000-0000-000041150000}"/>
    <cellStyle name="omma [0]_Mktg Prog" xfId="5620" xr:uid="{00000000-0005-0000-0000-000042150000}"/>
    <cellStyle name="Option" xfId="5621" xr:uid="{00000000-0005-0000-0000-000043150000}"/>
    <cellStyle name="OptionHeading" xfId="5622" xr:uid="{00000000-0005-0000-0000-000044150000}"/>
    <cellStyle name="ًormal_Israel&amp;Safr" xfId="5623" xr:uid="{00000000-0005-0000-0000-000045150000}"/>
    <cellStyle name="ormal_Sheet1_1" xfId="5624" xr:uid="{00000000-0005-0000-0000-000046150000}"/>
    <cellStyle name="Output" xfId="5625" xr:uid="{00000000-0005-0000-0000-000047150000}"/>
    <cellStyle name="Output Amounts" xfId="5626" xr:uid="{00000000-0005-0000-0000-000048150000}"/>
    <cellStyle name="Output Amounts 2" xfId="5627" xr:uid="{00000000-0005-0000-0000-000049150000}"/>
    <cellStyle name="Output Amounts 3" xfId="5628" xr:uid="{00000000-0005-0000-0000-00004A150000}"/>
    <cellStyle name="Output Column Headings" xfId="5629" xr:uid="{00000000-0005-0000-0000-00004B150000}"/>
    <cellStyle name="Output Line Items" xfId="5630" xr:uid="{00000000-0005-0000-0000-00004C150000}"/>
    <cellStyle name="Output Line Items 2" xfId="5631" xr:uid="{00000000-0005-0000-0000-00004D150000}"/>
    <cellStyle name="Output Report Heading" xfId="5632" xr:uid="{00000000-0005-0000-0000-00004E150000}"/>
    <cellStyle name="Output Report Title" xfId="5633" xr:uid="{00000000-0005-0000-0000-00004F150000}"/>
    <cellStyle name="Overscore" xfId="5634" xr:uid="{00000000-0005-0000-0000-000050150000}"/>
    <cellStyle name="Overunder" xfId="5635" xr:uid="{00000000-0005-0000-0000-000051150000}"/>
    <cellStyle name="P" xfId="5636" xr:uid="{00000000-0005-0000-0000-000052150000}"/>
    <cellStyle name="page" xfId="5637" xr:uid="{00000000-0005-0000-0000-000053150000}"/>
    <cellStyle name="Page Number" xfId="5638" xr:uid="{00000000-0005-0000-0000-000054150000}"/>
    <cellStyle name="Parent" xfId="5639" xr:uid="{00000000-0005-0000-0000-000055150000}"/>
    <cellStyle name="pb_table_format_bottomonly" xfId="5640" xr:uid="{00000000-0005-0000-0000-000056150000}"/>
    <cellStyle name="PEMult" xfId="5641" xr:uid="{00000000-0005-0000-0000-000057150000}"/>
    <cellStyle name="per" xfId="5642" xr:uid="{00000000-0005-0000-0000-000058150000}"/>
    <cellStyle name="per.style" xfId="5643" xr:uid="{00000000-0005-0000-0000-000059150000}"/>
    <cellStyle name="Percent" xfId="5644" xr:uid="{00000000-0005-0000-0000-00005A150000}"/>
    <cellStyle name="Percent (0)" xfId="5645" xr:uid="{00000000-0005-0000-0000-00005B150000}"/>
    <cellStyle name="Percent [0]" xfId="5646" xr:uid="{00000000-0005-0000-0000-00005C150000}"/>
    <cellStyle name="Percent [0] 2" xfId="5647" xr:uid="{00000000-0005-0000-0000-00005D150000}"/>
    <cellStyle name="Percent [00]" xfId="5648" xr:uid="{00000000-0005-0000-0000-00005E150000}"/>
    <cellStyle name="Percent [00] 2" xfId="5649" xr:uid="{00000000-0005-0000-0000-00005F150000}"/>
    <cellStyle name="Percent [1]" xfId="5650" xr:uid="{00000000-0005-0000-0000-000060150000}"/>
    <cellStyle name="Percent [1] --" xfId="5651" xr:uid="{00000000-0005-0000-0000-000061150000}"/>
    <cellStyle name="Percent [1]_3700-200(Equity)_v13" xfId="5652" xr:uid="{00000000-0005-0000-0000-000062150000}"/>
    <cellStyle name="Percent [2]" xfId="5653" xr:uid="{00000000-0005-0000-0000-000063150000}"/>
    <cellStyle name="Percent [3]" xfId="5654" xr:uid="{00000000-0005-0000-0000-000064150000}"/>
    <cellStyle name="Percent 2" xfId="5655" xr:uid="{00000000-0005-0000-0000-000065150000}"/>
    <cellStyle name="Percent 3" xfId="5656" xr:uid="{00000000-0005-0000-0000-000066150000}"/>
    <cellStyle name="Percent 4" xfId="5657" xr:uid="{00000000-0005-0000-0000-000067150000}"/>
    <cellStyle name="Percent 5" xfId="5658" xr:uid="{00000000-0005-0000-0000-000068150000}"/>
    <cellStyle name="Percent Input" xfId="5659" xr:uid="{00000000-0005-0000-0000-000069150000}"/>
    <cellStyle name="Percent[3]--" xfId="5660" xr:uid="{00000000-0005-0000-0000-00006A150000}"/>
    <cellStyle name="Percent_  듀어_02의 워크시트" xfId="5661" xr:uid="{00000000-0005-0000-0000-00006B150000}"/>
    <cellStyle name="PercentSales" xfId="5662" xr:uid="{00000000-0005-0000-0000-00006C150000}"/>
    <cellStyle name="performance report" xfId="5663" xr:uid="{00000000-0005-0000-0000-00006D150000}"/>
    <cellStyle name="pink" xfId="5664" xr:uid="{00000000-0005-0000-0000-00006E150000}"/>
    <cellStyle name="Placeholder" xfId="5665" xr:uid="{00000000-0005-0000-0000-00006F150000}"/>
    <cellStyle name="pObj" xfId="5666" xr:uid="{00000000-0005-0000-0000-000070150000}"/>
    <cellStyle name="Porcentagem_Person" xfId="5667" xr:uid="{00000000-0005-0000-0000-000071150000}"/>
    <cellStyle name="Porcentaje" xfId="5668" xr:uid="{00000000-0005-0000-0000-000072150000}"/>
    <cellStyle name="Pourcentage_pldt" xfId="5669" xr:uid="{00000000-0005-0000-0000-000073150000}"/>
    <cellStyle name="PrePop Currency (0)" xfId="5670" xr:uid="{00000000-0005-0000-0000-000074150000}"/>
    <cellStyle name="PrePop Currency (0) 2" xfId="5671" xr:uid="{00000000-0005-0000-0000-000075150000}"/>
    <cellStyle name="PrePop Currency (2)" xfId="5672" xr:uid="{00000000-0005-0000-0000-000076150000}"/>
    <cellStyle name="PrePop Currency (2) 2" xfId="5673" xr:uid="{00000000-0005-0000-0000-000077150000}"/>
    <cellStyle name="PrePop Units (0)" xfId="5674" xr:uid="{00000000-0005-0000-0000-000078150000}"/>
    <cellStyle name="PrePop Units (0) 2" xfId="5675" xr:uid="{00000000-0005-0000-0000-000079150000}"/>
    <cellStyle name="PrePop Units (1)" xfId="5676" xr:uid="{00000000-0005-0000-0000-00007A150000}"/>
    <cellStyle name="PrePop Units (1) 2" xfId="5677" xr:uid="{00000000-0005-0000-0000-00007B150000}"/>
    <cellStyle name="PrePop Units (2)" xfId="5678" xr:uid="{00000000-0005-0000-0000-00007C150000}"/>
    <cellStyle name="PrePop Units (2) 2" xfId="5679" xr:uid="{00000000-0005-0000-0000-00007D150000}"/>
    <cellStyle name="Price" xfId="5680" xr:uid="{00000000-0005-0000-0000-00007E150000}"/>
    <cellStyle name="pricing" xfId="5681" xr:uid="{00000000-0005-0000-0000-00007F150000}"/>
    <cellStyle name="Procent_BINV" xfId="5682" xr:uid="{00000000-0005-0000-0000-000080150000}"/>
    <cellStyle name="Proj" xfId="5683" xr:uid="{00000000-0005-0000-0000-000081150000}"/>
    <cellStyle name="PSChar" xfId="5684" xr:uid="{00000000-0005-0000-0000-000082150000}"/>
    <cellStyle name="PSDate" xfId="5685" xr:uid="{00000000-0005-0000-0000-000083150000}"/>
    <cellStyle name="PSDec" xfId="5686" xr:uid="{00000000-0005-0000-0000-000084150000}"/>
    <cellStyle name="PSHeading" xfId="5687" xr:uid="{00000000-0005-0000-0000-000085150000}"/>
    <cellStyle name="PSInt" xfId="5688" xr:uid="{00000000-0005-0000-0000-000086150000}"/>
    <cellStyle name="PSSpacer" xfId="5689" xr:uid="{00000000-0005-0000-0000-000087150000}"/>
    <cellStyle name="purple" xfId="5690" xr:uid="{00000000-0005-0000-0000-000088150000}"/>
    <cellStyle name="PwC" xfId="5691" xr:uid="{00000000-0005-0000-0000-000089150000}"/>
    <cellStyle name="pwstyle" xfId="5692" xr:uid="{00000000-0005-0000-0000-00008A150000}"/>
    <cellStyle name="qbh_x0003__x000c_bh_x0017_&quot;blTT０_x0008__x0003__x0008_?)(일)" xfId="5693" xr:uid="{00000000-0005-0000-0000-00008B150000}"/>
    <cellStyle name="qbh_x0003__x000c_bh_x0017_&quot;blTT０_x0008__x0003__x0008_磚)(일)" xfId="5694" xr:uid="{00000000-0005-0000-0000-00008C150000}"/>
    <cellStyle name="R?" xfId="5695" xr:uid="{00000000-0005-0000-0000-00008D150000}"/>
    <cellStyle name="Ra" xfId="5696" xr:uid="{00000000-0005-0000-0000-00008E150000}"/>
    <cellStyle name="red" xfId="5697" xr:uid="{00000000-0005-0000-0000-00008F150000}"/>
    <cellStyle name="Red Font" xfId="5698" xr:uid="{00000000-0005-0000-0000-000090150000}"/>
    <cellStyle name="Reg1" xfId="5699" xr:uid="{00000000-0005-0000-0000-000091150000}"/>
    <cellStyle name="Reg2" xfId="5700" xr:uid="{00000000-0005-0000-0000-000092150000}"/>
    <cellStyle name="Reg3" xfId="5701" xr:uid="{00000000-0005-0000-0000-000093150000}"/>
    <cellStyle name="Reg4" xfId="5702" xr:uid="{00000000-0005-0000-0000-000094150000}"/>
    <cellStyle name="Reg5" xfId="5703" xr:uid="{00000000-0005-0000-0000-000095150000}"/>
    <cellStyle name="Reg6" xfId="5704" xr:uid="{00000000-0005-0000-0000-000096150000}"/>
    <cellStyle name="Reg7" xfId="5705" xr:uid="{00000000-0005-0000-0000-000097150000}"/>
    <cellStyle name="Reg8" xfId="5706" xr:uid="{00000000-0005-0000-0000-000098150000}"/>
    <cellStyle name="Reg9" xfId="5707" xr:uid="{00000000-0005-0000-0000-000099150000}"/>
    <cellStyle name="regstoresfromspecstores" xfId="5708" xr:uid="{00000000-0005-0000-0000-00009A150000}"/>
    <cellStyle name="revised" xfId="5709" xr:uid="{00000000-0005-0000-0000-00009B150000}"/>
    <cellStyle name="RevList" xfId="5710" xr:uid="{00000000-0005-0000-0000-00009C150000}"/>
    <cellStyle name="RM" xfId="5711" xr:uid="{00000000-0005-0000-0000-00009D150000}"/>
    <cellStyle name="ROJECT" xfId="5712" xr:uid="{00000000-0005-0000-0000-00009E150000}"/>
    <cellStyle name="rrency [0]_laroux_MATERAL2" xfId="5713" xr:uid="{00000000-0005-0000-0000-00009F150000}"/>
    <cellStyle name="s]_x000d__x000a_load=_x000d__x000a_run=_x000d__x000a_NullPort=None_x000d__x000a_DefaultQueueSize=32_x000d__x000a_PrinterSetup=1_x000d__x000a_arirang30=C:\AWP30_x000d__x000a_device=큐레이저 SF III,QPQLBP," xfId="5714" xr:uid="{00000000-0005-0000-0000-0000A0150000}"/>
    <cellStyle name="s]_x000d__x000a_load=_x000d__x000a_run=C:\HNC\NSHOOKM.EXE_x000d__x000a_NullPort=None_x000d__x000a_Arirang30=C:\AWP30_x000d__x000a_DefaultQueueSize=32_x000d__x000a_PrinterSetup=1_x000d__x000a_device=큐레 " xfId="5715" xr:uid="{00000000-0005-0000-0000-0000A1150000}"/>
    <cellStyle name="s]_x000d__x000a_load=_x000d__x000a_run=C:\V3\SCHEDULE.EXE C:\V3\SYSMON32.EXE_x000d__x000a_Beep=yes_x000d__x000a_NullPort=None_x000d__x000a_BorderWidth=3_x000d__x000a_CursorBlinkRate=530_x000d__x000a_Doub" xfId="5716" xr:uid="{00000000-0005-0000-0000-0000A2150000}"/>
    <cellStyle name="SAPError" xfId="5717" xr:uid="{00000000-0005-0000-0000-0000A3150000}"/>
    <cellStyle name="SAPKey" xfId="5718" xr:uid="{00000000-0005-0000-0000-0000A4150000}"/>
    <cellStyle name="SAPLocked" xfId="5719" xr:uid="{00000000-0005-0000-0000-0000A5150000}"/>
    <cellStyle name="SAPOutput" xfId="5720" xr:uid="{00000000-0005-0000-0000-0000A6150000}"/>
    <cellStyle name="SAPSpace" xfId="5721" xr:uid="{00000000-0005-0000-0000-0000A7150000}"/>
    <cellStyle name="SAPText" xfId="5722" xr:uid="{00000000-0005-0000-0000-0000A8150000}"/>
    <cellStyle name="SAPUnLocked" xfId="5723" xr:uid="{00000000-0005-0000-0000-0000A9150000}"/>
    <cellStyle name="sche|_x0005_" xfId="5724" xr:uid="{00000000-0005-0000-0000-0000AA150000}"/>
    <cellStyle name="section" xfId="5725" xr:uid="{00000000-0005-0000-0000-0000AB150000}"/>
    <cellStyle name="sel" xfId="5726" xr:uid="{00000000-0005-0000-0000-0000AC150000}"/>
    <cellStyle name="Separador de milhares [0]_Analyse Frais fixes des ventescomexjuillet002" xfId="5727" xr:uid="{00000000-0005-0000-0000-0000AD150000}"/>
    <cellStyle name="Separador de milhares_Analyse Frais fixes des ventescomexjuillet002" xfId="5728" xr:uid="{00000000-0005-0000-0000-0000AE150000}"/>
    <cellStyle name="SHADEDSTORES" xfId="5729" xr:uid="{00000000-0005-0000-0000-0000AF150000}"/>
    <cellStyle name="Single Accounting" xfId="5730" xr:uid="{00000000-0005-0000-0000-0000B0150000}"/>
    <cellStyle name="Single Accounting 2" xfId="5731" xr:uid="{00000000-0005-0000-0000-0000B1150000}"/>
    <cellStyle name="SpecialHeader" xfId="5732" xr:uid="{00000000-0005-0000-0000-0000B2150000}"/>
    <cellStyle name="specstores" xfId="5733" xr:uid="{00000000-0005-0000-0000-0000B3150000}"/>
    <cellStyle name="st" xfId="5734" xr:uid="{00000000-0005-0000-0000-0000B4150000}"/>
    <cellStyle name="Standaard_BINV" xfId="5735" xr:uid="{00000000-0005-0000-0000-0000B5150000}"/>
    <cellStyle name="Standard_Aktenbewertung 1994" xfId="5736" xr:uid="{00000000-0005-0000-0000-0000B6150000}"/>
    <cellStyle name="STYLE1 - Style1" xfId="5737" xr:uid="{00000000-0005-0000-0000-0000B7150000}"/>
    <cellStyle name="STYLE2 - Style2" xfId="5738" xr:uid="{00000000-0005-0000-0000-0000B8150000}"/>
    <cellStyle name="STYLE3 - Style3" xfId="5739" xr:uid="{00000000-0005-0000-0000-0000B9150000}"/>
    <cellStyle name="STYLE4 - Style4" xfId="5740" xr:uid="{00000000-0005-0000-0000-0000BA150000}"/>
    <cellStyle name="subhead" xfId="5741" xr:uid="{00000000-0005-0000-0000-0000BB150000}"/>
    <cellStyle name="SubHeader" xfId="5742" xr:uid="{00000000-0005-0000-0000-0000BC150000}"/>
    <cellStyle name="Subtotal" xfId="5743" xr:uid="{00000000-0005-0000-0000-0000BD150000}"/>
    <cellStyle name="t" xfId="5744" xr:uid="{00000000-0005-0000-0000-0000BE150000}"/>
    <cellStyle name="T_01_AM monthly_Lease_200208" xfId="5745" xr:uid="{00000000-0005-0000-0000-0000BF150000}"/>
    <cellStyle name="T_02_AM monthly_analysis_2000208" xfId="5746" xr:uid="{00000000-0005-0000-0000-0000C0150000}"/>
    <cellStyle name="T_03_yardi_한화_20028" xfId="5747" xr:uid="{00000000-0005-0000-0000-0000C1150000}"/>
    <cellStyle name="T_05_yardi_대한_200208" xfId="5748" xr:uid="{00000000-0005-0000-0000-0000C2150000}"/>
    <cellStyle name="T_cover_yardi_Yvette" xfId="5749" xr:uid="{00000000-0005-0000-0000-0000C3150000}"/>
    <cellStyle name="T_PM Monthly report_한화_송부" xfId="5750" xr:uid="{00000000-0005-0000-0000-0000C4150000}"/>
    <cellStyle name="T_Rev1_IS Report_by C&amp;W_for Sep" xfId="5751" xr:uid="{00000000-0005-0000-0000-0000C5150000}"/>
    <cellStyle name="T_Sheet11" xfId="5752" xr:uid="{00000000-0005-0000-0000-0000C6150000}"/>
    <cellStyle name="T_Sheet12" xfId="5753" xr:uid="{00000000-0005-0000-0000-0000C7150000}"/>
    <cellStyle name="T_Sheet5" xfId="5754" xr:uid="{00000000-0005-0000-0000-0000C8150000}"/>
    <cellStyle name="T_Sheet6" xfId="5755" xr:uid="{00000000-0005-0000-0000-0000C9150000}"/>
    <cellStyle name="T_지오텔정산표_06YE_0228" xfId="5756" xr:uid="{00000000-0005-0000-0000-0000CA150000}"/>
    <cellStyle name="T_한화_수익편차" xfId="5757" xr:uid="{00000000-0005-0000-0000-0000CB150000}"/>
    <cellStyle name="T０_x0008__x0003__x0008_?)(일)" xfId="5758" xr:uid="{00000000-0005-0000-0000-0000CC150000}"/>
    <cellStyle name="T０_x0008__x0003__x0008_磚)(일)" xfId="5759" xr:uid="{00000000-0005-0000-0000-0000CD150000}"/>
    <cellStyle name="Tabelle Text 10" xfId="5760" xr:uid="{00000000-0005-0000-0000-0000CE150000}"/>
    <cellStyle name="Tabelle Text 10 Z" xfId="5761" xr:uid="{00000000-0005-0000-0000-0000CF150000}"/>
    <cellStyle name="Tabelle Text 11" xfId="5762" xr:uid="{00000000-0005-0000-0000-0000D0150000}"/>
    <cellStyle name="Tabelle Text 11 Z" xfId="5763" xr:uid="{00000000-0005-0000-0000-0000D1150000}"/>
    <cellStyle name="Tabelle Text 12" xfId="5764" xr:uid="{00000000-0005-0000-0000-0000D2150000}"/>
    <cellStyle name="Tabelle Text 12 Z" xfId="5765" xr:uid="{00000000-0005-0000-0000-0000D3150000}"/>
    <cellStyle name="Tabelle Text 8" xfId="5766" xr:uid="{00000000-0005-0000-0000-0000D4150000}"/>
    <cellStyle name="Tabelle Text 8 Z" xfId="5767" xr:uid="{00000000-0005-0000-0000-0000D5150000}"/>
    <cellStyle name="Tabelle Text 9" xfId="5768" xr:uid="{00000000-0005-0000-0000-0000D6150000}"/>
    <cellStyle name="Tabelle Text 9 Z" xfId="5769" xr:uid="{00000000-0005-0000-0000-0000D7150000}"/>
    <cellStyle name="Tabelle Überschrift 10" xfId="5770" xr:uid="{00000000-0005-0000-0000-0000D8150000}"/>
    <cellStyle name="Tabelle Überschrift 11" xfId="5771" xr:uid="{00000000-0005-0000-0000-0000D9150000}"/>
    <cellStyle name="Tabelle Überschrift 12" xfId="5772" xr:uid="{00000000-0005-0000-0000-0000DA150000}"/>
    <cellStyle name="Tabelle Überschrift 8" xfId="5773" xr:uid="{00000000-0005-0000-0000-0000DB150000}"/>
    <cellStyle name="Tabelle Überschrift 9" xfId="5774" xr:uid="{00000000-0005-0000-0000-0000DC150000}"/>
    <cellStyle name="Tabelle Zahl 0 10" xfId="5775" xr:uid="{00000000-0005-0000-0000-0000DD150000}"/>
    <cellStyle name="Tabelle Zahl 0 11" xfId="5776" xr:uid="{00000000-0005-0000-0000-0000DE150000}"/>
    <cellStyle name="Tabelle Zahl 0 12" xfId="5777" xr:uid="{00000000-0005-0000-0000-0000DF150000}"/>
    <cellStyle name="Tabelle Zahl 0 8" xfId="5778" xr:uid="{00000000-0005-0000-0000-0000E0150000}"/>
    <cellStyle name="Tabelle Zahl 0 9" xfId="5779" xr:uid="{00000000-0005-0000-0000-0000E1150000}"/>
    <cellStyle name="Tabelle Zahl 1 10" xfId="5780" xr:uid="{00000000-0005-0000-0000-0000E2150000}"/>
    <cellStyle name="Tabelle Zahl 1 11" xfId="5781" xr:uid="{00000000-0005-0000-0000-0000E3150000}"/>
    <cellStyle name="Tabelle Zahl 1 12" xfId="5782" xr:uid="{00000000-0005-0000-0000-0000E4150000}"/>
    <cellStyle name="Tabelle Zahl 1 8" xfId="5783" xr:uid="{00000000-0005-0000-0000-0000E5150000}"/>
    <cellStyle name="Tabelle Zahl 1 9" xfId="5784" xr:uid="{00000000-0005-0000-0000-0000E6150000}"/>
    <cellStyle name="Tabelle Zahl 2 10" xfId="5785" xr:uid="{00000000-0005-0000-0000-0000E7150000}"/>
    <cellStyle name="Tabelle Zahl 2 11" xfId="5786" xr:uid="{00000000-0005-0000-0000-0000E8150000}"/>
    <cellStyle name="Tabelle Zahl 2 12" xfId="5787" xr:uid="{00000000-0005-0000-0000-0000E9150000}"/>
    <cellStyle name="Tabelle Zahl 2 8" xfId="5788" xr:uid="{00000000-0005-0000-0000-0000EA150000}"/>
    <cellStyle name="Tabelle Zahl 2 9" xfId="5789" xr:uid="{00000000-0005-0000-0000-0000EB150000}"/>
    <cellStyle name="Table Head" xfId="5790" xr:uid="{00000000-0005-0000-0000-0000EC150000}"/>
    <cellStyle name="Table Head Aligned" xfId="5791" xr:uid="{00000000-0005-0000-0000-0000ED150000}"/>
    <cellStyle name="Table Head Aligned 2" xfId="5792" xr:uid="{00000000-0005-0000-0000-0000EE150000}"/>
    <cellStyle name="Table Head Blue" xfId="5793" xr:uid="{00000000-0005-0000-0000-0000EF150000}"/>
    <cellStyle name="Table Head Green" xfId="5794" xr:uid="{00000000-0005-0000-0000-0000F0150000}"/>
    <cellStyle name="Table Title" xfId="5795" xr:uid="{00000000-0005-0000-0000-0000F1150000}"/>
    <cellStyle name="Table Units" xfId="5796" xr:uid="{00000000-0005-0000-0000-0000F2150000}"/>
    <cellStyle name="Table_Header" xfId="5797" xr:uid="{00000000-0005-0000-0000-0000F3150000}"/>
    <cellStyle name="Tag" xfId="5798" xr:uid="{00000000-0005-0000-0000-0000F4150000}"/>
    <cellStyle name="Text Indent A" xfId="5799" xr:uid="{00000000-0005-0000-0000-0000F5150000}"/>
    <cellStyle name="Text Indent B" xfId="5800" xr:uid="{00000000-0005-0000-0000-0000F6150000}"/>
    <cellStyle name="Text Indent B 2" xfId="5801" xr:uid="{00000000-0005-0000-0000-0000F7150000}"/>
    <cellStyle name="Text Indent C" xfId="5802" xr:uid="{00000000-0005-0000-0000-0000F8150000}"/>
    <cellStyle name="Text Indent C 2" xfId="5803" xr:uid="{00000000-0005-0000-0000-0000F9150000}"/>
    <cellStyle name="TFCF" xfId="5804" xr:uid="{00000000-0005-0000-0000-0000FA150000}"/>
    <cellStyle name="þ_x001d_ð'&amp;Oy?Hy9_x0008__x000f__x0007_æ_x0007__x0007__x0001__x0001_" xfId="5805" xr:uid="{00000000-0005-0000-0000-0000FB150000}"/>
    <cellStyle name="þ_x001d_ð'&amp;Oy?Hy9_x0008__x000f__x0007_æ_x0007__x0007__x0001__x0001_ 2" xfId="5806" xr:uid="{00000000-0005-0000-0000-0000FC150000}"/>
    <cellStyle name="þ_x001d_ð'&amp;Oy?Hy9_x0008_E_x000c_￠_x000d__x0007__x0001__x0001_" xfId="5807" xr:uid="{00000000-0005-0000-0000-0000FD150000}"/>
    <cellStyle name="Thousands" xfId="5808" xr:uid="{00000000-0005-0000-0000-0000FE150000}"/>
    <cellStyle name="Tickmark" xfId="5809" xr:uid="{00000000-0005-0000-0000-0000FF150000}"/>
    <cellStyle name="TIME" xfId="5810" xr:uid="{00000000-0005-0000-0000-000000160000}"/>
    <cellStyle name="Times" xfId="5811" xr:uid="{00000000-0005-0000-0000-000001160000}"/>
    <cellStyle name="Times 10" xfId="5812" xr:uid="{00000000-0005-0000-0000-000002160000}"/>
    <cellStyle name="Times 12" xfId="5813" xr:uid="{00000000-0005-0000-0000-000003160000}"/>
    <cellStyle name="Times New Roman" xfId="5814" xr:uid="{00000000-0005-0000-0000-000004160000}"/>
    <cellStyle name="title" xfId="5815" xr:uid="{00000000-0005-0000-0000-000005160000}"/>
    <cellStyle name="title [1]" xfId="5816" xr:uid="{00000000-0005-0000-0000-000006160000}"/>
    <cellStyle name="title [2]" xfId="5817" xr:uid="{00000000-0005-0000-0000-000007160000}"/>
    <cellStyle name="Title1" xfId="5818" xr:uid="{00000000-0005-0000-0000-000008160000}"/>
    <cellStyle name="TitleOther" xfId="5819" xr:uid="{00000000-0005-0000-0000-000009160000}"/>
    <cellStyle name="Total" xfId="5820" xr:uid="{00000000-0005-0000-0000-00000A160000}"/>
    <cellStyle name="Total 2" xfId="5821" xr:uid="{00000000-0005-0000-0000-00000B160000}"/>
    <cellStyle name="Total 3" xfId="5822" xr:uid="{00000000-0005-0000-0000-00000C160000}"/>
    <cellStyle name="Total1" xfId="5823" xr:uid="{00000000-0005-0000-0000-00000D160000}"/>
    <cellStyle name="Total2" xfId="5824" xr:uid="{00000000-0005-0000-0000-00000E160000}"/>
    <cellStyle name="Total3" xfId="5825" xr:uid="{00000000-0005-0000-0000-00000F160000}"/>
    <cellStyle name="Total4" xfId="5826" xr:uid="{00000000-0005-0000-0000-000010160000}"/>
    <cellStyle name="Total5" xfId="5827" xr:uid="{00000000-0005-0000-0000-000011160000}"/>
    <cellStyle name="Total6" xfId="5828" xr:uid="{00000000-0005-0000-0000-000012160000}"/>
    <cellStyle name="Total7" xfId="5829" xr:uid="{00000000-0005-0000-0000-000013160000}"/>
    <cellStyle name="Total8" xfId="5830" xr:uid="{00000000-0005-0000-0000-000014160000}"/>
    <cellStyle name="Total9" xfId="5831" xr:uid="{00000000-0005-0000-0000-000015160000}"/>
    <cellStyle name="TotShade" xfId="5832" xr:uid="{00000000-0005-0000-0000-000016160000}"/>
    <cellStyle name="tt" xfId="5833" xr:uid="{00000000-0005-0000-0000-000017160000}"/>
    <cellStyle name="Tusental (0)_pldt" xfId="5834" xr:uid="{00000000-0005-0000-0000-000018160000}"/>
    <cellStyle name="Tusental_pldt" xfId="5835" xr:uid="{00000000-0005-0000-0000-000019160000}"/>
    <cellStyle name="umentSummaryInformation" xfId="5836" xr:uid="{00000000-0005-0000-0000-00001A160000}"/>
    <cellStyle name="und" xfId="5837" xr:uid="{00000000-0005-0000-0000-00001B160000}"/>
    <cellStyle name="undb" xfId="5838" xr:uid="{00000000-0005-0000-0000-00001C160000}"/>
    <cellStyle name="Underline" xfId="5839" xr:uid="{00000000-0005-0000-0000-00001D160000}"/>
    <cellStyle name="Underscore" xfId="5840" xr:uid="{00000000-0005-0000-0000-00001E160000}"/>
    <cellStyle name="Unit k" xfId="5841" xr:uid="{00000000-0005-0000-0000-00001F160000}"/>
    <cellStyle name="Unprot$" xfId="5842" xr:uid="{00000000-0005-0000-0000-000020160000}"/>
    <cellStyle name="Unprotect" xfId="5843" xr:uid="{00000000-0005-0000-0000-000021160000}"/>
    <cellStyle name="Valu]]_x0015__x0015_ƶƶ_x0013_" xfId="5844" xr:uid="{00000000-0005-0000-0000-000022160000}"/>
    <cellStyle name="Valuta (0)_pldt" xfId="5845" xr:uid="{00000000-0005-0000-0000-000023160000}"/>
    <cellStyle name="Valuta [0]_BINV" xfId="5846" xr:uid="{00000000-0005-0000-0000-000024160000}"/>
    <cellStyle name="Valuta_BINV" xfId="5847" xr:uid="{00000000-0005-0000-0000-000025160000}"/>
    <cellStyle name="Vertical" xfId="5848" xr:uid="{00000000-0005-0000-0000-000026160000}"/>
    <cellStyle name="W?hrung [0]_Inhalt" xfId="5849" xr:uid="{00000000-0005-0000-0000-000027160000}"/>
    <cellStyle name="W?hrung_Inhalt" xfId="5850" xr:uid="{00000000-0005-0000-0000-000028160000}"/>
    <cellStyle name="W?rung [0]_Aktenbewertung 1994" xfId="5851" xr:uid="{00000000-0005-0000-0000-000029160000}"/>
    <cellStyle name="W?rung_Aktenbewertung 1994" xfId="5852" xr:uid="{00000000-0005-0000-0000-00002A160000}"/>
    <cellStyle name="Währung [0]_Inhalt" xfId="5853" xr:uid="{00000000-0005-0000-0000-00002B160000}"/>
    <cellStyle name="Währung_Inhalt" xfId="5854" xr:uid="{00000000-0005-0000-0000-00002C160000}"/>
    <cellStyle name="Warning Text" xfId="5855" xr:uid="{00000000-0005-0000-0000-00002D160000}"/>
    <cellStyle name="wrap" xfId="5856" xr:uid="{00000000-0005-0000-0000-00002E160000}"/>
    <cellStyle name="x" xfId="5857" xr:uid="{00000000-0005-0000-0000-00002F160000}"/>
    <cellStyle name="x_3700-200(Equity)_v13" xfId="5858" xr:uid="{00000000-0005-0000-0000-000030160000}"/>
    <cellStyle name="x_CF040630_반기_0804_3" xfId="5859" xr:uid="{00000000-0005-0000-0000-000031160000}"/>
    <cellStyle name="x_DT_20030930_K GAAP_v3.1" xfId="5860" xr:uid="{00000000-0005-0000-0000-000032160000}"/>
    <cellStyle name="x_IS&amp;CF_Report form" xfId="5861" xr:uid="{00000000-0005-0000-0000-000033160000}"/>
    <cellStyle name="x_계속기업가정에 대한 검토(04)" xfId="5862" xr:uid="{00000000-0005-0000-0000-000034160000}"/>
    <cellStyle name="x_관계사간거래_다음03_0221" xfId="5863" xr:uid="{00000000-0005-0000-0000-000035160000}"/>
    <cellStyle name="x_수정사항 및 중요사항 보고_동일파텍v4" xfId="5864" xr:uid="{00000000-0005-0000-0000-000036160000}"/>
    <cellStyle name="x_완전통합_v13" xfId="5865" xr:uid="{00000000-0005-0000-0000-000037160000}"/>
    <cellStyle name="x_완전통합_v19" xfId="5866" xr:uid="{00000000-0005-0000-0000-000038160000}"/>
    <cellStyle name="x_이연법인세_주석_통합" xfId="5867" xr:uid="{00000000-0005-0000-0000-000039160000}"/>
    <cellStyle name="x_이연법인세주석(연결포함2002)ver23" xfId="5868" xr:uid="{00000000-0005-0000-0000-00003A160000}"/>
    <cellStyle name="x_정산표_타포린_04_050322" xfId="5869" xr:uid="{00000000-0005-0000-0000-00003B160000}"/>
    <cellStyle name="XBRL-Linkbase" xfId="5870" xr:uid="{00000000-0005-0000-0000-00003C160000}"/>
    <cellStyle name="XLS'|_x0005_t" xfId="5871" xr:uid="{00000000-0005-0000-0000-00003D160000}"/>
    <cellStyle name="Years" xfId="5872" xr:uid="{00000000-0005-0000-0000-00003E160000}"/>
    <cellStyle name="yellow" xfId="5873" xr:uid="{00000000-0005-0000-0000-00003F160000}"/>
    <cellStyle name="Yen" xfId="5874" xr:uid="{00000000-0005-0000-0000-000040160000}"/>
    <cellStyle name="μU¿¡ ¿A´A CIAIÆU¸μAⓒ" xfId="5875" xr:uid="{00000000-0005-0000-0000-000041160000}"/>
    <cellStyle name="ハイパーリンク" xfId="5876" xr:uid="{00000000-0005-0000-0000-000042160000}"/>
    <cellStyle name="遽_12錯 " xfId="5877" xr:uid="{00000000-0005-0000-0000-000043160000}"/>
    <cellStyle name=" 坪 l_Sheet1_Q4 (2)" xfId="5878" xr:uid="{00000000-0005-0000-0000-000044160000}"/>
    <cellStyle name="" xfId="5879" xr:uid="{00000000-0005-0000-0000-000045160000}"/>
    <cellStyle name="값" xfId="5880" xr:uid="{00000000-0005-0000-0000-000046160000}"/>
    <cellStyle name="강조색1 10" xfId="5881" xr:uid="{00000000-0005-0000-0000-000047160000}"/>
    <cellStyle name="강조색1 11" xfId="5882" xr:uid="{00000000-0005-0000-0000-000048160000}"/>
    <cellStyle name="강조색1 12" xfId="5883" xr:uid="{00000000-0005-0000-0000-000049160000}"/>
    <cellStyle name="강조색1 13" xfId="5884" xr:uid="{00000000-0005-0000-0000-00004A160000}"/>
    <cellStyle name="강조색1 14" xfId="5885" xr:uid="{00000000-0005-0000-0000-00004B160000}"/>
    <cellStyle name="강조색1 14 2" xfId="5886" xr:uid="{00000000-0005-0000-0000-00004C160000}"/>
    <cellStyle name="강조색1 14 3" xfId="5887" xr:uid="{00000000-0005-0000-0000-00004D160000}"/>
    <cellStyle name="강조색1 15" xfId="5888" xr:uid="{00000000-0005-0000-0000-00004E160000}"/>
    <cellStyle name="강조색1 15 2" xfId="5889" xr:uid="{00000000-0005-0000-0000-00004F160000}"/>
    <cellStyle name="강조색1 15 3" xfId="5890" xr:uid="{00000000-0005-0000-0000-000050160000}"/>
    <cellStyle name="강조색1 16" xfId="5891" xr:uid="{00000000-0005-0000-0000-000051160000}"/>
    <cellStyle name="강조색1 16 2" xfId="5892" xr:uid="{00000000-0005-0000-0000-000052160000}"/>
    <cellStyle name="강조색1 16 3" xfId="5893" xr:uid="{00000000-0005-0000-0000-000053160000}"/>
    <cellStyle name="강조색1 17" xfId="5894" xr:uid="{00000000-0005-0000-0000-000054160000}"/>
    <cellStyle name="강조색1 17 2" xfId="5895" xr:uid="{00000000-0005-0000-0000-000055160000}"/>
    <cellStyle name="강조색1 17 3" xfId="5896" xr:uid="{00000000-0005-0000-0000-000056160000}"/>
    <cellStyle name="강조색1 18" xfId="5897" xr:uid="{00000000-0005-0000-0000-000057160000}"/>
    <cellStyle name="강조색1 18 2" xfId="5898" xr:uid="{00000000-0005-0000-0000-000058160000}"/>
    <cellStyle name="강조색1 18 3" xfId="5899" xr:uid="{00000000-0005-0000-0000-000059160000}"/>
    <cellStyle name="강조색1 19" xfId="5900" xr:uid="{00000000-0005-0000-0000-00005A160000}"/>
    <cellStyle name="강조색1 19 2" xfId="5901" xr:uid="{00000000-0005-0000-0000-00005B160000}"/>
    <cellStyle name="강조색1 19 3" xfId="5902" xr:uid="{00000000-0005-0000-0000-00005C160000}"/>
    <cellStyle name="강조색1 2" xfId="5903" xr:uid="{00000000-0005-0000-0000-00005D160000}"/>
    <cellStyle name="강조색1 2 10" xfId="5904" xr:uid="{00000000-0005-0000-0000-00005E160000}"/>
    <cellStyle name="강조색1 2 11" xfId="5905" xr:uid="{00000000-0005-0000-0000-00005F160000}"/>
    <cellStyle name="강조색1 2 12" xfId="5906" xr:uid="{00000000-0005-0000-0000-000060160000}"/>
    <cellStyle name="강조색1 2 13" xfId="5907" xr:uid="{00000000-0005-0000-0000-000061160000}"/>
    <cellStyle name="강조색1 2 14" xfId="5908" xr:uid="{00000000-0005-0000-0000-000062160000}"/>
    <cellStyle name="강조색1 2 15" xfId="5909" xr:uid="{00000000-0005-0000-0000-000063160000}"/>
    <cellStyle name="강조색1 2 16" xfId="5910" xr:uid="{00000000-0005-0000-0000-000064160000}"/>
    <cellStyle name="강조색1 2 17" xfId="5911" xr:uid="{00000000-0005-0000-0000-000065160000}"/>
    <cellStyle name="강조색1 2 18" xfId="5912" xr:uid="{00000000-0005-0000-0000-000066160000}"/>
    <cellStyle name="강조색1 2 19" xfId="5913" xr:uid="{00000000-0005-0000-0000-000067160000}"/>
    <cellStyle name="강조색1 2 2" xfId="5914" xr:uid="{00000000-0005-0000-0000-000068160000}"/>
    <cellStyle name="강조색1 2 20" xfId="5915" xr:uid="{00000000-0005-0000-0000-000069160000}"/>
    <cellStyle name="강조색1 2 21" xfId="5916" xr:uid="{00000000-0005-0000-0000-00006A160000}"/>
    <cellStyle name="강조색1 2 22" xfId="5917" xr:uid="{00000000-0005-0000-0000-00006B160000}"/>
    <cellStyle name="강조색1 2 23" xfId="5918" xr:uid="{00000000-0005-0000-0000-00006C160000}"/>
    <cellStyle name="강조색1 2 24" xfId="5919" xr:uid="{00000000-0005-0000-0000-00006D160000}"/>
    <cellStyle name="강조색1 2 25" xfId="5920" xr:uid="{00000000-0005-0000-0000-00006E160000}"/>
    <cellStyle name="강조색1 2 26" xfId="5921" xr:uid="{00000000-0005-0000-0000-00006F160000}"/>
    <cellStyle name="강조색1 2 27" xfId="5922" xr:uid="{00000000-0005-0000-0000-000070160000}"/>
    <cellStyle name="강조색1 2 28" xfId="5923" xr:uid="{00000000-0005-0000-0000-000071160000}"/>
    <cellStyle name="강조색1 2 29" xfId="5924" xr:uid="{00000000-0005-0000-0000-000072160000}"/>
    <cellStyle name="강조색1 2 3" xfId="5925" xr:uid="{00000000-0005-0000-0000-000073160000}"/>
    <cellStyle name="강조색1 2 30" xfId="5926" xr:uid="{00000000-0005-0000-0000-000074160000}"/>
    <cellStyle name="강조색1 2 31" xfId="5927" xr:uid="{00000000-0005-0000-0000-000075160000}"/>
    <cellStyle name="강조색1 2 32" xfId="5928" xr:uid="{00000000-0005-0000-0000-000076160000}"/>
    <cellStyle name="강조색1 2 33" xfId="5929" xr:uid="{00000000-0005-0000-0000-000077160000}"/>
    <cellStyle name="강조색1 2 34" xfId="5930" xr:uid="{00000000-0005-0000-0000-000078160000}"/>
    <cellStyle name="강조색1 2 35" xfId="5931" xr:uid="{00000000-0005-0000-0000-000079160000}"/>
    <cellStyle name="강조색1 2 36" xfId="5932" xr:uid="{00000000-0005-0000-0000-00007A160000}"/>
    <cellStyle name="강조색1 2 37" xfId="5933" xr:uid="{00000000-0005-0000-0000-00007B160000}"/>
    <cellStyle name="강조색1 2 38" xfId="5934" xr:uid="{00000000-0005-0000-0000-00007C160000}"/>
    <cellStyle name="강조색1 2 39" xfId="5935" xr:uid="{00000000-0005-0000-0000-00007D160000}"/>
    <cellStyle name="강조색1 2 4" xfId="5936" xr:uid="{00000000-0005-0000-0000-00007E160000}"/>
    <cellStyle name="강조색1 2 5" xfId="5937" xr:uid="{00000000-0005-0000-0000-00007F160000}"/>
    <cellStyle name="강조색1 2 6" xfId="5938" xr:uid="{00000000-0005-0000-0000-000080160000}"/>
    <cellStyle name="강조색1 2 7" xfId="5939" xr:uid="{00000000-0005-0000-0000-000081160000}"/>
    <cellStyle name="강조색1 2 8" xfId="5940" xr:uid="{00000000-0005-0000-0000-000082160000}"/>
    <cellStyle name="강조색1 2 9" xfId="5941" xr:uid="{00000000-0005-0000-0000-000083160000}"/>
    <cellStyle name="강조색1 20" xfId="5942" xr:uid="{00000000-0005-0000-0000-000084160000}"/>
    <cellStyle name="강조색1 21" xfId="5943" xr:uid="{00000000-0005-0000-0000-000085160000}"/>
    <cellStyle name="강조색1 22" xfId="5944" xr:uid="{00000000-0005-0000-0000-000086160000}"/>
    <cellStyle name="강조색1 23" xfId="5945" xr:uid="{00000000-0005-0000-0000-000087160000}"/>
    <cellStyle name="강조색1 24" xfId="5946" xr:uid="{00000000-0005-0000-0000-000088160000}"/>
    <cellStyle name="강조색1 25" xfId="5947" xr:uid="{00000000-0005-0000-0000-000089160000}"/>
    <cellStyle name="강조색1 26" xfId="5948" xr:uid="{00000000-0005-0000-0000-00008A160000}"/>
    <cellStyle name="강조색1 27" xfId="5949" xr:uid="{00000000-0005-0000-0000-00008B160000}"/>
    <cellStyle name="강조색1 27 2" xfId="5950" xr:uid="{00000000-0005-0000-0000-00008C160000}"/>
    <cellStyle name="강조색1 28" xfId="5951" xr:uid="{00000000-0005-0000-0000-00008D160000}"/>
    <cellStyle name="강조색1 29" xfId="5952" xr:uid="{00000000-0005-0000-0000-00008E160000}"/>
    <cellStyle name="강조색1 3" xfId="5953" xr:uid="{00000000-0005-0000-0000-00008F160000}"/>
    <cellStyle name="강조색1 3 2" xfId="5954" xr:uid="{00000000-0005-0000-0000-000090160000}"/>
    <cellStyle name="강조색1 3 3" xfId="5955" xr:uid="{00000000-0005-0000-0000-000091160000}"/>
    <cellStyle name="강조색1 3 4" xfId="5956" xr:uid="{00000000-0005-0000-0000-000092160000}"/>
    <cellStyle name="강조색1 30" xfId="5957" xr:uid="{00000000-0005-0000-0000-000093160000}"/>
    <cellStyle name="강조색1 31" xfId="5958" xr:uid="{00000000-0005-0000-0000-000094160000}"/>
    <cellStyle name="강조색1 32" xfId="5959" xr:uid="{00000000-0005-0000-0000-000095160000}"/>
    <cellStyle name="강조색1 33" xfId="5960" xr:uid="{00000000-0005-0000-0000-000096160000}"/>
    <cellStyle name="강조색1 34" xfId="5961" xr:uid="{00000000-0005-0000-0000-000097160000}"/>
    <cellStyle name="강조색1 35" xfId="5962" xr:uid="{00000000-0005-0000-0000-000098160000}"/>
    <cellStyle name="강조색1 36" xfId="5963" xr:uid="{00000000-0005-0000-0000-000099160000}"/>
    <cellStyle name="강조색1 37" xfId="5964" xr:uid="{00000000-0005-0000-0000-00009A160000}"/>
    <cellStyle name="강조색1 37 2" xfId="5965" xr:uid="{00000000-0005-0000-0000-00009B160000}"/>
    <cellStyle name="강조색1 38" xfId="5966" xr:uid="{00000000-0005-0000-0000-00009C160000}"/>
    <cellStyle name="강조색1 39" xfId="5967" xr:uid="{00000000-0005-0000-0000-00009D160000}"/>
    <cellStyle name="강조색1 4" xfId="5968" xr:uid="{00000000-0005-0000-0000-00009E160000}"/>
    <cellStyle name="강조색1 4 2" xfId="5969" xr:uid="{00000000-0005-0000-0000-00009F160000}"/>
    <cellStyle name="강조색1 4 3" xfId="5970" xr:uid="{00000000-0005-0000-0000-0000A0160000}"/>
    <cellStyle name="강조색1 4 4" xfId="5971" xr:uid="{00000000-0005-0000-0000-0000A1160000}"/>
    <cellStyle name="강조색1 40" xfId="5972" xr:uid="{00000000-0005-0000-0000-0000A2160000}"/>
    <cellStyle name="강조색1 41" xfId="5973" xr:uid="{00000000-0005-0000-0000-0000A3160000}"/>
    <cellStyle name="강조색1 42" xfId="5974" xr:uid="{00000000-0005-0000-0000-0000A4160000}"/>
    <cellStyle name="강조색1 43" xfId="5975" xr:uid="{00000000-0005-0000-0000-0000A5160000}"/>
    <cellStyle name="강조색1 44" xfId="5976" xr:uid="{00000000-0005-0000-0000-0000A6160000}"/>
    <cellStyle name="강조색1 45" xfId="5977" xr:uid="{00000000-0005-0000-0000-0000A7160000}"/>
    <cellStyle name="강조색1 45 2" xfId="5978" xr:uid="{00000000-0005-0000-0000-0000A8160000}"/>
    <cellStyle name="강조색1 45 3" xfId="5979" xr:uid="{00000000-0005-0000-0000-0000A9160000}"/>
    <cellStyle name="강조색1 46" xfId="5980" xr:uid="{00000000-0005-0000-0000-0000AA160000}"/>
    <cellStyle name="강조색1 47" xfId="5981" xr:uid="{00000000-0005-0000-0000-0000AB160000}"/>
    <cellStyle name="강조색1 48" xfId="5982" xr:uid="{00000000-0005-0000-0000-0000AC160000}"/>
    <cellStyle name="강조색1 49" xfId="5983" xr:uid="{00000000-0005-0000-0000-0000AD160000}"/>
    <cellStyle name="강조색1 5" xfId="5984" xr:uid="{00000000-0005-0000-0000-0000AE160000}"/>
    <cellStyle name="강조색1 5 2" xfId="5985" xr:uid="{00000000-0005-0000-0000-0000AF160000}"/>
    <cellStyle name="강조색1 5 3" xfId="5986" xr:uid="{00000000-0005-0000-0000-0000B0160000}"/>
    <cellStyle name="강조색1 5 4" xfId="5987" xr:uid="{00000000-0005-0000-0000-0000B1160000}"/>
    <cellStyle name="강조색1 50" xfId="5988" xr:uid="{00000000-0005-0000-0000-0000B2160000}"/>
    <cellStyle name="강조색1 51" xfId="5989" xr:uid="{00000000-0005-0000-0000-0000B3160000}"/>
    <cellStyle name="강조색1 52" xfId="5990" xr:uid="{00000000-0005-0000-0000-0000B4160000}"/>
    <cellStyle name="강조색1 53" xfId="5991" xr:uid="{00000000-0005-0000-0000-0000B5160000}"/>
    <cellStyle name="강조색1 54" xfId="5992" xr:uid="{00000000-0005-0000-0000-0000B6160000}"/>
    <cellStyle name="강조색1 55" xfId="5993" xr:uid="{00000000-0005-0000-0000-0000B7160000}"/>
    <cellStyle name="강조색1 6" xfId="5994" xr:uid="{00000000-0005-0000-0000-0000B8160000}"/>
    <cellStyle name="강조색1 6 2" xfId="5995" xr:uid="{00000000-0005-0000-0000-0000B9160000}"/>
    <cellStyle name="강조색1 6 3" xfId="5996" xr:uid="{00000000-0005-0000-0000-0000BA160000}"/>
    <cellStyle name="강조색1 6 4" xfId="5997" xr:uid="{00000000-0005-0000-0000-0000BB160000}"/>
    <cellStyle name="강조색1 7" xfId="5998" xr:uid="{00000000-0005-0000-0000-0000BC160000}"/>
    <cellStyle name="강조색1 7 2" xfId="5999" xr:uid="{00000000-0005-0000-0000-0000BD160000}"/>
    <cellStyle name="강조색1 7 3" xfId="6000" xr:uid="{00000000-0005-0000-0000-0000BE160000}"/>
    <cellStyle name="강조색1 7 4" xfId="6001" xr:uid="{00000000-0005-0000-0000-0000BF160000}"/>
    <cellStyle name="강조색1 8" xfId="6002" xr:uid="{00000000-0005-0000-0000-0000C0160000}"/>
    <cellStyle name="강조색1 9" xfId="6003" xr:uid="{00000000-0005-0000-0000-0000C1160000}"/>
    <cellStyle name="강조색2 10" xfId="6004" xr:uid="{00000000-0005-0000-0000-0000C2160000}"/>
    <cellStyle name="강조색2 11" xfId="6005" xr:uid="{00000000-0005-0000-0000-0000C3160000}"/>
    <cellStyle name="강조색2 12" xfId="6006" xr:uid="{00000000-0005-0000-0000-0000C4160000}"/>
    <cellStyle name="강조색2 13" xfId="6007" xr:uid="{00000000-0005-0000-0000-0000C5160000}"/>
    <cellStyle name="강조색2 14" xfId="6008" xr:uid="{00000000-0005-0000-0000-0000C6160000}"/>
    <cellStyle name="강조색2 14 2" xfId="6009" xr:uid="{00000000-0005-0000-0000-0000C7160000}"/>
    <cellStyle name="강조색2 14 3" xfId="6010" xr:uid="{00000000-0005-0000-0000-0000C8160000}"/>
    <cellStyle name="강조색2 15" xfId="6011" xr:uid="{00000000-0005-0000-0000-0000C9160000}"/>
    <cellStyle name="강조색2 15 2" xfId="6012" xr:uid="{00000000-0005-0000-0000-0000CA160000}"/>
    <cellStyle name="강조색2 15 3" xfId="6013" xr:uid="{00000000-0005-0000-0000-0000CB160000}"/>
    <cellStyle name="강조색2 16" xfId="6014" xr:uid="{00000000-0005-0000-0000-0000CC160000}"/>
    <cellStyle name="강조색2 16 2" xfId="6015" xr:uid="{00000000-0005-0000-0000-0000CD160000}"/>
    <cellStyle name="강조색2 16 3" xfId="6016" xr:uid="{00000000-0005-0000-0000-0000CE160000}"/>
    <cellStyle name="강조색2 17" xfId="6017" xr:uid="{00000000-0005-0000-0000-0000CF160000}"/>
    <cellStyle name="강조색2 17 2" xfId="6018" xr:uid="{00000000-0005-0000-0000-0000D0160000}"/>
    <cellStyle name="강조색2 17 3" xfId="6019" xr:uid="{00000000-0005-0000-0000-0000D1160000}"/>
    <cellStyle name="강조색2 18" xfId="6020" xr:uid="{00000000-0005-0000-0000-0000D2160000}"/>
    <cellStyle name="강조색2 18 2" xfId="6021" xr:uid="{00000000-0005-0000-0000-0000D3160000}"/>
    <cellStyle name="강조색2 18 3" xfId="6022" xr:uid="{00000000-0005-0000-0000-0000D4160000}"/>
    <cellStyle name="강조색2 19" xfId="6023" xr:uid="{00000000-0005-0000-0000-0000D5160000}"/>
    <cellStyle name="강조색2 19 2" xfId="6024" xr:uid="{00000000-0005-0000-0000-0000D6160000}"/>
    <cellStyle name="강조색2 19 3" xfId="6025" xr:uid="{00000000-0005-0000-0000-0000D7160000}"/>
    <cellStyle name="강조색2 2" xfId="6026" xr:uid="{00000000-0005-0000-0000-0000D8160000}"/>
    <cellStyle name="강조색2 2 10" xfId="6027" xr:uid="{00000000-0005-0000-0000-0000D9160000}"/>
    <cellStyle name="강조색2 2 11" xfId="6028" xr:uid="{00000000-0005-0000-0000-0000DA160000}"/>
    <cellStyle name="강조색2 2 12" xfId="6029" xr:uid="{00000000-0005-0000-0000-0000DB160000}"/>
    <cellStyle name="강조색2 2 13" xfId="6030" xr:uid="{00000000-0005-0000-0000-0000DC160000}"/>
    <cellStyle name="강조색2 2 14" xfId="6031" xr:uid="{00000000-0005-0000-0000-0000DD160000}"/>
    <cellStyle name="강조색2 2 15" xfId="6032" xr:uid="{00000000-0005-0000-0000-0000DE160000}"/>
    <cellStyle name="강조색2 2 16" xfId="6033" xr:uid="{00000000-0005-0000-0000-0000DF160000}"/>
    <cellStyle name="강조색2 2 17" xfId="6034" xr:uid="{00000000-0005-0000-0000-0000E0160000}"/>
    <cellStyle name="강조색2 2 18" xfId="6035" xr:uid="{00000000-0005-0000-0000-0000E1160000}"/>
    <cellStyle name="강조색2 2 19" xfId="6036" xr:uid="{00000000-0005-0000-0000-0000E2160000}"/>
    <cellStyle name="강조색2 2 2" xfId="6037" xr:uid="{00000000-0005-0000-0000-0000E3160000}"/>
    <cellStyle name="강조색2 2 20" xfId="6038" xr:uid="{00000000-0005-0000-0000-0000E4160000}"/>
    <cellStyle name="강조색2 2 21" xfId="6039" xr:uid="{00000000-0005-0000-0000-0000E5160000}"/>
    <cellStyle name="강조색2 2 22" xfId="6040" xr:uid="{00000000-0005-0000-0000-0000E6160000}"/>
    <cellStyle name="강조색2 2 23" xfId="6041" xr:uid="{00000000-0005-0000-0000-0000E7160000}"/>
    <cellStyle name="강조색2 2 24" xfId="6042" xr:uid="{00000000-0005-0000-0000-0000E8160000}"/>
    <cellStyle name="강조색2 2 25" xfId="6043" xr:uid="{00000000-0005-0000-0000-0000E9160000}"/>
    <cellStyle name="강조색2 2 26" xfId="6044" xr:uid="{00000000-0005-0000-0000-0000EA160000}"/>
    <cellStyle name="강조색2 2 27" xfId="6045" xr:uid="{00000000-0005-0000-0000-0000EB160000}"/>
    <cellStyle name="강조색2 2 28" xfId="6046" xr:uid="{00000000-0005-0000-0000-0000EC160000}"/>
    <cellStyle name="강조색2 2 29" xfId="6047" xr:uid="{00000000-0005-0000-0000-0000ED160000}"/>
    <cellStyle name="강조색2 2 3" xfId="6048" xr:uid="{00000000-0005-0000-0000-0000EE160000}"/>
    <cellStyle name="강조색2 2 30" xfId="6049" xr:uid="{00000000-0005-0000-0000-0000EF160000}"/>
    <cellStyle name="강조색2 2 31" xfId="6050" xr:uid="{00000000-0005-0000-0000-0000F0160000}"/>
    <cellStyle name="강조색2 2 32" xfId="6051" xr:uid="{00000000-0005-0000-0000-0000F1160000}"/>
    <cellStyle name="강조색2 2 33" xfId="6052" xr:uid="{00000000-0005-0000-0000-0000F2160000}"/>
    <cellStyle name="강조색2 2 34" xfId="6053" xr:uid="{00000000-0005-0000-0000-0000F3160000}"/>
    <cellStyle name="강조색2 2 35" xfId="6054" xr:uid="{00000000-0005-0000-0000-0000F4160000}"/>
    <cellStyle name="강조색2 2 36" xfId="6055" xr:uid="{00000000-0005-0000-0000-0000F5160000}"/>
    <cellStyle name="강조색2 2 37" xfId="6056" xr:uid="{00000000-0005-0000-0000-0000F6160000}"/>
    <cellStyle name="강조색2 2 38" xfId="6057" xr:uid="{00000000-0005-0000-0000-0000F7160000}"/>
    <cellStyle name="강조색2 2 39" xfId="6058" xr:uid="{00000000-0005-0000-0000-0000F8160000}"/>
    <cellStyle name="강조색2 2 4" xfId="6059" xr:uid="{00000000-0005-0000-0000-0000F9160000}"/>
    <cellStyle name="강조색2 2 5" xfId="6060" xr:uid="{00000000-0005-0000-0000-0000FA160000}"/>
    <cellStyle name="강조색2 2 6" xfId="6061" xr:uid="{00000000-0005-0000-0000-0000FB160000}"/>
    <cellStyle name="강조색2 2 7" xfId="6062" xr:uid="{00000000-0005-0000-0000-0000FC160000}"/>
    <cellStyle name="강조색2 2 8" xfId="6063" xr:uid="{00000000-0005-0000-0000-0000FD160000}"/>
    <cellStyle name="강조색2 2 9" xfId="6064" xr:uid="{00000000-0005-0000-0000-0000FE160000}"/>
    <cellStyle name="강조색2 20" xfId="6065" xr:uid="{00000000-0005-0000-0000-0000FF160000}"/>
    <cellStyle name="강조색2 21" xfId="6066" xr:uid="{00000000-0005-0000-0000-000000170000}"/>
    <cellStyle name="강조색2 22" xfId="6067" xr:uid="{00000000-0005-0000-0000-000001170000}"/>
    <cellStyle name="강조색2 23" xfId="6068" xr:uid="{00000000-0005-0000-0000-000002170000}"/>
    <cellStyle name="강조색2 24" xfId="6069" xr:uid="{00000000-0005-0000-0000-000003170000}"/>
    <cellStyle name="강조색2 25" xfId="6070" xr:uid="{00000000-0005-0000-0000-000004170000}"/>
    <cellStyle name="강조색2 26" xfId="6071" xr:uid="{00000000-0005-0000-0000-000005170000}"/>
    <cellStyle name="강조색2 27" xfId="6072" xr:uid="{00000000-0005-0000-0000-000006170000}"/>
    <cellStyle name="강조색2 27 2" xfId="6073" xr:uid="{00000000-0005-0000-0000-000007170000}"/>
    <cellStyle name="강조색2 28" xfId="6074" xr:uid="{00000000-0005-0000-0000-000008170000}"/>
    <cellStyle name="강조색2 29" xfId="6075" xr:uid="{00000000-0005-0000-0000-000009170000}"/>
    <cellStyle name="강조색2 3" xfId="6076" xr:uid="{00000000-0005-0000-0000-00000A170000}"/>
    <cellStyle name="강조색2 3 2" xfId="6077" xr:uid="{00000000-0005-0000-0000-00000B170000}"/>
    <cellStyle name="강조색2 3 3" xfId="6078" xr:uid="{00000000-0005-0000-0000-00000C170000}"/>
    <cellStyle name="강조색2 3 4" xfId="6079" xr:uid="{00000000-0005-0000-0000-00000D170000}"/>
    <cellStyle name="강조색2 30" xfId="6080" xr:uid="{00000000-0005-0000-0000-00000E170000}"/>
    <cellStyle name="강조색2 31" xfId="6081" xr:uid="{00000000-0005-0000-0000-00000F170000}"/>
    <cellStyle name="강조색2 32" xfId="6082" xr:uid="{00000000-0005-0000-0000-000010170000}"/>
    <cellStyle name="강조색2 33" xfId="6083" xr:uid="{00000000-0005-0000-0000-000011170000}"/>
    <cellStyle name="강조색2 34" xfId="6084" xr:uid="{00000000-0005-0000-0000-000012170000}"/>
    <cellStyle name="강조색2 35" xfId="6085" xr:uid="{00000000-0005-0000-0000-000013170000}"/>
    <cellStyle name="강조색2 36" xfId="6086" xr:uid="{00000000-0005-0000-0000-000014170000}"/>
    <cellStyle name="강조색2 37" xfId="6087" xr:uid="{00000000-0005-0000-0000-000015170000}"/>
    <cellStyle name="강조색2 37 2" xfId="6088" xr:uid="{00000000-0005-0000-0000-000016170000}"/>
    <cellStyle name="강조색2 38" xfId="6089" xr:uid="{00000000-0005-0000-0000-000017170000}"/>
    <cellStyle name="강조색2 39" xfId="6090" xr:uid="{00000000-0005-0000-0000-000018170000}"/>
    <cellStyle name="강조색2 4" xfId="6091" xr:uid="{00000000-0005-0000-0000-000019170000}"/>
    <cellStyle name="강조색2 4 2" xfId="6092" xr:uid="{00000000-0005-0000-0000-00001A170000}"/>
    <cellStyle name="강조색2 4 3" xfId="6093" xr:uid="{00000000-0005-0000-0000-00001B170000}"/>
    <cellStyle name="강조색2 4 4" xfId="6094" xr:uid="{00000000-0005-0000-0000-00001C170000}"/>
    <cellStyle name="강조색2 40" xfId="6095" xr:uid="{00000000-0005-0000-0000-00001D170000}"/>
    <cellStyle name="강조색2 41" xfId="6096" xr:uid="{00000000-0005-0000-0000-00001E170000}"/>
    <cellStyle name="강조색2 42" xfId="6097" xr:uid="{00000000-0005-0000-0000-00001F170000}"/>
    <cellStyle name="강조색2 43" xfId="6098" xr:uid="{00000000-0005-0000-0000-000020170000}"/>
    <cellStyle name="강조색2 44" xfId="6099" xr:uid="{00000000-0005-0000-0000-000021170000}"/>
    <cellStyle name="강조색2 45" xfId="6100" xr:uid="{00000000-0005-0000-0000-000022170000}"/>
    <cellStyle name="강조색2 45 2" xfId="6101" xr:uid="{00000000-0005-0000-0000-000023170000}"/>
    <cellStyle name="강조색2 45 3" xfId="6102" xr:uid="{00000000-0005-0000-0000-000024170000}"/>
    <cellStyle name="강조색2 46" xfId="6103" xr:uid="{00000000-0005-0000-0000-000025170000}"/>
    <cellStyle name="강조색2 47" xfId="6104" xr:uid="{00000000-0005-0000-0000-000026170000}"/>
    <cellStyle name="강조색2 48" xfId="6105" xr:uid="{00000000-0005-0000-0000-000027170000}"/>
    <cellStyle name="강조색2 49" xfId="6106" xr:uid="{00000000-0005-0000-0000-000028170000}"/>
    <cellStyle name="강조색2 5" xfId="6107" xr:uid="{00000000-0005-0000-0000-000029170000}"/>
    <cellStyle name="강조색2 5 2" xfId="6108" xr:uid="{00000000-0005-0000-0000-00002A170000}"/>
    <cellStyle name="강조색2 5 3" xfId="6109" xr:uid="{00000000-0005-0000-0000-00002B170000}"/>
    <cellStyle name="강조색2 5 4" xfId="6110" xr:uid="{00000000-0005-0000-0000-00002C170000}"/>
    <cellStyle name="강조색2 50" xfId="6111" xr:uid="{00000000-0005-0000-0000-00002D170000}"/>
    <cellStyle name="강조색2 51" xfId="6112" xr:uid="{00000000-0005-0000-0000-00002E170000}"/>
    <cellStyle name="강조색2 52" xfId="6113" xr:uid="{00000000-0005-0000-0000-00002F170000}"/>
    <cellStyle name="강조색2 53" xfId="6114" xr:uid="{00000000-0005-0000-0000-000030170000}"/>
    <cellStyle name="강조색2 54" xfId="6115" xr:uid="{00000000-0005-0000-0000-000031170000}"/>
    <cellStyle name="강조색2 55" xfId="6116" xr:uid="{00000000-0005-0000-0000-000032170000}"/>
    <cellStyle name="강조색2 6" xfId="6117" xr:uid="{00000000-0005-0000-0000-000033170000}"/>
    <cellStyle name="강조색2 6 2" xfId="6118" xr:uid="{00000000-0005-0000-0000-000034170000}"/>
    <cellStyle name="강조색2 6 3" xfId="6119" xr:uid="{00000000-0005-0000-0000-000035170000}"/>
    <cellStyle name="강조색2 6 4" xfId="6120" xr:uid="{00000000-0005-0000-0000-000036170000}"/>
    <cellStyle name="강조색2 7" xfId="6121" xr:uid="{00000000-0005-0000-0000-000037170000}"/>
    <cellStyle name="강조색2 7 2" xfId="6122" xr:uid="{00000000-0005-0000-0000-000038170000}"/>
    <cellStyle name="강조색2 7 3" xfId="6123" xr:uid="{00000000-0005-0000-0000-000039170000}"/>
    <cellStyle name="강조색2 7 4" xfId="6124" xr:uid="{00000000-0005-0000-0000-00003A170000}"/>
    <cellStyle name="강조색2 8" xfId="6125" xr:uid="{00000000-0005-0000-0000-00003B170000}"/>
    <cellStyle name="강조색2 9" xfId="6126" xr:uid="{00000000-0005-0000-0000-00003C170000}"/>
    <cellStyle name="강조색3 10" xfId="6127" xr:uid="{00000000-0005-0000-0000-00003D170000}"/>
    <cellStyle name="강조색3 11" xfId="6128" xr:uid="{00000000-0005-0000-0000-00003E170000}"/>
    <cellStyle name="강조색3 12" xfId="6129" xr:uid="{00000000-0005-0000-0000-00003F170000}"/>
    <cellStyle name="강조색3 13" xfId="6130" xr:uid="{00000000-0005-0000-0000-000040170000}"/>
    <cellStyle name="강조색3 14" xfId="6131" xr:uid="{00000000-0005-0000-0000-000041170000}"/>
    <cellStyle name="강조색3 14 2" xfId="6132" xr:uid="{00000000-0005-0000-0000-000042170000}"/>
    <cellStyle name="강조색3 14 3" xfId="6133" xr:uid="{00000000-0005-0000-0000-000043170000}"/>
    <cellStyle name="강조색3 15" xfId="6134" xr:uid="{00000000-0005-0000-0000-000044170000}"/>
    <cellStyle name="강조색3 15 2" xfId="6135" xr:uid="{00000000-0005-0000-0000-000045170000}"/>
    <cellStyle name="강조색3 15 3" xfId="6136" xr:uid="{00000000-0005-0000-0000-000046170000}"/>
    <cellStyle name="강조색3 16" xfId="6137" xr:uid="{00000000-0005-0000-0000-000047170000}"/>
    <cellStyle name="강조색3 16 2" xfId="6138" xr:uid="{00000000-0005-0000-0000-000048170000}"/>
    <cellStyle name="강조색3 16 3" xfId="6139" xr:uid="{00000000-0005-0000-0000-000049170000}"/>
    <cellStyle name="강조색3 17" xfId="6140" xr:uid="{00000000-0005-0000-0000-00004A170000}"/>
    <cellStyle name="강조색3 17 2" xfId="6141" xr:uid="{00000000-0005-0000-0000-00004B170000}"/>
    <cellStyle name="강조색3 17 3" xfId="6142" xr:uid="{00000000-0005-0000-0000-00004C170000}"/>
    <cellStyle name="강조색3 18" xfId="6143" xr:uid="{00000000-0005-0000-0000-00004D170000}"/>
    <cellStyle name="강조색3 18 2" xfId="6144" xr:uid="{00000000-0005-0000-0000-00004E170000}"/>
    <cellStyle name="강조색3 18 3" xfId="6145" xr:uid="{00000000-0005-0000-0000-00004F170000}"/>
    <cellStyle name="강조색3 19" xfId="6146" xr:uid="{00000000-0005-0000-0000-000050170000}"/>
    <cellStyle name="강조색3 19 2" xfId="6147" xr:uid="{00000000-0005-0000-0000-000051170000}"/>
    <cellStyle name="강조색3 19 3" xfId="6148" xr:uid="{00000000-0005-0000-0000-000052170000}"/>
    <cellStyle name="강조색3 2" xfId="6149" xr:uid="{00000000-0005-0000-0000-000053170000}"/>
    <cellStyle name="강조색3 2 10" xfId="6150" xr:uid="{00000000-0005-0000-0000-000054170000}"/>
    <cellStyle name="강조색3 2 11" xfId="6151" xr:uid="{00000000-0005-0000-0000-000055170000}"/>
    <cellStyle name="강조색3 2 12" xfId="6152" xr:uid="{00000000-0005-0000-0000-000056170000}"/>
    <cellStyle name="강조색3 2 13" xfId="6153" xr:uid="{00000000-0005-0000-0000-000057170000}"/>
    <cellStyle name="강조색3 2 14" xfId="6154" xr:uid="{00000000-0005-0000-0000-000058170000}"/>
    <cellStyle name="강조색3 2 15" xfId="6155" xr:uid="{00000000-0005-0000-0000-000059170000}"/>
    <cellStyle name="강조색3 2 16" xfId="6156" xr:uid="{00000000-0005-0000-0000-00005A170000}"/>
    <cellStyle name="강조색3 2 17" xfId="6157" xr:uid="{00000000-0005-0000-0000-00005B170000}"/>
    <cellStyle name="강조색3 2 18" xfId="6158" xr:uid="{00000000-0005-0000-0000-00005C170000}"/>
    <cellStyle name="강조색3 2 19" xfId="6159" xr:uid="{00000000-0005-0000-0000-00005D170000}"/>
    <cellStyle name="강조색3 2 2" xfId="6160" xr:uid="{00000000-0005-0000-0000-00005E170000}"/>
    <cellStyle name="강조색3 2 20" xfId="6161" xr:uid="{00000000-0005-0000-0000-00005F170000}"/>
    <cellStyle name="강조색3 2 21" xfId="6162" xr:uid="{00000000-0005-0000-0000-000060170000}"/>
    <cellStyle name="강조색3 2 22" xfId="6163" xr:uid="{00000000-0005-0000-0000-000061170000}"/>
    <cellStyle name="강조색3 2 23" xfId="6164" xr:uid="{00000000-0005-0000-0000-000062170000}"/>
    <cellStyle name="강조색3 2 24" xfId="6165" xr:uid="{00000000-0005-0000-0000-000063170000}"/>
    <cellStyle name="강조색3 2 25" xfId="6166" xr:uid="{00000000-0005-0000-0000-000064170000}"/>
    <cellStyle name="강조색3 2 26" xfId="6167" xr:uid="{00000000-0005-0000-0000-000065170000}"/>
    <cellStyle name="강조색3 2 27" xfId="6168" xr:uid="{00000000-0005-0000-0000-000066170000}"/>
    <cellStyle name="강조색3 2 28" xfId="6169" xr:uid="{00000000-0005-0000-0000-000067170000}"/>
    <cellStyle name="강조색3 2 29" xfId="6170" xr:uid="{00000000-0005-0000-0000-000068170000}"/>
    <cellStyle name="강조색3 2 3" xfId="6171" xr:uid="{00000000-0005-0000-0000-000069170000}"/>
    <cellStyle name="강조색3 2 30" xfId="6172" xr:uid="{00000000-0005-0000-0000-00006A170000}"/>
    <cellStyle name="강조색3 2 31" xfId="6173" xr:uid="{00000000-0005-0000-0000-00006B170000}"/>
    <cellStyle name="강조색3 2 32" xfId="6174" xr:uid="{00000000-0005-0000-0000-00006C170000}"/>
    <cellStyle name="강조색3 2 33" xfId="6175" xr:uid="{00000000-0005-0000-0000-00006D170000}"/>
    <cellStyle name="강조색3 2 34" xfId="6176" xr:uid="{00000000-0005-0000-0000-00006E170000}"/>
    <cellStyle name="강조색3 2 35" xfId="6177" xr:uid="{00000000-0005-0000-0000-00006F170000}"/>
    <cellStyle name="강조색3 2 36" xfId="6178" xr:uid="{00000000-0005-0000-0000-000070170000}"/>
    <cellStyle name="강조색3 2 37" xfId="6179" xr:uid="{00000000-0005-0000-0000-000071170000}"/>
    <cellStyle name="강조색3 2 38" xfId="6180" xr:uid="{00000000-0005-0000-0000-000072170000}"/>
    <cellStyle name="강조색3 2 39" xfId="6181" xr:uid="{00000000-0005-0000-0000-000073170000}"/>
    <cellStyle name="강조색3 2 4" xfId="6182" xr:uid="{00000000-0005-0000-0000-000074170000}"/>
    <cellStyle name="강조색3 2 5" xfId="6183" xr:uid="{00000000-0005-0000-0000-000075170000}"/>
    <cellStyle name="강조색3 2 6" xfId="6184" xr:uid="{00000000-0005-0000-0000-000076170000}"/>
    <cellStyle name="강조색3 2 7" xfId="6185" xr:uid="{00000000-0005-0000-0000-000077170000}"/>
    <cellStyle name="강조색3 2 8" xfId="6186" xr:uid="{00000000-0005-0000-0000-000078170000}"/>
    <cellStyle name="강조색3 2 9" xfId="6187" xr:uid="{00000000-0005-0000-0000-000079170000}"/>
    <cellStyle name="강조색3 20" xfId="6188" xr:uid="{00000000-0005-0000-0000-00007A170000}"/>
    <cellStyle name="강조색3 21" xfId="6189" xr:uid="{00000000-0005-0000-0000-00007B170000}"/>
    <cellStyle name="강조색3 22" xfId="6190" xr:uid="{00000000-0005-0000-0000-00007C170000}"/>
    <cellStyle name="강조색3 23" xfId="6191" xr:uid="{00000000-0005-0000-0000-00007D170000}"/>
    <cellStyle name="강조색3 24" xfId="6192" xr:uid="{00000000-0005-0000-0000-00007E170000}"/>
    <cellStyle name="강조색3 25" xfId="6193" xr:uid="{00000000-0005-0000-0000-00007F170000}"/>
    <cellStyle name="강조색3 26" xfId="6194" xr:uid="{00000000-0005-0000-0000-000080170000}"/>
    <cellStyle name="강조색3 27" xfId="6195" xr:uid="{00000000-0005-0000-0000-000081170000}"/>
    <cellStyle name="강조색3 27 2" xfId="6196" xr:uid="{00000000-0005-0000-0000-000082170000}"/>
    <cellStyle name="강조색3 28" xfId="6197" xr:uid="{00000000-0005-0000-0000-000083170000}"/>
    <cellStyle name="강조색3 29" xfId="6198" xr:uid="{00000000-0005-0000-0000-000084170000}"/>
    <cellStyle name="강조색3 3" xfId="6199" xr:uid="{00000000-0005-0000-0000-000085170000}"/>
    <cellStyle name="강조색3 3 2" xfId="6200" xr:uid="{00000000-0005-0000-0000-000086170000}"/>
    <cellStyle name="강조색3 3 3" xfId="6201" xr:uid="{00000000-0005-0000-0000-000087170000}"/>
    <cellStyle name="강조색3 3 4" xfId="6202" xr:uid="{00000000-0005-0000-0000-000088170000}"/>
    <cellStyle name="강조색3 30" xfId="6203" xr:uid="{00000000-0005-0000-0000-000089170000}"/>
    <cellStyle name="강조색3 31" xfId="6204" xr:uid="{00000000-0005-0000-0000-00008A170000}"/>
    <cellStyle name="강조색3 32" xfId="6205" xr:uid="{00000000-0005-0000-0000-00008B170000}"/>
    <cellStyle name="강조색3 33" xfId="6206" xr:uid="{00000000-0005-0000-0000-00008C170000}"/>
    <cellStyle name="강조색3 34" xfId="6207" xr:uid="{00000000-0005-0000-0000-00008D170000}"/>
    <cellStyle name="강조색3 35" xfId="6208" xr:uid="{00000000-0005-0000-0000-00008E170000}"/>
    <cellStyle name="강조색3 36" xfId="6209" xr:uid="{00000000-0005-0000-0000-00008F170000}"/>
    <cellStyle name="강조색3 37" xfId="6210" xr:uid="{00000000-0005-0000-0000-000090170000}"/>
    <cellStyle name="강조색3 37 2" xfId="6211" xr:uid="{00000000-0005-0000-0000-000091170000}"/>
    <cellStyle name="강조색3 38" xfId="6212" xr:uid="{00000000-0005-0000-0000-000092170000}"/>
    <cellStyle name="강조색3 39" xfId="6213" xr:uid="{00000000-0005-0000-0000-000093170000}"/>
    <cellStyle name="강조색3 4" xfId="6214" xr:uid="{00000000-0005-0000-0000-000094170000}"/>
    <cellStyle name="강조색3 4 2" xfId="6215" xr:uid="{00000000-0005-0000-0000-000095170000}"/>
    <cellStyle name="강조색3 4 3" xfId="6216" xr:uid="{00000000-0005-0000-0000-000096170000}"/>
    <cellStyle name="강조색3 4 4" xfId="6217" xr:uid="{00000000-0005-0000-0000-000097170000}"/>
    <cellStyle name="강조색3 40" xfId="6218" xr:uid="{00000000-0005-0000-0000-000098170000}"/>
    <cellStyle name="강조색3 41" xfId="6219" xr:uid="{00000000-0005-0000-0000-000099170000}"/>
    <cellStyle name="강조색3 42" xfId="6220" xr:uid="{00000000-0005-0000-0000-00009A170000}"/>
    <cellStyle name="강조색3 43" xfId="6221" xr:uid="{00000000-0005-0000-0000-00009B170000}"/>
    <cellStyle name="강조색3 44" xfId="6222" xr:uid="{00000000-0005-0000-0000-00009C170000}"/>
    <cellStyle name="강조색3 45" xfId="6223" xr:uid="{00000000-0005-0000-0000-00009D170000}"/>
    <cellStyle name="강조색3 45 2" xfId="6224" xr:uid="{00000000-0005-0000-0000-00009E170000}"/>
    <cellStyle name="강조색3 45 3" xfId="6225" xr:uid="{00000000-0005-0000-0000-00009F170000}"/>
    <cellStyle name="강조색3 46" xfId="6226" xr:uid="{00000000-0005-0000-0000-0000A0170000}"/>
    <cellStyle name="강조색3 47" xfId="6227" xr:uid="{00000000-0005-0000-0000-0000A1170000}"/>
    <cellStyle name="강조색3 48" xfId="6228" xr:uid="{00000000-0005-0000-0000-0000A2170000}"/>
    <cellStyle name="강조색3 49" xfId="6229" xr:uid="{00000000-0005-0000-0000-0000A3170000}"/>
    <cellStyle name="강조색3 5" xfId="6230" xr:uid="{00000000-0005-0000-0000-0000A4170000}"/>
    <cellStyle name="강조색3 5 2" xfId="6231" xr:uid="{00000000-0005-0000-0000-0000A5170000}"/>
    <cellStyle name="강조색3 5 3" xfId="6232" xr:uid="{00000000-0005-0000-0000-0000A6170000}"/>
    <cellStyle name="강조색3 5 4" xfId="6233" xr:uid="{00000000-0005-0000-0000-0000A7170000}"/>
    <cellStyle name="강조색3 50" xfId="6234" xr:uid="{00000000-0005-0000-0000-0000A8170000}"/>
    <cellStyle name="강조색3 51" xfId="6235" xr:uid="{00000000-0005-0000-0000-0000A9170000}"/>
    <cellStyle name="강조색3 52" xfId="6236" xr:uid="{00000000-0005-0000-0000-0000AA170000}"/>
    <cellStyle name="강조색3 53" xfId="6237" xr:uid="{00000000-0005-0000-0000-0000AB170000}"/>
    <cellStyle name="강조색3 54" xfId="6238" xr:uid="{00000000-0005-0000-0000-0000AC170000}"/>
    <cellStyle name="강조색3 55" xfId="6239" xr:uid="{00000000-0005-0000-0000-0000AD170000}"/>
    <cellStyle name="강조색3 6" xfId="6240" xr:uid="{00000000-0005-0000-0000-0000AE170000}"/>
    <cellStyle name="강조색3 6 2" xfId="6241" xr:uid="{00000000-0005-0000-0000-0000AF170000}"/>
    <cellStyle name="강조색3 6 3" xfId="6242" xr:uid="{00000000-0005-0000-0000-0000B0170000}"/>
    <cellStyle name="강조색3 6 4" xfId="6243" xr:uid="{00000000-0005-0000-0000-0000B1170000}"/>
    <cellStyle name="강조색3 7" xfId="6244" xr:uid="{00000000-0005-0000-0000-0000B2170000}"/>
    <cellStyle name="강조색3 7 2" xfId="6245" xr:uid="{00000000-0005-0000-0000-0000B3170000}"/>
    <cellStyle name="강조색3 7 3" xfId="6246" xr:uid="{00000000-0005-0000-0000-0000B4170000}"/>
    <cellStyle name="강조색3 7 4" xfId="6247" xr:uid="{00000000-0005-0000-0000-0000B5170000}"/>
    <cellStyle name="강조색3 8" xfId="6248" xr:uid="{00000000-0005-0000-0000-0000B6170000}"/>
    <cellStyle name="강조색3 9" xfId="6249" xr:uid="{00000000-0005-0000-0000-0000B7170000}"/>
    <cellStyle name="강조색4 10" xfId="6250" xr:uid="{00000000-0005-0000-0000-0000B8170000}"/>
    <cellStyle name="강조색4 11" xfId="6251" xr:uid="{00000000-0005-0000-0000-0000B9170000}"/>
    <cellStyle name="강조색4 12" xfId="6252" xr:uid="{00000000-0005-0000-0000-0000BA170000}"/>
    <cellStyle name="강조색4 13" xfId="6253" xr:uid="{00000000-0005-0000-0000-0000BB170000}"/>
    <cellStyle name="강조색4 14" xfId="6254" xr:uid="{00000000-0005-0000-0000-0000BC170000}"/>
    <cellStyle name="강조색4 14 2" xfId="6255" xr:uid="{00000000-0005-0000-0000-0000BD170000}"/>
    <cellStyle name="강조색4 14 3" xfId="6256" xr:uid="{00000000-0005-0000-0000-0000BE170000}"/>
    <cellStyle name="강조색4 15" xfId="6257" xr:uid="{00000000-0005-0000-0000-0000BF170000}"/>
    <cellStyle name="강조색4 15 2" xfId="6258" xr:uid="{00000000-0005-0000-0000-0000C0170000}"/>
    <cellStyle name="강조색4 15 3" xfId="6259" xr:uid="{00000000-0005-0000-0000-0000C1170000}"/>
    <cellStyle name="강조색4 16" xfId="6260" xr:uid="{00000000-0005-0000-0000-0000C2170000}"/>
    <cellStyle name="강조색4 16 2" xfId="6261" xr:uid="{00000000-0005-0000-0000-0000C3170000}"/>
    <cellStyle name="강조색4 16 3" xfId="6262" xr:uid="{00000000-0005-0000-0000-0000C4170000}"/>
    <cellStyle name="강조색4 17" xfId="6263" xr:uid="{00000000-0005-0000-0000-0000C5170000}"/>
    <cellStyle name="강조색4 17 2" xfId="6264" xr:uid="{00000000-0005-0000-0000-0000C6170000}"/>
    <cellStyle name="강조색4 17 3" xfId="6265" xr:uid="{00000000-0005-0000-0000-0000C7170000}"/>
    <cellStyle name="강조색4 18" xfId="6266" xr:uid="{00000000-0005-0000-0000-0000C8170000}"/>
    <cellStyle name="강조색4 18 2" xfId="6267" xr:uid="{00000000-0005-0000-0000-0000C9170000}"/>
    <cellStyle name="강조색4 18 3" xfId="6268" xr:uid="{00000000-0005-0000-0000-0000CA170000}"/>
    <cellStyle name="강조색4 19" xfId="6269" xr:uid="{00000000-0005-0000-0000-0000CB170000}"/>
    <cellStyle name="강조색4 19 2" xfId="6270" xr:uid="{00000000-0005-0000-0000-0000CC170000}"/>
    <cellStyle name="강조색4 19 3" xfId="6271" xr:uid="{00000000-0005-0000-0000-0000CD170000}"/>
    <cellStyle name="강조색4 2" xfId="6272" xr:uid="{00000000-0005-0000-0000-0000CE170000}"/>
    <cellStyle name="강조색4 2 10" xfId="6273" xr:uid="{00000000-0005-0000-0000-0000CF170000}"/>
    <cellStyle name="강조색4 2 11" xfId="6274" xr:uid="{00000000-0005-0000-0000-0000D0170000}"/>
    <cellStyle name="강조색4 2 12" xfId="6275" xr:uid="{00000000-0005-0000-0000-0000D1170000}"/>
    <cellStyle name="강조색4 2 13" xfId="6276" xr:uid="{00000000-0005-0000-0000-0000D2170000}"/>
    <cellStyle name="강조색4 2 14" xfId="6277" xr:uid="{00000000-0005-0000-0000-0000D3170000}"/>
    <cellStyle name="강조색4 2 15" xfId="6278" xr:uid="{00000000-0005-0000-0000-0000D4170000}"/>
    <cellStyle name="강조색4 2 16" xfId="6279" xr:uid="{00000000-0005-0000-0000-0000D5170000}"/>
    <cellStyle name="강조색4 2 17" xfId="6280" xr:uid="{00000000-0005-0000-0000-0000D6170000}"/>
    <cellStyle name="강조색4 2 18" xfId="6281" xr:uid="{00000000-0005-0000-0000-0000D7170000}"/>
    <cellStyle name="강조색4 2 19" xfId="6282" xr:uid="{00000000-0005-0000-0000-0000D8170000}"/>
    <cellStyle name="강조색4 2 2" xfId="6283" xr:uid="{00000000-0005-0000-0000-0000D9170000}"/>
    <cellStyle name="강조색4 2 20" xfId="6284" xr:uid="{00000000-0005-0000-0000-0000DA170000}"/>
    <cellStyle name="강조색4 2 21" xfId="6285" xr:uid="{00000000-0005-0000-0000-0000DB170000}"/>
    <cellStyle name="강조색4 2 22" xfId="6286" xr:uid="{00000000-0005-0000-0000-0000DC170000}"/>
    <cellStyle name="강조색4 2 23" xfId="6287" xr:uid="{00000000-0005-0000-0000-0000DD170000}"/>
    <cellStyle name="강조색4 2 24" xfId="6288" xr:uid="{00000000-0005-0000-0000-0000DE170000}"/>
    <cellStyle name="강조색4 2 25" xfId="6289" xr:uid="{00000000-0005-0000-0000-0000DF170000}"/>
    <cellStyle name="강조색4 2 26" xfId="6290" xr:uid="{00000000-0005-0000-0000-0000E0170000}"/>
    <cellStyle name="강조색4 2 27" xfId="6291" xr:uid="{00000000-0005-0000-0000-0000E1170000}"/>
    <cellStyle name="강조색4 2 28" xfId="6292" xr:uid="{00000000-0005-0000-0000-0000E2170000}"/>
    <cellStyle name="강조색4 2 29" xfId="6293" xr:uid="{00000000-0005-0000-0000-0000E3170000}"/>
    <cellStyle name="강조색4 2 3" xfId="6294" xr:uid="{00000000-0005-0000-0000-0000E4170000}"/>
    <cellStyle name="강조색4 2 30" xfId="6295" xr:uid="{00000000-0005-0000-0000-0000E5170000}"/>
    <cellStyle name="강조색4 2 31" xfId="6296" xr:uid="{00000000-0005-0000-0000-0000E6170000}"/>
    <cellStyle name="강조색4 2 32" xfId="6297" xr:uid="{00000000-0005-0000-0000-0000E7170000}"/>
    <cellStyle name="강조색4 2 33" xfId="6298" xr:uid="{00000000-0005-0000-0000-0000E8170000}"/>
    <cellStyle name="강조색4 2 34" xfId="6299" xr:uid="{00000000-0005-0000-0000-0000E9170000}"/>
    <cellStyle name="강조색4 2 35" xfId="6300" xr:uid="{00000000-0005-0000-0000-0000EA170000}"/>
    <cellStyle name="강조색4 2 36" xfId="6301" xr:uid="{00000000-0005-0000-0000-0000EB170000}"/>
    <cellStyle name="강조색4 2 37" xfId="6302" xr:uid="{00000000-0005-0000-0000-0000EC170000}"/>
    <cellStyle name="강조색4 2 38" xfId="6303" xr:uid="{00000000-0005-0000-0000-0000ED170000}"/>
    <cellStyle name="강조색4 2 39" xfId="6304" xr:uid="{00000000-0005-0000-0000-0000EE170000}"/>
    <cellStyle name="강조색4 2 4" xfId="6305" xr:uid="{00000000-0005-0000-0000-0000EF170000}"/>
    <cellStyle name="강조색4 2 5" xfId="6306" xr:uid="{00000000-0005-0000-0000-0000F0170000}"/>
    <cellStyle name="강조색4 2 6" xfId="6307" xr:uid="{00000000-0005-0000-0000-0000F1170000}"/>
    <cellStyle name="강조색4 2 7" xfId="6308" xr:uid="{00000000-0005-0000-0000-0000F2170000}"/>
    <cellStyle name="강조색4 2 8" xfId="6309" xr:uid="{00000000-0005-0000-0000-0000F3170000}"/>
    <cellStyle name="강조색4 2 9" xfId="6310" xr:uid="{00000000-0005-0000-0000-0000F4170000}"/>
    <cellStyle name="강조색4 20" xfId="6311" xr:uid="{00000000-0005-0000-0000-0000F5170000}"/>
    <cellStyle name="강조색4 21" xfId="6312" xr:uid="{00000000-0005-0000-0000-0000F6170000}"/>
    <cellStyle name="강조색4 22" xfId="6313" xr:uid="{00000000-0005-0000-0000-0000F7170000}"/>
    <cellStyle name="강조색4 23" xfId="6314" xr:uid="{00000000-0005-0000-0000-0000F8170000}"/>
    <cellStyle name="강조색4 24" xfId="6315" xr:uid="{00000000-0005-0000-0000-0000F9170000}"/>
    <cellStyle name="강조색4 25" xfId="6316" xr:uid="{00000000-0005-0000-0000-0000FA170000}"/>
    <cellStyle name="강조색4 26" xfId="6317" xr:uid="{00000000-0005-0000-0000-0000FB170000}"/>
    <cellStyle name="강조색4 27" xfId="6318" xr:uid="{00000000-0005-0000-0000-0000FC170000}"/>
    <cellStyle name="강조색4 27 2" xfId="6319" xr:uid="{00000000-0005-0000-0000-0000FD170000}"/>
    <cellStyle name="강조색4 28" xfId="6320" xr:uid="{00000000-0005-0000-0000-0000FE170000}"/>
    <cellStyle name="강조색4 29" xfId="6321" xr:uid="{00000000-0005-0000-0000-0000FF170000}"/>
    <cellStyle name="강조색4 3" xfId="6322" xr:uid="{00000000-0005-0000-0000-000000180000}"/>
    <cellStyle name="강조색4 3 2" xfId="6323" xr:uid="{00000000-0005-0000-0000-000001180000}"/>
    <cellStyle name="강조색4 3 3" xfId="6324" xr:uid="{00000000-0005-0000-0000-000002180000}"/>
    <cellStyle name="강조색4 3 4" xfId="6325" xr:uid="{00000000-0005-0000-0000-000003180000}"/>
    <cellStyle name="강조색4 30" xfId="6326" xr:uid="{00000000-0005-0000-0000-000004180000}"/>
    <cellStyle name="강조색4 31" xfId="6327" xr:uid="{00000000-0005-0000-0000-000005180000}"/>
    <cellStyle name="강조색4 32" xfId="6328" xr:uid="{00000000-0005-0000-0000-000006180000}"/>
    <cellStyle name="강조색4 33" xfId="6329" xr:uid="{00000000-0005-0000-0000-000007180000}"/>
    <cellStyle name="강조색4 34" xfId="6330" xr:uid="{00000000-0005-0000-0000-000008180000}"/>
    <cellStyle name="강조색4 35" xfId="6331" xr:uid="{00000000-0005-0000-0000-000009180000}"/>
    <cellStyle name="강조색4 36" xfId="6332" xr:uid="{00000000-0005-0000-0000-00000A180000}"/>
    <cellStyle name="강조색4 37" xfId="6333" xr:uid="{00000000-0005-0000-0000-00000B180000}"/>
    <cellStyle name="강조색4 37 2" xfId="6334" xr:uid="{00000000-0005-0000-0000-00000C180000}"/>
    <cellStyle name="강조색4 38" xfId="6335" xr:uid="{00000000-0005-0000-0000-00000D180000}"/>
    <cellStyle name="강조색4 39" xfId="6336" xr:uid="{00000000-0005-0000-0000-00000E180000}"/>
    <cellStyle name="강조색4 4" xfId="6337" xr:uid="{00000000-0005-0000-0000-00000F180000}"/>
    <cellStyle name="강조색4 4 2" xfId="6338" xr:uid="{00000000-0005-0000-0000-000010180000}"/>
    <cellStyle name="강조색4 4 3" xfId="6339" xr:uid="{00000000-0005-0000-0000-000011180000}"/>
    <cellStyle name="강조색4 4 4" xfId="6340" xr:uid="{00000000-0005-0000-0000-000012180000}"/>
    <cellStyle name="강조색4 40" xfId="6341" xr:uid="{00000000-0005-0000-0000-000013180000}"/>
    <cellStyle name="강조색4 41" xfId="6342" xr:uid="{00000000-0005-0000-0000-000014180000}"/>
    <cellStyle name="강조색4 42" xfId="6343" xr:uid="{00000000-0005-0000-0000-000015180000}"/>
    <cellStyle name="강조색4 43" xfId="6344" xr:uid="{00000000-0005-0000-0000-000016180000}"/>
    <cellStyle name="강조색4 44" xfId="6345" xr:uid="{00000000-0005-0000-0000-000017180000}"/>
    <cellStyle name="강조색4 45" xfId="6346" xr:uid="{00000000-0005-0000-0000-000018180000}"/>
    <cellStyle name="강조색4 45 2" xfId="6347" xr:uid="{00000000-0005-0000-0000-000019180000}"/>
    <cellStyle name="강조색4 45 3" xfId="6348" xr:uid="{00000000-0005-0000-0000-00001A180000}"/>
    <cellStyle name="강조색4 46" xfId="6349" xr:uid="{00000000-0005-0000-0000-00001B180000}"/>
    <cellStyle name="강조색4 47" xfId="6350" xr:uid="{00000000-0005-0000-0000-00001C180000}"/>
    <cellStyle name="강조색4 48" xfId="6351" xr:uid="{00000000-0005-0000-0000-00001D180000}"/>
    <cellStyle name="강조색4 49" xfId="6352" xr:uid="{00000000-0005-0000-0000-00001E180000}"/>
    <cellStyle name="강조색4 5" xfId="6353" xr:uid="{00000000-0005-0000-0000-00001F180000}"/>
    <cellStyle name="강조색4 5 2" xfId="6354" xr:uid="{00000000-0005-0000-0000-000020180000}"/>
    <cellStyle name="강조색4 5 3" xfId="6355" xr:uid="{00000000-0005-0000-0000-000021180000}"/>
    <cellStyle name="강조색4 5 4" xfId="6356" xr:uid="{00000000-0005-0000-0000-000022180000}"/>
    <cellStyle name="강조색4 50" xfId="6357" xr:uid="{00000000-0005-0000-0000-000023180000}"/>
    <cellStyle name="강조색4 51" xfId="6358" xr:uid="{00000000-0005-0000-0000-000024180000}"/>
    <cellStyle name="강조색4 52" xfId="6359" xr:uid="{00000000-0005-0000-0000-000025180000}"/>
    <cellStyle name="강조색4 53" xfId="6360" xr:uid="{00000000-0005-0000-0000-000026180000}"/>
    <cellStyle name="강조색4 54" xfId="6361" xr:uid="{00000000-0005-0000-0000-000027180000}"/>
    <cellStyle name="강조색4 55" xfId="6362" xr:uid="{00000000-0005-0000-0000-000028180000}"/>
    <cellStyle name="강조색4 6" xfId="6363" xr:uid="{00000000-0005-0000-0000-000029180000}"/>
    <cellStyle name="강조색4 6 2" xfId="6364" xr:uid="{00000000-0005-0000-0000-00002A180000}"/>
    <cellStyle name="강조색4 6 3" xfId="6365" xr:uid="{00000000-0005-0000-0000-00002B180000}"/>
    <cellStyle name="강조색4 6 4" xfId="6366" xr:uid="{00000000-0005-0000-0000-00002C180000}"/>
    <cellStyle name="강조색4 7" xfId="6367" xr:uid="{00000000-0005-0000-0000-00002D180000}"/>
    <cellStyle name="강조색4 7 2" xfId="6368" xr:uid="{00000000-0005-0000-0000-00002E180000}"/>
    <cellStyle name="강조색4 7 3" xfId="6369" xr:uid="{00000000-0005-0000-0000-00002F180000}"/>
    <cellStyle name="강조색4 7 4" xfId="6370" xr:uid="{00000000-0005-0000-0000-000030180000}"/>
    <cellStyle name="강조색4 8" xfId="6371" xr:uid="{00000000-0005-0000-0000-000031180000}"/>
    <cellStyle name="강조색4 9" xfId="6372" xr:uid="{00000000-0005-0000-0000-000032180000}"/>
    <cellStyle name="강조색5 10" xfId="6373" xr:uid="{00000000-0005-0000-0000-000033180000}"/>
    <cellStyle name="강조색5 11" xfId="6374" xr:uid="{00000000-0005-0000-0000-000034180000}"/>
    <cellStyle name="강조색5 12" xfId="6375" xr:uid="{00000000-0005-0000-0000-000035180000}"/>
    <cellStyle name="강조색5 13" xfId="6376" xr:uid="{00000000-0005-0000-0000-000036180000}"/>
    <cellStyle name="강조색5 14" xfId="6377" xr:uid="{00000000-0005-0000-0000-000037180000}"/>
    <cellStyle name="강조색5 14 2" xfId="6378" xr:uid="{00000000-0005-0000-0000-000038180000}"/>
    <cellStyle name="강조색5 14 3" xfId="6379" xr:uid="{00000000-0005-0000-0000-000039180000}"/>
    <cellStyle name="강조색5 15" xfId="6380" xr:uid="{00000000-0005-0000-0000-00003A180000}"/>
    <cellStyle name="강조색5 15 2" xfId="6381" xr:uid="{00000000-0005-0000-0000-00003B180000}"/>
    <cellStyle name="강조색5 15 3" xfId="6382" xr:uid="{00000000-0005-0000-0000-00003C180000}"/>
    <cellStyle name="강조색5 16" xfId="6383" xr:uid="{00000000-0005-0000-0000-00003D180000}"/>
    <cellStyle name="강조색5 16 2" xfId="6384" xr:uid="{00000000-0005-0000-0000-00003E180000}"/>
    <cellStyle name="강조색5 16 3" xfId="6385" xr:uid="{00000000-0005-0000-0000-00003F180000}"/>
    <cellStyle name="강조색5 17" xfId="6386" xr:uid="{00000000-0005-0000-0000-000040180000}"/>
    <cellStyle name="강조색5 17 2" xfId="6387" xr:uid="{00000000-0005-0000-0000-000041180000}"/>
    <cellStyle name="강조색5 17 3" xfId="6388" xr:uid="{00000000-0005-0000-0000-000042180000}"/>
    <cellStyle name="강조색5 18" xfId="6389" xr:uid="{00000000-0005-0000-0000-000043180000}"/>
    <cellStyle name="강조색5 18 2" xfId="6390" xr:uid="{00000000-0005-0000-0000-000044180000}"/>
    <cellStyle name="강조색5 18 3" xfId="6391" xr:uid="{00000000-0005-0000-0000-000045180000}"/>
    <cellStyle name="강조색5 19" xfId="6392" xr:uid="{00000000-0005-0000-0000-000046180000}"/>
    <cellStyle name="강조색5 19 2" xfId="6393" xr:uid="{00000000-0005-0000-0000-000047180000}"/>
    <cellStyle name="강조색5 19 3" xfId="6394" xr:uid="{00000000-0005-0000-0000-000048180000}"/>
    <cellStyle name="강조색5 2" xfId="6395" xr:uid="{00000000-0005-0000-0000-000049180000}"/>
    <cellStyle name="강조색5 2 10" xfId="6396" xr:uid="{00000000-0005-0000-0000-00004A180000}"/>
    <cellStyle name="강조색5 2 11" xfId="6397" xr:uid="{00000000-0005-0000-0000-00004B180000}"/>
    <cellStyle name="강조색5 2 12" xfId="6398" xr:uid="{00000000-0005-0000-0000-00004C180000}"/>
    <cellStyle name="강조색5 2 13" xfId="6399" xr:uid="{00000000-0005-0000-0000-00004D180000}"/>
    <cellStyle name="강조색5 2 14" xfId="6400" xr:uid="{00000000-0005-0000-0000-00004E180000}"/>
    <cellStyle name="강조색5 2 15" xfId="6401" xr:uid="{00000000-0005-0000-0000-00004F180000}"/>
    <cellStyle name="강조색5 2 16" xfId="6402" xr:uid="{00000000-0005-0000-0000-000050180000}"/>
    <cellStyle name="강조색5 2 17" xfId="6403" xr:uid="{00000000-0005-0000-0000-000051180000}"/>
    <cellStyle name="강조색5 2 18" xfId="6404" xr:uid="{00000000-0005-0000-0000-000052180000}"/>
    <cellStyle name="강조색5 2 19" xfId="6405" xr:uid="{00000000-0005-0000-0000-000053180000}"/>
    <cellStyle name="강조색5 2 2" xfId="6406" xr:uid="{00000000-0005-0000-0000-000054180000}"/>
    <cellStyle name="강조색5 2 20" xfId="6407" xr:uid="{00000000-0005-0000-0000-000055180000}"/>
    <cellStyle name="강조색5 2 21" xfId="6408" xr:uid="{00000000-0005-0000-0000-000056180000}"/>
    <cellStyle name="강조색5 2 22" xfId="6409" xr:uid="{00000000-0005-0000-0000-000057180000}"/>
    <cellStyle name="강조색5 2 23" xfId="6410" xr:uid="{00000000-0005-0000-0000-000058180000}"/>
    <cellStyle name="강조색5 2 24" xfId="6411" xr:uid="{00000000-0005-0000-0000-000059180000}"/>
    <cellStyle name="강조색5 2 25" xfId="6412" xr:uid="{00000000-0005-0000-0000-00005A180000}"/>
    <cellStyle name="강조색5 2 26" xfId="6413" xr:uid="{00000000-0005-0000-0000-00005B180000}"/>
    <cellStyle name="강조색5 2 27" xfId="6414" xr:uid="{00000000-0005-0000-0000-00005C180000}"/>
    <cellStyle name="강조색5 2 28" xfId="6415" xr:uid="{00000000-0005-0000-0000-00005D180000}"/>
    <cellStyle name="강조색5 2 29" xfId="6416" xr:uid="{00000000-0005-0000-0000-00005E180000}"/>
    <cellStyle name="강조색5 2 3" xfId="6417" xr:uid="{00000000-0005-0000-0000-00005F180000}"/>
    <cellStyle name="강조색5 2 30" xfId="6418" xr:uid="{00000000-0005-0000-0000-000060180000}"/>
    <cellStyle name="강조색5 2 31" xfId="6419" xr:uid="{00000000-0005-0000-0000-000061180000}"/>
    <cellStyle name="강조색5 2 32" xfId="6420" xr:uid="{00000000-0005-0000-0000-000062180000}"/>
    <cellStyle name="강조색5 2 33" xfId="6421" xr:uid="{00000000-0005-0000-0000-000063180000}"/>
    <cellStyle name="강조색5 2 34" xfId="6422" xr:uid="{00000000-0005-0000-0000-000064180000}"/>
    <cellStyle name="강조색5 2 35" xfId="6423" xr:uid="{00000000-0005-0000-0000-000065180000}"/>
    <cellStyle name="강조색5 2 36" xfId="6424" xr:uid="{00000000-0005-0000-0000-000066180000}"/>
    <cellStyle name="강조색5 2 37" xfId="6425" xr:uid="{00000000-0005-0000-0000-000067180000}"/>
    <cellStyle name="강조색5 2 38" xfId="6426" xr:uid="{00000000-0005-0000-0000-000068180000}"/>
    <cellStyle name="강조색5 2 39" xfId="6427" xr:uid="{00000000-0005-0000-0000-000069180000}"/>
    <cellStyle name="강조색5 2 4" xfId="6428" xr:uid="{00000000-0005-0000-0000-00006A180000}"/>
    <cellStyle name="강조색5 2 5" xfId="6429" xr:uid="{00000000-0005-0000-0000-00006B180000}"/>
    <cellStyle name="강조색5 2 6" xfId="6430" xr:uid="{00000000-0005-0000-0000-00006C180000}"/>
    <cellStyle name="강조색5 2 7" xfId="6431" xr:uid="{00000000-0005-0000-0000-00006D180000}"/>
    <cellStyle name="강조색5 2 8" xfId="6432" xr:uid="{00000000-0005-0000-0000-00006E180000}"/>
    <cellStyle name="강조색5 2 9" xfId="6433" xr:uid="{00000000-0005-0000-0000-00006F180000}"/>
    <cellStyle name="강조색5 20" xfId="6434" xr:uid="{00000000-0005-0000-0000-000070180000}"/>
    <cellStyle name="강조색5 21" xfId="6435" xr:uid="{00000000-0005-0000-0000-000071180000}"/>
    <cellStyle name="강조색5 22" xfId="6436" xr:uid="{00000000-0005-0000-0000-000072180000}"/>
    <cellStyle name="강조색5 23" xfId="6437" xr:uid="{00000000-0005-0000-0000-000073180000}"/>
    <cellStyle name="강조색5 24" xfId="6438" xr:uid="{00000000-0005-0000-0000-000074180000}"/>
    <cellStyle name="강조색5 25" xfId="6439" xr:uid="{00000000-0005-0000-0000-000075180000}"/>
    <cellStyle name="강조색5 26" xfId="6440" xr:uid="{00000000-0005-0000-0000-000076180000}"/>
    <cellStyle name="강조색5 27" xfId="6441" xr:uid="{00000000-0005-0000-0000-000077180000}"/>
    <cellStyle name="강조색5 27 2" xfId="6442" xr:uid="{00000000-0005-0000-0000-000078180000}"/>
    <cellStyle name="강조색5 28" xfId="6443" xr:uid="{00000000-0005-0000-0000-000079180000}"/>
    <cellStyle name="강조색5 29" xfId="6444" xr:uid="{00000000-0005-0000-0000-00007A180000}"/>
    <cellStyle name="강조색5 3" xfId="6445" xr:uid="{00000000-0005-0000-0000-00007B180000}"/>
    <cellStyle name="강조색5 3 2" xfId="6446" xr:uid="{00000000-0005-0000-0000-00007C180000}"/>
    <cellStyle name="강조색5 3 3" xfId="6447" xr:uid="{00000000-0005-0000-0000-00007D180000}"/>
    <cellStyle name="강조색5 3 4" xfId="6448" xr:uid="{00000000-0005-0000-0000-00007E180000}"/>
    <cellStyle name="강조색5 30" xfId="6449" xr:uid="{00000000-0005-0000-0000-00007F180000}"/>
    <cellStyle name="강조색5 31" xfId="6450" xr:uid="{00000000-0005-0000-0000-000080180000}"/>
    <cellStyle name="강조색5 32" xfId="6451" xr:uid="{00000000-0005-0000-0000-000081180000}"/>
    <cellStyle name="강조색5 33" xfId="6452" xr:uid="{00000000-0005-0000-0000-000082180000}"/>
    <cellStyle name="강조색5 34" xfId="6453" xr:uid="{00000000-0005-0000-0000-000083180000}"/>
    <cellStyle name="강조색5 35" xfId="6454" xr:uid="{00000000-0005-0000-0000-000084180000}"/>
    <cellStyle name="강조색5 36" xfId="6455" xr:uid="{00000000-0005-0000-0000-000085180000}"/>
    <cellStyle name="강조색5 37" xfId="6456" xr:uid="{00000000-0005-0000-0000-000086180000}"/>
    <cellStyle name="강조색5 37 2" xfId="6457" xr:uid="{00000000-0005-0000-0000-000087180000}"/>
    <cellStyle name="강조색5 38" xfId="6458" xr:uid="{00000000-0005-0000-0000-000088180000}"/>
    <cellStyle name="강조색5 39" xfId="6459" xr:uid="{00000000-0005-0000-0000-000089180000}"/>
    <cellStyle name="강조색5 4" xfId="6460" xr:uid="{00000000-0005-0000-0000-00008A180000}"/>
    <cellStyle name="강조색5 4 2" xfId="6461" xr:uid="{00000000-0005-0000-0000-00008B180000}"/>
    <cellStyle name="강조색5 4 3" xfId="6462" xr:uid="{00000000-0005-0000-0000-00008C180000}"/>
    <cellStyle name="강조색5 4 4" xfId="6463" xr:uid="{00000000-0005-0000-0000-00008D180000}"/>
    <cellStyle name="강조색5 40" xfId="6464" xr:uid="{00000000-0005-0000-0000-00008E180000}"/>
    <cellStyle name="강조색5 41" xfId="6465" xr:uid="{00000000-0005-0000-0000-00008F180000}"/>
    <cellStyle name="강조색5 42" xfId="6466" xr:uid="{00000000-0005-0000-0000-000090180000}"/>
    <cellStyle name="강조색5 43" xfId="6467" xr:uid="{00000000-0005-0000-0000-000091180000}"/>
    <cellStyle name="강조색5 44" xfId="6468" xr:uid="{00000000-0005-0000-0000-000092180000}"/>
    <cellStyle name="강조색5 45" xfId="6469" xr:uid="{00000000-0005-0000-0000-000093180000}"/>
    <cellStyle name="강조색5 45 2" xfId="6470" xr:uid="{00000000-0005-0000-0000-000094180000}"/>
    <cellStyle name="강조색5 45 3" xfId="6471" xr:uid="{00000000-0005-0000-0000-000095180000}"/>
    <cellStyle name="강조색5 46" xfId="6472" xr:uid="{00000000-0005-0000-0000-000096180000}"/>
    <cellStyle name="강조색5 47" xfId="6473" xr:uid="{00000000-0005-0000-0000-000097180000}"/>
    <cellStyle name="강조색5 48" xfId="6474" xr:uid="{00000000-0005-0000-0000-000098180000}"/>
    <cellStyle name="강조색5 49" xfId="6475" xr:uid="{00000000-0005-0000-0000-000099180000}"/>
    <cellStyle name="강조색5 5" xfId="6476" xr:uid="{00000000-0005-0000-0000-00009A180000}"/>
    <cellStyle name="강조색5 5 2" xfId="6477" xr:uid="{00000000-0005-0000-0000-00009B180000}"/>
    <cellStyle name="강조색5 5 3" xfId="6478" xr:uid="{00000000-0005-0000-0000-00009C180000}"/>
    <cellStyle name="강조색5 5 4" xfId="6479" xr:uid="{00000000-0005-0000-0000-00009D180000}"/>
    <cellStyle name="강조색5 50" xfId="6480" xr:uid="{00000000-0005-0000-0000-00009E180000}"/>
    <cellStyle name="강조색5 51" xfId="6481" xr:uid="{00000000-0005-0000-0000-00009F180000}"/>
    <cellStyle name="강조색5 52" xfId="6482" xr:uid="{00000000-0005-0000-0000-0000A0180000}"/>
    <cellStyle name="강조색5 53" xfId="6483" xr:uid="{00000000-0005-0000-0000-0000A1180000}"/>
    <cellStyle name="강조색5 54" xfId="6484" xr:uid="{00000000-0005-0000-0000-0000A2180000}"/>
    <cellStyle name="강조색5 55" xfId="6485" xr:uid="{00000000-0005-0000-0000-0000A3180000}"/>
    <cellStyle name="강조색5 6" xfId="6486" xr:uid="{00000000-0005-0000-0000-0000A4180000}"/>
    <cellStyle name="강조색5 6 2" xfId="6487" xr:uid="{00000000-0005-0000-0000-0000A5180000}"/>
    <cellStyle name="강조색5 6 3" xfId="6488" xr:uid="{00000000-0005-0000-0000-0000A6180000}"/>
    <cellStyle name="강조색5 6 4" xfId="6489" xr:uid="{00000000-0005-0000-0000-0000A7180000}"/>
    <cellStyle name="강조색5 7" xfId="6490" xr:uid="{00000000-0005-0000-0000-0000A8180000}"/>
    <cellStyle name="강조색5 7 2" xfId="6491" xr:uid="{00000000-0005-0000-0000-0000A9180000}"/>
    <cellStyle name="강조색5 7 3" xfId="6492" xr:uid="{00000000-0005-0000-0000-0000AA180000}"/>
    <cellStyle name="강조색5 7 4" xfId="6493" xr:uid="{00000000-0005-0000-0000-0000AB180000}"/>
    <cellStyle name="강조색5 8" xfId="6494" xr:uid="{00000000-0005-0000-0000-0000AC180000}"/>
    <cellStyle name="강조색5 9" xfId="6495" xr:uid="{00000000-0005-0000-0000-0000AD180000}"/>
    <cellStyle name="강조색6 10" xfId="6496" xr:uid="{00000000-0005-0000-0000-0000AE180000}"/>
    <cellStyle name="강조색6 11" xfId="6497" xr:uid="{00000000-0005-0000-0000-0000AF180000}"/>
    <cellStyle name="강조색6 12" xfId="6498" xr:uid="{00000000-0005-0000-0000-0000B0180000}"/>
    <cellStyle name="강조색6 13" xfId="6499" xr:uid="{00000000-0005-0000-0000-0000B1180000}"/>
    <cellStyle name="강조색6 14" xfId="6500" xr:uid="{00000000-0005-0000-0000-0000B2180000}"/>
    <cellStyle name="강조색6 14 2" xfId="6501" xr:uid="{00000000-0005-0000-0000-0000B3180000}"/>
    <cellStyle name="강조색6 14 3" xfId="6502" xr:uid="{00000000-0005-0000-0000-0000B4180000}"/>
    <cellStyle name="강조색6 15" xfId="6503" xr:uid="{00000000-0005-0000-0000-0000B5180000}"/>
    <cellStyle name="강조색6 15 2" xfId="6504" xr:uid="{00000000-0005-0000-0000-0000B6180000}"/>
    <cellStyle name="강조색6 15 3" xfId="6505" xr:uid="{00000000-0005-0000-0000-0000B7180000}"/>
    <cellStyle name="강조색6 16" xfId="6506" xr:uid="{00000000-0005-0000-0000-0000B8180000}"/>
    <cellStyle name="강조색6 16 2" xfId="6507" xr:uid="{00000000-0005-0000-0000-0000B9180000}"/>
    <cellStyle name="강조색6 16 3" xfId="6508" xr:uid="{00000000-0005-0000-0000-0000BA180000}"/>
    <cellStyle name="강조색6 17" xfId="6509" xr:uid="{00000000-0005-0000-0000-0000BB180000}"/>
    <cellStyle name="강조색6 17 2" xfId="6510" xr:uid="{00000000-0005-0000-0000-0000BC180000}"/>
    <cellStyle name="강조색6 17 3" xfId="6511" xr:uid="{00000000-0005-0000-0000-0000BD180000}"/>
    <cellStyle name="강조색6 18" xfId="6512" xr:uid="{00000000-0005-0000-0000-0000BE180000}"/>
    <cellStyle name="강조색6 18 2" xfId="6513" xr:uid="{00000000-0005-0000-0000-0000BF180000}"/>
    <cellStyle name="강조색6 18 3" xfId="6514" xr:uid="{00000000-0005-0000-0000-0000C0180000}"/>
    <cellStyle name="강조색6 19" xfId="6515" xr:uid="{00000000-0005-0000-0000-0000C1180000}"/>
    <cellStyle name="강조색6 19 2" xfId="6516" xr:uid="{00000000-0005-0000-0000-0000C2180000}"/>
    <cellStyle name="강조색6 19 3" xfId="6517" xr:uid="{00000000-0005-0000-0000-0000C3180000}"/>
    <cellStyle name="강조색6 2" xfId="6518" xr:uid="{00000000-0005-0000-0000-0000C4180000}"/>
    <cellStyle name="강조색6 2 10" xfId="6519" xr:uid="{00000000-0005-0000-0000-0000C5180000}"/>
    <cellStyle name="강조색6 2 11" xfId="6520" xr:uid="{00000000-0005-0000-0000-0000C6180000}"/>
    <cellStyle name="강조색6 2 12" xfId="6521" xr:uid="{00000000-0005-0000-0000-0000C7180000}"/>
    <cellStyle name="강조색6 2 13" xfId="6522" xr:uid="{00000000-0005-0000-0000-0000C8180000}"/>
    <cellStyle name="강조색6 2 14" xfId="6523" xr:uid="{00000000-0005-0000-0000-0000C9180000}"/>
    <cellStyle name="강조색6 2 15" xfId="6524" xr:uid="{00000000-0005-0000-0000-0000CA180000}"/>
    <cellStyle name="강조색6 2 16" xfId="6525" xr:uid="{00000000-0005-0000-0000-0000CB180000}"/>
    <cellStyle name="강조색6 2 17" xfId="6526" xr:uid="{00000000-0005-0000-0000-0000CC180000}"/>
    <cellStyle name="강조색6 2 18" xfId="6527" xr:uid="{00000000-0005-0000-0000-0000CD180000}"/>
    <cellStyle name="강조색6 2 19" xfId="6528" xr:uid="{00000000-0005-0000-0000-0000CE180000}"/>
    <cellStyle name="강조색6 2 2" xfId="6529" xr:uid="{00000000-0005-0000-0000-0000CF180000}"/>
    <cellStyle name="강조색6 2 20" xfId="6530" xr:uid="{00000000-0005-0000-0000-0000D0180000}"/>
    <cellStyle name="강조색6 2 21" xfId="6531" xr:uid="{00000000-0005-0000-0000-0000D1180000}"/>
    <cellStyle name="강조색6 2 22" xfId="6532" xr:uid="{00000000-0005-0000-0000-0000D2180000}"/>
    <cellStyle name="강조색6 2 23" xfId="6533" xr:uid="{00000000-0005-0000-0000-0000D3180000}"/>
    <cellStyle name="강조색6 2 24" xfId="6534" xr:uid="{00000000-0005-0000-0000-0000D4180000}"/>
    <cellStyle name="강조색6 2 25" xfId="6535" xr:uid="{00000000-0005-0000-0000-0000D5180000}"/>
    <cellStyle name="강조색6 2 26" xfId="6536" xr:uid="{00000000-0005-0000-0000-0000D6180000}"/>
    <cellStyle name="강조색6 2 27" xfId="6537" xr:uid="{00000000-0005-0000-0000-0000D7180000}"/>
    <cellStyle name="강조색6 2 28" xfId="6538" xr:uid="{00000000-0005-0000-0000-0000D8180000}"/>
    <cellStyle name="강조색6 2 29" xfId="6539" xr:uid="{00000000-0005-0000-0000-0000D9180000}"/>
    <cellStyle name="강조색6 2 3" xfId="6540" xr:uid="{00000000-0005-0000-0000-0000DA180000}"/>
    <cellStyle name="강조색6 2 30" xfId="6541" xr:uid="{00000000-0005-0000-0000-0000DB180000}"/>
    <cellStyle name="강조색6 2 31" xfId="6542" xr:uid="{00000000-0005-0000-0000-0000DC180000}"/>
    <cellStyle name="강조색6 2 32" xfId="6543" xr:uid="{00000000-0005-0000-0000-0000DD180000}"/>
    <cellStyle name="강조색6 2 33" xfId="6544" xr:uid="{00000000-0005-0000-0000-0000DE180000}"/>
    <cellStyle name="강조색6 2 34" xfId="6545" xr:uid="{00000000-0005-0000-0000-0000DF180000}"/>
    <cellStyle name="강조색6 2 35" xfId="6546" xr:uid="{00000000-0005-0000-0000-0000E0180000}"/>
    <cellStyle name="강조색6 2 36" xfId="6547" xr:uid="{00000000-0005-0000-0000-0000E1180000}"/>
    <cellStyle name="강조색6 2 37" xfId="6548" xr:uid="{00000000-0005-0000-0000-0000E2180000}"/>
    <cellStyle name="강조색6 2 38" xfId="6549" xr:uid="{00000000-0005-0000-0000-0000E3180000}"/>
    <cellStyle name="강조색6 2 39" xfId="6550" xr:uid="{00000000-0005-0000-0000-0000E4180000}"/>
    <cellStyle name="강조색6 2 4" xfId="6551" xr:uid="{00000000-0005-0000-0000-0000E5180000}"/>
    <cellStyle name="강조색6 2 5" xfId="6552" xr:uid="{00000000-0005-0000-0000-0000E6180000}"/>
    <cellStyle name="강조색6 2 6" xfId="6553" xr:uid="{00000000-0005-0000-0000-0000E7180000}"/>
    <cellStyle name="강조색6 2 7" xfId="6554" xr:uid="{00000000-0005-0000-0000-0000E8180000}"/>
    <cellStyle name="강조색6 2 8" xfId="6555" xr:uid="{00000000-0005-0000-0000-0000E9180000}"/>
    <cellStyle name="강조색6 2 9" xfId="6556" xr:uid="{00000000-0005-0000-0000-0000EA180000}"/>
    <cellStyle name="강조색6 20" xfId="6557" xr:uid="{00000000-0005-0000-0000-0000EB180000}"/>
    <cellStyle name="강조색6 21" xfId="6558" xr:uid="{00000000-0005-0000-0000-0000EC180000}"/>
    <cellStyle name="강조색6 22" xfId="6559" xr:uid="{00000000-0005-0000-0000-0000ED180000}"/>
    <cellStyle name="강조색6 23" xfId="6560" xr:uid="{00000000-0005-0000-0000-0000EE180000}"/>
    <cellStyle name="강조색6 24" xfId="6561" xr:uid="{00000000-0005-0000-0000-0000EF180000}"/>
    <cellStyle name="강조색6 25" xfId="6562" xr:uid="{00000000-0005-0000-0000-0000F0180000}"/>
    <cellStyle name="강조색6 26" xfId="6563" xr:uid="{00000000-0005-0000-0000-0000F1180000}"/>
    <cellStyle name="강조색6 27" xfId="6564" xr:uid="{00000000-0005-0000-0000-0000F2180000}"/>
    <cellStyle name="강조색6 27 2" xfId="6565" xr:uid="{00000000-0005-0000-0000-0000F3180000}"/>
    <cellStyle name="강조색6 28" xfId="6566" xr:uid="{00000000-0005-0000-0000-0000F4180000}"/>
    <cellStyle name="강조색6 29" xfId="6567" xr:uid="{00000000-0005-0000-0000-0000F5180000}"/>
    <cellStyle name="강조색6 3" xfId="6568" xr:uid="{00000000-0005-0000-0000-0000F6180000}"/>
    <cellStyle name="강조색6 3 2" xfId="6569" xr:uid="{00000000-0005-0000-0000-0000F7180000}"/>
    <cellStyle name="강조색6 3 3" xfId="6570" xr:uid="{00000000-0005-0000-0000-0000F8180000}"/>
    <cellStyle name="강조색6 3 4" xfId="6571" xr:uid="{00000000-0005-0000-0000-0000F9180000}"/>
    <cellStyle name="강조색6 30" xfId="6572" xr:uid="{00000000-0005-0000-0000-0000FA180000}"/>
    <cellStyle name="강조색6 31" xfId="6573" xr:uid="{00000000-0005-0000-0000-0000FB180000}"/>
    <cellStyle name="강조색6 32" xfId="6574" xr:uid="{00000000-0005-0000-0000-0000FC180000}"/>
    <cellStyle name="강조색6 33" xfId="6575" xr:uid="{00000000-0005-0000-0000-0000FD180000}"/>
    <cellStyle name="강조색6 34" xfId="6576" xr:uid="{00000000-0005-0000-0000-0000FE180000}"/>
    <cellStyle name="강조색6 35" xfId="6577" xr:uid="{00000000-0005-0000-0000-0000FF180000}"/>
    <cellStyle name="강조색6 36" xfId="6578" xr:uid="{00000000-0005-0000-0000-000000190000}"/>
    <cellStyle name="강조색6 37" xfId="6579" xr:uid="{00000000-0005-0000-0000-000001190000}"/>
    <cellStyle name="강조색6 37 2" xfId="6580" xr:uid="{00000000-0005-0000-0000-000002190000}"/>
    <cellStyle name="강조색6 38" xfId="6581" xr:uid="{00000000-0005-0000-0000-000003190000}"/>
    <cellStyle name="강조색6 39" xfId="6582" xr:uid="{00000000-0005-0000-0000-000004190000}"/>
    <cellStyle name="강조색6 4" xfId="6583" xr:uid="{00000000-0005-0000-0000-000005190000}"/>
    <cellStyle name="강조색6 4 2" xfId="6584" xr:uid="{00000000-0005-0000-0000-000006190000}"/>
    <cellStyle name="강조색6 4 3" xfId="6585" xr:uid="{00000000-0005-0000-0000-000007190000}"/>
    <cellStyle name="강조색6 4 4" xfId="6586" xr:uid="{00000000-0005-0000-0000-000008190000}"/>
    <cellStyle name="강조색6 40" xfId="6587" xr:uid="{00000000-0005-0000-0000-000009190000}"/>
    <cellStyle name="강조색6 41" xfId="6588" xr:uid="{00000000-0005-0000-0000-00000A190000}"/>
    <cellStyle name="강조색6 42" xfId="6589" xr:uid="{00000000-0005-0000-0000-00000B190000}"/>
    <cellStyle name="강조색6 43" xfId="6590" xr:uid="{00000000-0005-0000-0000-00000C190000}"/>
    <cellStyle name="강조색6 44" xfId="6591" xr:uid="{00000000-0005-0000-0000-00000D190000}"/>
    <cellStyle name="강조색6 45" xfId="6592" xr:uid="{00000000-0005-0000-0000-00000E190000}"/>
    <cellStyle name="강조색6 45 2" xfId="6593" xr:uid="{00000000-0005-0000-0000-00000F190000}"/>
    <cellStyle name="강조색6 45 3" xfId="6594" xr:uid="{00000000-0005-0000-0000-000010190000}"/>
    <cellStyle name="강조색6 46" xfId="6595" xr:uid="{00000000-0005-0000-0000-000011190000}"/>
    <cellStyle name="강조색6 47" xfId="6596" xr:uid="{00000000-0005-0000-0000-000012190000}"/>
    <cellStyle name="강조색6 48" xfId="6597" xr:uid="{00000000-0005-0000-0000-000013190000}"/>
    <cellStyle name="강조색6 49" xfId="6598" xr:uid="{00000000-0005-0000-0000-000014190000}"/>
    <cellStyle name="강조색6 5" xfId="6599" xr:uid="{00000000-0005-0000-0000-000015190000}"/>
    <cellStyle name="강조색6 5 2" xfId="6600" xr:uid="{00000000-0005-0000-0000-000016190000}"/>
    <cellStyle name="강조색6 5 3" xfId="6601" xr:uid="{00000000-0005-0000-0000-000017190000}"/>
    <cellStyle name="강조색6 5 4" xfId="6602" xr:uid="{00000000-0005-0000-0000-000018190000}"/>
    <cellStyle name="강조색6 50" xfId="6603" xr:uid="{00000000-0005-0000-0000-000019190000}"/>
    <cellStyle name="강조색6 51" xfId="6604" xr:uid="{00000000-0005-0000-0000-00001A190000}"/>
    <cellStyle name="강조색6 52" xfId="6605" xr:uid="{00000000-0005-0000-0000-00001B190000}"/>
    <cellStyle name="강조색6 53" xfId="6606" xr:uid="{00000000-0005-0000-0000-00001C190000}"/>
    <cellStyle name="강조색6 54" xfId="6607" xr:uid="{00000000-0005-0000-0000-00001D190000}"/>
    <cellStyle name="강조색6 55" xfId="6608" xr:uid="{00000000-0005-0000-0000-00001E190000}"/>
    <cellStyle name="강조색6 6" xfId="6609" xr:uid="{00000000-0005-0000-0000-00001F190000}"/>
    <cellStyle name="강조색6 6 2" xfId="6610" xr:uid="{00000000-0005-0000-0000-000020190000}"/>
    <cellStyle name="강조색6 6 3" xfId="6611" xr:uid="{00000000-0005-0000-0000-000021190000}"/>
    <cellStyle name="강조색6 6 4" xfId="6612" xr:uid="{00000000-0005-0000-0000-000022190000}"/>
    <cellStyle name="강조색6 7" xfId="6613" xr:uid="{00000000-0005-0000-0000-000023190000}"/>
    <cellStyle name="강조색6 7 2" xfId="6614" xr:uid="{00000000-0005-0000-0000-000024190000}"/>
    <cellStyle name="강조색6 7 3" xfId="6615" xr:uid="{00000000-0005-0000-0000-000025190000}"/>
    <cellStyle name="강조색6 7 4" xfId="6616" xr:uid="{00000000-0005-0000-0000-000026190000}"/>
    <cellStyle name="강조색6 8" xfId="6617" xr:uid="{00000000-0005-0000-0000-000027190000}"/>
    <cellStyle name="강조색6 9" xfId="6618" xr:uid="{00000000-0005-0000-0000-000028190000}"/>
    <cellStyle name="견적" xfId="6619" xr:uid="{00000000-0005-0000-0000-000029190000}"/>
    <cellStyle name="결산일" xfId="6620" xr:uid="{00000000-0005-0000-0000-00002A190000}"/>
    <cellStyle name="경고문 10" xfId="6621" xr:uid="{00000000-0005-0000-0000-00002B190000}"/>
    <cellStyle name="경고문 11" xfId="6622" xr:uid="{00000000-0005-0000-0000-00002C190000}"/>
    <cellStyle name="경고문 12" xfId="6623" xr:uid="{00000000-0005-0000-0000-00002D190000}"/>
    <cellStyle name="경고문 13" xfId="6624" xr:uid="{00000000-0005-0000-0000-00002E190000}"/>
    <cellStyle name="경고문 14" xfId="6625" xr:uid="{00000000-0005-0000-0000-00002F190000}"/>
    <cellStyle name="경고문 14 2" xfId="6626" xr:uid="{00000000-0005-0000-0000-000030190000}"/>
    <cellStyle name="경고문 14 3" xfId="6627" xr:uid="{00000000-0005-0000-0000-000031190000}"/>
    <cellStyle name="경고문 15" xfId="6628" xr:uid="{00000000-0005-0000-0000-000032190000}"/>
    <cellStyle name="경고문 15 2" xfId="6629" xr:uid="{00000000-0005-0000-0000-000033190000}"/>
    <cellStyle name="경고문 15 3" xfId="6630" xr:uid="{00000000-0005-0000-0000-000034190000}"/>
    <cellStyle name="경고문 16" xfId="6631" xr:uid="{00000000-0005-0000-0000-000035190000}"/>
    <cellStyle name="경고문 16 2" xfId="6632" xr:uid="{00000000-0005-0000-0000-000036190000}"/>
    <cellStyle name="경고문 16 3" xfId="6633" xr:uid="{00000000-0005-0000-0000-000037190000}"/>
    <cellStyle name="경고문 17" xfId="6634" xr:uid="{00000000-0005-0000-0000-000038190000}"/>
    <cellStyle name="경고문 17 2" xfId="6635" xr:uid="{00000000-0005-0000-0000-000039190000}"/>
    <cellStyle name="경고문 17 3" xfId="6636" xr:uid="{00000000-0005-0000-0000-00003A190000}"/>
    <cellStyle name="경고문 18" xfId="6637" xr:uid="{00000000-0005-0000-0000-00003B190000}"/>
    <cellStyle name="경고문 18 2" xfId="6638" xr:uid="{00000000-0005-0000-0000-00003C190000}"/>
    <cellStyle name="경고문 18 3" xfId="6639" xr:uid="{00000000-0005-0000-0000-00003D190000}"/>
    <cellStyle name="경고문 19" xfId="6640" xr:uid="{00000000-0005-0000-0000-00003E190000}"/>
    <cellStyle name="경고문 19 2" xfId="6641" xr:uid="{00000000-0005-0000-0000-00003F190000}"/>
    <cellStyle name="경고문 19 3" xfId="6642" xr:uid="{00000000-0005-0000-0000-000040190000}"/>
    <cellStyle name="경고문 2" xfId="6643" xr:uid="{00000000-0005-0000-0000-000041190000}"/>
    <cellStyle name="경고문 2 10" xfId="6644" xr:uid="{00000000-0005-0000-0000-000042190000}"/>
    <cellStyle name="경고문 2 11" xfId="6645" xr:uid="{00000000-0005-0000-0000-000043190000}"/>
    <cellStyle name="경고문 2 12" xfId="6646" xr:uid="{00000000-0005-0000-0000-000044190000}"/>
    <cellStyle name="경고문 2 13" xfId="6647" xr:uid="{00000000-0005-0000-0000-000045190000}"/>
    <cellStyle name="경고문 2 14" xfId="6648" xr:uid="{00000000-0005-0000-0000-000046190000}"/>
    <cellStyle name="경고문 2 15" xfId="6649" xr:uid="{00000000-0005-0000-0000-000047190000}"/>
    <cellStyle name="경고문 2 16" xfId="6650" xr:uid="{00000000-0005-0000-0000-000048190000}"/>
    <cellStyle name="경고문 2 17" xfId="6651" xr:uid="{00000000-0005-0000-0000-000049190000}"/>
    <cellStyle name="경고문 2 18" xfId="6652" xr:uid="{00000000-0005-0000-0000-00004A190000}"/>
    <cellStyle name="경고문 2 19" xfId="6653" xr:uid="{00000000-0005-0000-0000-00004B190000}"/>
    <cellStyle name="경고문 2 2" xfId="6654" xr:uid="{00000000-0005-0000-0000-00004C190000}"/>
    <cellStyle name="경고문 2 20" xfId="6655" xr:uid="{00000000-0005-0000-0000-00004D190000}"/>
    <cellStyle name="경고문 2 21" xfId="6656" xr:uid="{00000000-0005-0000-0000-00004E190000}"/>
    <cellStyle name="경고문 2 22" xfId="6657" xr:uid="{00000000-0005-0000-0000-00004F190000}"/>
    <cellStyle name="경고문 2 23" xfId="6658" xr:uid="{00000000-0005-0000-0000-000050190000}"/>
    <cellStyle name="경고문 2 24" xfId="6659" xr:uid="{00000000-0005-0000-0000-000051190000}"/>
    <cellStyle name="경고문 2 25" xfId="6660" xr:uid="{00000000-0005-0000-0000-000052190000}"/>
    <cellStyle name="경고문 2 26" xfId="6661" xr:uid="{00000000-0005-0000-0000-000053190000}"/>
    <cellStyle name="경고문 2 27" xfId="6662" xr:uid="{00000000-0005-0000-0000-000054190000}"/>
    <cellStyle name="경고문 2 28" xfId="6663" xr:uid="{00000000-0005-0000-0000-000055190000}"/>
    <cellStyle name="경고문 2 29" xfId="6664" xr:uid="{00000000-0005-0000-0000-000056190000}"/>
    <cellStyle name="경고문 2 3" xfId="6665" xr:uid="{00000000-0005-0000-0000-000057190000}"/>
    <cellStyle name="경고문 2 30" xfId="6666" xr:uid="{00000000-0005-0000-0000-000058190000}"/>
    <cellStyle name="경고문 2 31" xfId="6667" xr:uid="{00000000-0005-0000-0000-000059190000}"/>
    <cellStyle name="경고문 2 32" xfId="6668" xr:uid="{00000000-0005-0000-0000-00005A190000}"/>
    <cellStyle name="경고문 2 33" xfId="6669" xr:uid="{00000000-0005-0000-0000-00005B190000}"/>
    <cellStyle name="경고문 2 34" xfId="6670" xr:uid="{00000000-0005-0000-0000-00005C190000}"/>
    <cellStyle name="경고문 2 35" xfId="6671" xr:uid="{00000000-0005-0000-0000-00005D190000}"/>
    <cellStyle name="경고문 2 36" xfId="6672" xr:uid="{00000000-0005-0000-0000-00005E190000}"/>
    <cellStyle name="경고문 2 37" xfId="6673" xr:uid="{00000000-0005-0000-0000-00005F190000}"/>
    <cellStyle name="경고문 2 38" xfId="6674" xr:uid="{00000000-0005-0000-0000-000060190000}"/>
    <cellStyle name="경고문 2 39" xfId="6675" xr:uid="{00000000-0005-0000-0000-000061190000}"/>
    <cellStyle name="경고문 2 4" xfId="6676" xr:uid="{00000000-0005-0000-0000-000062190000}"/>
    <cellStyle name="경고문 2 5" xfId="6677" xr:uid="{00000000-0005-0000-0000-000063190000}"/>
    <cellStyle name="경고문 2 6" xfId="6678" xr:uid="{00000000-0005-0000-0000-000064190000}"/>
    <cellStyle name="경고문 2 7" xfId="6679" xr:uid="{00000000-0005-0000-0000-000065190000}"/>
    <cellStyle name="경고문 2 8" xfId="6680" xr:uid="{00000000-0005-0000-0000-000066190000}"/>
    <cellStyle name="경고문 2 9" xfId="6681" xr:uid="{00000000-0005-0000-0000-000067190000}"/>
    <cellStyle name="경고문 20" xfId="6682" xr:uid="{00000000-0005-0000-0000-000068190000}"/>
    <cellStyle name="경고문 21" xfId="6683" xr:uid="{00000000-0005-0000-0000-000069190000}"/>
    <cellStyle name="경고문 22" xfId="6684" xr:uid="{00000000-0005-0000-0000-00006A190000}"/>
    <cellStyle name="경고문 23" xfId="6685" xr:uid="{00000000-0005-0000-0000-00006B190000}"/>
    <cellStyle name="경고문 24" xfId="6686" xr:uid="{00000000-0005-0000-0000-00006C190000}"/>
    <cellStyle name="경고문 25" xfId="6687" xr:uid="{00000000-0005-0000-0000-00006D190000}"/>
    <cellStyle name="경고문 26" xfId="6688" xr:uid="{00000000-0005-0000-0000-00006E190000}"/>
    <cellStyle name="경고문 27" xfId="6689" xr:uid="{00000000-0005-0000-0000-00006F190000}"/>
    <cellStyle name="경고문 27 2" xfId="6690" xr:uid="{00000000-0005-0000-0000-000070190000}"/>
    <cellStyle name="경고문 28" xfId="6691" xr:uid="{00000000-0005-0000-0000-000071190000}"/>
    <cellStyle name="경고문 29" xfId="6692" xr:uid="{00000000-0005-0000-0000-000072190000}"/>
    <cellStyle name="경고문 3" xfId="6693" xr:uid="{00000000-0005-0000-0000-000073190000}"/>
    <cellStyle name="경고문 3 2" xfId="6694" xr:uid="{00000000-0005-0000-0000-000074190000}"/>
    <cellStyle name="경고문 3 3" xfId="6695" xr:uid="{00000000-0005-0000-0000-000075190000}"/>
    <cellStyle name="경고문 3 4" xfId="6696" xr:uid="{00000000-0005-0000-0000-000076190000}"/>
    <cellStyle name="경고문 30" xfId="6697" xr:uid="{00000000-0005-0000-0000-000077190000}"/>
    <cellStyle name="경고문 31" xfId="6698" xr:uid="{00000000-0005-0000-0000-000078190000}"/>
    <cellStyle name="경고문 32" xfId="6699" xr:uid="{00000000-0005-0000-0000-000079190000}"/>
    <cellStyle name="경고문 33" xfId="6700" xr:uid="{00000000-0005-0000-0000-00007A190000}"/>
    <cellStyle name="경고문 34" xfId="6701" xr:uid="{00000000-0005-0000-0000-00007B190000}"/>
    <cellStyle name="경고문 35" xfId="6702" xr:uid="{00000000-0005-0000-0000-00007C190000}"/>
    <cellStyle name="경고문 36" xfId="6703" xr:uid="{00000000-0005-0000-0000-00007D190000}"/>
    <cellStyle name="경고문 37" xfId="6704" xr:uid="{00000000-0005-0000-0000-00007E190000}"/>
    <cellStyle name="경고문 37 2" xfId="6705" xr:uid="{00000000-0005-0000-0000-00007F190000}"/>
    <cellStyle name="경고문 38" xfId="6706" xr:uid="{00000000-0005-0000-0000-000080190000}"/>
    <cellStyle name="경고문 39" xfId="6707" xr:uid="{00000000-0005-0000-0000-000081190000}"/>
    <cellStyle name="경고문 4" xfId="6708" xr:uid="{00000000-0005-0000-0000-000082190000}"/>
    <cellStyle name="경고문 4 2" xfId="6709" xr:uid="{00000000-0005-0000-0000-000083190000}"/>
    <cellStyle name="경고문 4 3" xfId="6710" xr:uid="{00000000-0005-0000-0000-000084190000}"/>
    <cellStyle name="경고문 4 4" xfId="6711" xr:uid="{00000000-0005-0000-0000-000085190000}"/>
    <cellStyle name="경고문 40" xfId="6712" xr:uid="{00000000-0005-0000-0000-000086190000}"/>
    <cellStyle name="경고문 41" xfId="6713" xr:uid="{00000000-0005-0000-0000-000087190000}"/>
    <cellStyle name="경고문 42" xfId="6714" xr:uid="{00000000-0005-0000-0000-000088190000}"/>
    <cellStyle name="경고문 43" xfId="6715" xr:uid="{00000000-0005-0000-0000-000089190000}"/>
    <cellStyle name="경고문 44" xfId="6716" xr:uid="{00000000-0005-0000-0000-00008A190000}"/>
    <cellStyle name="경고문 45" xfId="6717" xr:uid="{00000000-0005-0000-0000-00008B190000}"/>
    <cellStyle name="경고문 45 2" xfId="6718" xr:uid="{00000000-0005-0000-0000-00008C190000}"/>
    <cellStyle name="경고문 45 3" xfId="6719" xr:uid="{00000000-0005-0000-0000-00008D190000}"/>
    <cellStyle name="경고문 46" xfId="6720" xr:uid="{00000000-0005-0000-0000-00008E190000}"/>
    <cellStyle name="경고문 47" xfId="6721" xr:uid="{00000000-0005-0000-0000-00008F190000}"/>
    <cellStyle name="경고문 48" xfId="6722" xr:uid="{00000000-0005-0000-0000-000090190000}"/>
    <cellStyle name="경고문 49" xfId="6723" xr:uid="{00000000-0005-0000-0000-000091190000}"/>
    <cellStyle name="경고문 5" xfId="6724" xr:uid="{00000000-0005-0000-0000-000092190000}"/>
    <cellStyle name="경고문 5 2" xfId="6725" xr:uid="{00000000-0005-0000-0000-000093190000}"/>
    <cellStyle name="경고문 5 3" xfId="6726" xr:uid="{00000000-0005-0000-0000-000094190000}"/>
    <cellStyle name="경고문 5 4" xfId="6727" xr:uid="{00000000-0005-0000-0000-000095190000}"/>
    <cellStyle name="경고문 50" xfId="6728" xr:uid="{00000000-0005-0000-0000-000096190000}"/>
    <cellStyle name="경고문 51" xfId="6729" xr:uid="{00000000-0005-0000-0000-000097190000}"/>
    <cellStyle name="경고문 52" xfId="6730" xr:uid="{00000000-0005-0000-0000-000098190000}"/>
    <cellStyle name="경고문 53" xfId="6731" xr:uid="{00000000-0005-0000-0000-000099190000}"/>
    <cellStyle name="경고문 54" xfId="6732" xr:uid="{00000000-0005-0000-0000-00009A190000}"/>
    <cellStyle name="경고문 55" xfId="6733" xr:uid="{00000000-0005-0000-0000-00009B190000}"/>
    <cellStyle name="경고문 6" xfId="6734" xr:uid="{00000000-0005-0000-0000-00009C190000}"/>
    <cellStyle name="경고문 6 2" xfId="6735" xr:uid="{00000000-0005-0000-0000-00009D190000}"/>
    <cellStyle name="경고문 6 3" xfId="6736" xr:uid="{00000000-0005-0000-0000-00009E190000}"/>
    <cellStyle name="경고문 6 4" xfId="6737" xr:uid="{00000000-0005-0000-0000-00009F190000}"/>
    <cellStyle name="경고문 7" xfId="6738" xr:uid="{00000000-0005-0000-0000-0000A0190000}"/>
    <cellStyle name="경고문 7 2" xfId="6739" xr:uid="{00000000-0005-0000-0000-0000A1190000}"/>
    <cellStyle name="경고문 7 3" xfId="6740" xr:uid="{00000000-0005-0000-0000-0000A2190000}"/>
    <cellStyle name="경고문 7 4" xfId="6741" xr:uid="{00000000-0005-0000-0000-0000A3190000}"/>
    <cellStyle name="경고문 8" xfId="6742" xr:uid="{00000000-0005-0000-0000-0000A4190000}"/>
    <cellStyle name="경고문 9" xfId="6743" xr:uid="{00000000-0005-0000-0000-0000A5190000}"/>
    <cellStyle name="계산 10" xfId="6744" xr:uid="{00000000-0005-0000-0000-0000A6190000}"/>
    <cellStyle name="계산 11" xfId="6745" xr:uid="{00000000-0005-0000-0000-0000A7190000}"/>
    <cellStyle name="계산 12" xfId="6746" xr:uid="{00000000-0005-0000-0000-0000A8190000}"/>
    <cellStyle name="계산 13" xfId="6747" xr:uid="{00000000-0005-0000-0000-0000A9190000}"/>
    <cellStyle name="계산 14" xfId="6748" xr:uid="{00000000-0005-0000-0000-0000AA190000}"/>
    <cellStyle name="계산 14 2" xfId="6749" xr:uid="{00000000-0005-0000-0000-0000AB190000}"/>
    <cellStyle name="계산 14 3" xfId="6750" xr:uid="{00000000-0005-0000-0000-0000AC190000}"/>
    <cellStyle name="계산 15" xfId="6751" xr:uid="{00000000-0005-0000-0000-0000AD190000}"/>
    <cellStyle name="계산 15 2" xfId="6752" xr:uid="{00000000-0005-0000-0000-0000AE190000}"/>
    <cellStyle name="계산 15 3" xfId="6753" xr:uid="{00000000-0005-0000-0000-0000AF190000}"/>
    <cellStyle name="계산 16" xfId="6754" xr:uid="{00000000-0005-0000-0000-0000B0190000}"/>
    <cellStyle name="계산 16 2" xfId="6755" xr:uid="{00000000-0005-0000-0000-0000B1190000}"/>
    <cellStyle name="계산 16 3" xfId="6756" xr:uid="{00000000-0005-0000-0000-0000B2190000}"/>
    <cellStyle name="계산 17" xfId="6757" xr:uid="{00000000-0005-0000-0000-0000B3190000}"/>
    <cellStyle name="계산 17 2" xfId="6758" xr:uid="{00000000-0005-0000-0000-0000B4190000}"/>
    <cellStyle name="계산 17 3" xfId="6759" xr:uid="{00000000-0005-0000-0000-0000B5190000}"/>
    <cellStyle name="계산 18" xfId="6760" xr:uid="{00000000-0005-0000-0000-0000B6190000}"/>
    <cellStyle name="계산 18 2" xfId="6761" xr:uid="{00000000-0005-0000-0000-0000B7190000}"/>
    <cellStyle name="계산 18 3" xfId="6762" xr:uid="{00000000-0005-0000-0000-0000B8190000}"/>
    <cellStyle name="계산 19" xfId="6763" xr:uid="{00000000-0005-0000-0000-0000B9190000}"/>
    <cellStyle name="계산 19 2" xfId="6764" xr:uid="{00000000-0005-0000-0000-0000BA190000}"/>
    <cellStyle name="계산 19 3" xfId="6765" xr:uid="{00000000-0005-0000-0000-0000BB190000}"/>
    <cellStyle name="계산 2" xfId="6766" xr:uid="{00000000-0005-0000-0000-0000BC190000}"/>
    <cellStyle name="계산 2 10" xfId="6767" xr:uid="{00000000-0005-0000-0000-0000BD190000}"/>
    <cellStyle name="계산 2 11" xfId="6768" xr:uid="{00000000-0005-0000-0000-0000BE190000}"/>
    <cellStyle name="계산 2 12" xfId="6769" xr:uid="{00000000-0005-0000-0000-0000BF190000}"/>
    <cellStyle name="계산 2 13" xfId="6770" xr:uid="{00000000-0005-0000-0000-0000C0190000}"/>
    <cellStyle name="계산 2 14" xfId="6771" xr:uid="{00000000-0005-0000-0000-0000C1190000}"/>
    <cellStyle name="계산 2 15" xfId="6772" xr:uid="{00000000-0005-0000-0000-0000C2190000}"/>
    <cellStyle name="계산 2 16" xfId="6773" xr:uid="{00000000-0005-0000-0000-0000C3190000}"/>
    <cellStyle name="계산 2 17" xfId="6774" xr:uid="{00000000-0005-0000-0000-0000C4190000}"/>
    <cellStyle name="계산 2 18" xfId="6775" xr:uid="{00000000-0005-0000-0000-0000C5190000}"/>
    <cellStyle name="계산 2 19" xfId="6776" xr:uid="{00000000-0005-0000-0000-0000C6190000}"/>
    <cellStyle name="계산 2 2" xfId="6777" xr:uid="{00000000-0005-0000-0000-0000C7190000}"/>
    <cellStyle name="계산 2 20" xfId="6778" xr:uid="{00000000-0005-0000-0000-0000C8190000}"/>
    <cellStyle name="계산 2 21" xfId="6779" xr:uid="{00000000-0005-0000-0000-0000C9190000}"/>
    <cellStyle name="계산 2 22" xfId="6780" xr:uid="{00000000-0005-0000-0000-0000CA190000}"/>
    <cellStyle name="계산 2 23" xfId="6781" xr:uid="{00000000-0005-0000-0000-0000CB190000}"/>
    <cellStyle name="계산 2 24" xfId="6782" xr:uid="{00000000-0005-0000-0000-0000CC190000}"/>
    <cellStyle name="계산 2 25" xfId="6783" xr:uid="{00000000-0005-0000-0000-0000CD190000}"/>
    <cellStyle name="계산 2 26" xfId="6784" xr:uid="{00000000-0005-0000-0000-0000CE190000}"/>
    <cellStyle name="계산 2 27" xfId="6785" xr:uid="{00000000-0005-0000-0000-0000CF190000}"/>
    <cellStyle name="계산 2 28" xfId="6786" xr:uid="{00000000-0005-0000-0000-0000D0190000}"/>
    <cellStyle name="계산 2 29" xfId="6787" xr:uid="{00000000-0005-0000-0000-0000D1190000}"/>
    <cellStyle name="계산 2 3" xfId="6788" xr:uid="{00000000-0005-0000-0000-0000D2190000}"/>
    <cellStyle name="계산 2 30" xfId="6789" xr:uid="{00000000-0005-0000-0000-0000D3190000}"/>
    <cellStyle name="계산 2 31" xfId="6790" xr:uid="{00000000-0005-0000-0000-0000D4190000}"/>
    <cellStyle name="계산 2 32" xfId="6791" xr:uid="{00000000-0005-0000-0000-0000D5190000}"/>
    <cellStyle name="계산 2 33" xfId="6792" xr:uid="{00000000-0005-0000-0000-0000D6190000}"/>
    <cellStyle name="계산 2 34" xfId="6793" xr:uid="{00000000-0005-0000-0000-0000D7190000}"/>
    <cellStyle name="계산 2 35" xfId="6794" xr:uid="{00000000-0005-0000-0000-0000D8190000}"/>
    <cellStyle name="계산 2 36" xfId="6795" xr:uid="{00000000-0005-0000-0000-0000D9190000}"/>
    <cellStyle name="계산 2 37" xfId="6796" xr:uid="{00000000-0005-0000-0000-0000DA190000}"/>
    <cellStyle name="계산 2 38" xfId="6797" xr:uid="{00000000-0005-0000-0000-0000DB190000}"/>
    <cellStyle name="계산 2 39" xfId="6798" xr:uid="{00000000-0005-0000-0000-0000DC190000}"/>
    <cellStyle name="계산 2 4" xfId="6799" xr:uid="{00000000-0005-0000-0000-0000DD190000}"/>
    <cellStyle name="계산 2 5" xfId="6800" xr:uid="{00000000-0005-0000-0000-0000DE190000}"/>
    <cellStyle name="계산 2 6" xfId="6801" xr:uid="{00000000-0005-0000-0000-0000DF190000}"/>
    <cellStyle name="계산 2 7" xfId="6802" xr:uid="{00000000-0005-0000-0000-0000E0190000}"/>
    <cellStyle name="계산 2 8" xfId="6803" xr:uid="{00000000-0005-0000-0000-0000E1190000}"/>
    <cellStyle name="계산 2 9" xfId="6804" xr:uid="{00000000-0005-0000-0000-0000E2190000}"/>
    <cellStyle name="계산 20" xfId="6805" xr:uid="{00000000-0005-0000-0000-0000E3190000}"/>
    <cellStyle name="계산 21" xfId="6806" xr:uid="{00000000-0005-0000-0000-0000E4190000}"/>
    <cellStyle name="계산 22" xfId="6807" xr:uid="{00000000-0005-0000-0000-0000E5190000}"/>
    <cellStyle name="계산 23" xfId="6808" xr:uid="{00000000-0005-0000-0000-0000E6190000}"/>
    <cellStyle name="계산 24" xfId="6809" xr:uid="{00000000-0005-0000-0000-0000E7190000}"/>
    <cellStyle name="계산 25" xfId="6810" xr:uid="{00000000-0005-0000-0000-0000E8190000}"/>
    <cellStyle name="계산 26" xfId="6811" xr:uid="{00000000-0005-0000-0000-0000E9190000}"/>
    <cellStyle name="계산 27" xfId="6812" xr:uid="{00000000-0005-0000-0000-0000EA190000}"/>
    <cellStyle name="계산 27 2" xfId="6813" xr:uid="{00000000-0005-0000-0000-0000EB190000}"/>
    <cellStyle name="계산 28" xfId="6814" xr:uid="{00000000-0005-0000-0000-0000EC190000}"/>
    <cellStyle name="계산 29" xfId="6815" xr:uid="{00000000-0005-0000-0000-0000ED190000}"/>
    <cellStyle name="계산 3" xfId="6816" xr:uid="{00000000-0005-0000-0000-0000EE190000}"/>
    <cellStyle name="계산 3 2" xfId="6817" xr:uid="{00000000-0005-0000-0000-0000EF190000}"/>
    <cellStyle name="계산 3 3" xfId="6818" xr:uid="{00000000-0005-0000-0000-0000F0190000}"/>
    <cellStyle name="계산 3 4" xfId="6819" xr:uid="{00000000-0005-0000-0000-0000F1190000}"/>
    <cellStyle name="계산 30" xfId="6820" xr:uid="{00000000-0005-0000-0000-0000F2190000}"/>
    <cellStyle name="계산 31" xfId="6821" xr:uid="{00000000-0005-0000-0000-0000F3190000}"/>
    <cellStyle name="계산 32" xfId="6822" xr:uid="{00000000-0005-0000-0000-0000F4190000}"/>
    <cellStyle name="계산 33" xfId="6823" xr:uid="{00000000-0005-0000-0000-0000F5190000}"/>
    <cellStyle name="계산 34" xfId="6824" xr:uid="{00000000-0005-0000-0000-0000F6190000}"/>
    <cellStyle name="계산 35" xfId="6825" xr:uid="{00000000-0005-0000-0000-0000F7190000}"/>
    <cellStyle name="계산 36" xfId="6826" xr:uid="{00000000-0005-0000-0000-0000F8190000}"/>
    <cellStyle name="계산 37" xfId="6827" xr:uid="{00000000-0005-0000-0000-0000F9190000}"/>
    <cellStyle name="계산 37 2" xfId="6828" xr:uid="{00000000-0005-0000-0000-0000FA190000}"/>
    <cellStyle name="계산 38" xfId="6829" xr:uid="{00000000-0005-0000-0000-0000FB190000}"/>
    <cellStyle name="계산 39" xfId="6830" xr:uid="{00000000-0005-0000-0000-0000FC190000}"/>
    <cellStyle name="계산 4" xfId="6831" xr:uid="{00000000-0005-0000-0000-0000FD190000}"/>
    <cellStyle name="계산 4 2" xfId="6832" xr:uid="{00000000-0005-0000-0000-0000FE190000}"/>
    <cellStyle name="계산 4 3" xfId="6833" xr:uid="{00000000-0005-0000-0000-0000FF190000}"/>
    <cellStyle name="계산 4 4" xfId="6834" xr:uid="{00000000-0005-0000-0000-0000001A0000}"/>
    <cellStyle name="계산 40" xfId="6835" xr:uid="{00000000-0005-0000-0000-0000011A0000}"/>
    <cellStyle name="계산 41" xfId="6836" xr:uid="{00000000-0005-0000-0000-0000021A0000}"/>
    <cellStyle name="계산 42" xfId="6837" xr:uid="{00000000-0005-0000-0000-0000031A0000}"/>
    <cellStyle name="계산 43" xfId="6838" xr:uid="{00000000-0005-0000-0000-0000041A0000}"/>
    <cellStyle name="계산 44" xfId="6839" xr:uid="{00000000-0005-0000-0000-0000051A0000}"/>
    <cellStyle name="계산 45" xfId="6840" xr:uid="{00000000-0005-0000-0000-0000061A0000}"/>
    <cellStyle name="계산 45 2" xfId="6841" xr:uid="{00000000-0005-0000-0000-0000071A0000}"/>
    <cellStyle name="계산 45 3" xfId="6842" xr:uid="{00000000-0005-0000-0000-0000081A0000}"/>
    <cellStyle name="계산 46" xfId="6843" xr:uid="{00000000-0005-0000-0000-0000091A0000}"/>
    <cellStyle name="계산 47" xfId="6844" xr:uid="{00000000-0005-0000-0000-00000A1A0000}"/>
    <cellStyle name="계산 48" xfId="6845" xr:uid="{00000000-0005-0000-0000-00000B1A0000}"/>
    <cellStyle name="계산 49" xfId="6846" xr:uid="{00000000-0005-0000-0000-00000C1A0000}"/>
    <cellStyle name="계산 5" xfId="6847" xr:uid="{00000000-0005-0000-0000-00000D1A0000}"/>
    <cellStyle name="계산 5 2" xfId="6848" xr:uid="{00000000-0005-0000-0000-00000E1A0000}"/>
    <cellStyle name="계산 5 3" xfId="6849" xr:uid="{00000000-0005-0000-0000-00000F1A0000}"/>
    <cellStyle name="계산 5 4" xfId="6850" xr:uid="{00000000-0005-0000-0000-0000101A0000}"/>
    <cellStyle name="계산 50" xfId="6851" xr:uid="{00000000-0005-0000-0000-0000111A0000}"/>
    <cellStyle name="계산 51" xfId="6852" xr:uid="{00000000-0005-0000-0000-0000121A0000}"/>
    <cellStyle name="계산 52" xfId="6853" xr:uid="{00000000-0005-0000-0000-0000131A0000}"/>
    <cellStyle name="계산 53" xfId="6854" xr:uid="{00000000-0005-0000-0000-0000141A0000}"/>
    <cellStyle name="계산 54" xfId="6855" xr:uid="{00000000-0005-0000-0000-0000151A0000}"/>
    <cellStyle name="계산 55" xfId="6856" xr:uid="{00000000-0005-0000-0000-0000161A0000}"/>
    <cellStyle name="계산 6" xfId="6857" xr:uid="{00000000-0005-0000-0000-0000171A0000}"/>
    <cellStyle name="계산 6 2" xfId="6858" xr:uid="{00000000-0005-0000-0000-0000181A0000}"/>
    <cellStyle name="계산 6 3" xfId="6859" xr:uid="{00000000-0005-0000-0000-0000191A0000}"/>
    <cellStyle name="계산 6 4" xfId="6860" xr:uid="{00000000-0005-0000-0000-00001A1A0000}"/>
    <cellStyle name="계산 7" xfId="6861" xr:uid="{00000000-0005-0000-0000-00001B1A0000}"/>
    <cellStyle name="계산 7 2" xfId="6862" xr:uid="{00000000-0005-0000-0000-00001C1A0000}"/>
    <cellStyle name="계산 7 3" xfId="6863" xr:uid="{00000000-0005-0000-0000-00001D1A0000}"/>
    <cellStyle name="계산 7 4" xfId="6864" xr:uid="{00000000-0005-0000-0000-00001E1A0000}"/>
    <cellStyle name="계산 8" xfId="6865" xr:uid="{00000000-0005-0000-0000-00001F1A0000}"/>
    <cellStyle name="계산 9" xfId="6866" xr:uid="{00000000-0005-0000-0000-0000201A0000}"/>
    <cellStyle name="계정과목" xfId="6867" xr:uid="{00000000-0005-0000-0000-0000211A0000}"/>
    <cellStyle name="고정소숫점" xfId="6868" xr:uid="{00000000-0005-0000-0000-0000221A0000}"/>
    <cellStyle name="고정소숫점 2" xfId="6869" xr:uid="{00000000-0005-0000-0000-0000231A0000}"/>
    <cellStyle name="고정출력1" xfId="6870" xr:uid="{00000000-0005-0000-0000-0000241A0000}"/>
    <cellStyle name="고정출력1 2" xfId="6871" xr:uid="{00000000-0005-0000-0000-0000251A0000}"/>
    <cellStyle name="고정출력2" xfId="6872" xr:uid="{00000000-0005-0000-0000-0000261A0000}"/>
    <cellStyle name="고정출력2 2" xfId="6873" xr:uid="{00000000-0005-0000-0000-0000271A0000}"/>
    <cellStyle name="과립" xfId="6874" xr:uid="{00000000-0005-0000-0000-0000281A0000}"/>
    <cellStyle name="괄호금액" xfId="6875" xr:uid="{00000000-0005-0000-0000-0000291A0000}"/>
    <cellStyle name="咬訌裝?INCOM1" xfId="6876" xr:uid="{00000000-0005-0000-0000-00002A1A0000}"/>
    <cellStyle name="咬訌裝?INCOM10" xfId="6877" xr:uid="{00000000-0005-0000-0000-00002B1A0000}"/>
    <cellStyle name="咬訌裝?INCOM2" xfId="6878" xr:uid="{00000000-0005-0000-0000-00002C1A0000}"/>
    <cellStyle name="咬訌裝?INCOM3" xfId="6879" xr:uid="{00000000-0005-0000-0000-00002D1A0000}"/>
    <cellStyle name="咬訌裝?INCOM4" xfId="6880" xr:uid="{00000000-0005-0000-0000-00002E1A0000}"/>
    <cellStyle name="咬訌裝?INCOM5" xfId="6881" xr:uid="{00000000-0005-0000-0000-00002F1A0000}"/>
    <cellStyle name="咬訌裝?INCOM6" xfId="6882" xr:uid="{00000000-0005-0000-0000-0000301A0000}"/>
    <cellStyle name="咬訌裝?INCOM7" xfId="6883" xr:uid="{00000000-0005-0000-0000-0000311A0000}"/>
    <cellStyle name="咬訌裝?INCOM8" xfId="6884" xr:uid="{00000000-0005-0000-0000-0000321A0000}"/>
    <cellStyle name="咬訌裝?INCOM9" xfId="6885" xr:uid="{00000000-0005-0000-0000-0000331A0000}"/>
    <cellStyle name="咬訌裝?PRIB11" xfId="6886" xr:uid="{00000000-0005-0000-0000-0000341A0000}"/>
    <cellStyle name="咬訌裝?report-2 " xfId="6887" xr:uid="{00000000-0005-0000-0000-0000351A0000}"/>
    <cellStyle name="굴림체" xfId="6888" xr:uid="{00000000-0005-0000-0000-0000361A0000}"/>
    <cellStyle name="금액" xfId="6889" xr:uid="{00000000-0005-0000-0000-0000371A0000}"/>
    <cellStyle name="금액 2" xfId="6890" xr:uid="{00000000-0005-0000-0000-0000381A0000}"/>
    <cellStyle name="긪귽긬?깏깛긏" xfId="6891" xr:uid="{00000000-0005-0000-0000-0000391A0000}"/>
    <cellStyle name="기계" xfId="6892" xr:uid="{00000000-0005-0000-0000-00003A1A0000}"/>
    <cellStyle name="기본" xfId="6893" xr:uid="{00000000-0005-0000-0000-00003B1A0000}"/>
    <cellStyle name="기본 2" xfId="6894" xr:uid="{00000000-0005-0000-0000-00003C1A0000}"/>
    <cellStyle name="김" xfId="6895" xr:uid="{00000000-0005-0000-0000-00003D1A0000}"/>
    <cellStyle name="김_성진네텍04반기-yoo" xfId="6896" xr:uid="{00000000-0005-0000-0000-00003E1A0000}"/>
    <cellStyle name="김_주식매입선택권" xfId="6897" xr:uid="{00000000-0005-0000-0000-00003F1A0000}"/>
    <cellStyle name="나쁨 10" xfId="6898" xr:uid="{00000000-0005-0000-0000-0000401A0000}"/>
    <cellStyle name="나쁨 11" xfId="6899" xr:uid="{00000000-0005-0000-0000-0000411A0000}"/>
    <cellStyle name="나쁨 12" xfId="6900" xr:uid="{00000000-0005-0000-0000-0000421A0000}"/>
    <cellStyle name="나쁨 13" xfId="6901" xr:uid="{00000000-0005-0000-0000-0000431A0000}"/>
    <cellStyle name="나쁨 14" xfId="6902" xr:uid="{00000000-0005-0000-0000-0000441A0000}"/>
    <cellStyle name="나쁨 14 2" xfId="6903" xr:uid="{00000000-0005-0000-0000-0000451A0000}"/>
    <cellStyle name="나쁨 14 3" xfId="6904" xr:uid="{00000000-0005-0000-0000-0000461A0000}"/>
    <cellStyle name="나쁨 15" xfId="6905" xr:uid="{00000000-0005-0000-0000-0000471A0000}"/>
    <cellStyle name="나쁨 15 2" xfId="6906" xr:uid="{00000000-0005-0000-0000-0000481A0000}"/>
    <cellStyle name="나쁨 15 3" xfId="6907" xr:uid="{00000000-0005-0000-0000-0000491A0000}"/>
    <cellStyle name="나쁨 16" xfId="6908" xr:uid="{00000000-0005-0000-0000-00004A1A0000}"/>
    <cellStyle name="나쁨 16 2" xfId="6909" xr:uid="{00000000-0005-0000-0000-00004B1A0000}"/>
    <cellStyle name="나쁨 16 3" xfId="6910" xr:uid="{00000000-0005-0000-0000-00004C1A0000}"/>
    <cellStyle name="나쁨 17" xfId="6911" xr:uid="{00000000-0005-0000-0000-00004D1A0000}"/>
    <cellStyle name="나쁨 17 2" xfId="6912" xr:uid="{00000000-0005-0000-0000-00004E1A0000}"/>
    <cellStyle name="나쁨 17 3" xfId="6913" xr:uid="{00000000-0005-0000-0000-00004F1A0000}"/>
    <cellStyle name="나쁨 18" xfId="6914" xr:uid="{00000000-0005-0000-0000-0000501A0000}"/>
    <cellStyle name="나쁨 18 2" xfId="6915" xr:uid="{00000000-0005-0000-0000-0000511A0000}"/>
    <cellStyle name="나쁨 18 3" xfId="6916" xr:uid="{00000000-0005-0000-0000-0000521A0000}"/>
    <cellStyle name="나쁨 19" xfId="6917" xr:uid="{00000000-0005-0000-0000-0000531A0000}"/>
    <cellStyle name="나쁨 19 2" xfId="6918" xr:uid="{00000000-0005-0000-0000-0000541A0000}"/>
    <cellStyle name="나쁨 19 3" xfId="6919" xr:uid="{00000000-0005-0000-0000-0000551A0000}"/>
    <cellStyle name="나쁨 2" xfId="6920" xr:uid="{00000000-0005-0000-0000-0000561A0000}"/>
    <cellStyle name="나쁨 2 10" xfId="6921" xr:uid="{00000000-0005-0000-0000-0000571A0000}"/>
    <cellStyle name="나쁨 2 11" xfId="6922" xr:uid="{00000000-0005-0000-0000-0000581A0000}"/>
    <cellStyle name="나쁨 2 12" xfId="6923" xr:uid="{00000000-0005-0000-0000-0000591A0000}"/>
    <cellStyle name="나쁨 2 13" xfId="6924" xr:uid="{00000000-0005-0000-0000-00005A1A0000}"/>
    <cellStyle name="나쁨 2 14" xfId="6925" xr:uid="{00000000-0005-0000-0000-00005B1A0000}"/>
    <cellStyle name="나쁨 2 15" xfId="6926" xr:uid="{00000000-0005-0000-0000-00005C1A0000}"/>
    <cellStyle name="나쁨 2 16" xfId="6927" xr:uid="{00000000-0005-0000-0000-00005D1A0000}"/>
    <cellStyle name="나쁨 2 17" xfId="6928" xr:uid="{00000000-0005-0000-0000-00005E1A0000}"/>
    <cellStyle name="나쁨 2 18" xfId="6929" xr:uid="{00000000-0005-0000-0000-00005F1A0000}"/>
    <cellStyle name="나쁨 2 19" xfId="6930" xr:uid="{00000000-0005-0000-0000-0000601A0000}"/>
    <cellStyle name="나쁨 2 2" xfId="6931" xr:uid="{00000000-0005-0000-0000-0000611A0000}"/>
    <cellStyle name="나쁨 2 20" xfId="6932" xr:uid="{00000000-0005-0000-0000-0000621A0000}"/>
    <cellStyle name="나쁨 2 21" xfId="6933" xr:uid="{00000000-0005-0000-0000-0000631A0000}"/>
    <cellStyle name="나쁨 2 22" xfId="6934" xr:uid="{00000000-0005-0000-0000-0000641A0000}"/>
    <cellStyle name="나쁨 2 23" xfId="6935" xr:uid="{00000000-0005-0000-0000-0000651A0000}"/>
    <cellStyle name="나쁨 2 24" xfId="6936" xr:uid="{00000000-0005-0000-0000-0000661A0000}"/>
    <cellStyle name="나쁨 2 25" xfId="6937" xr:uid="{00000000-0005-0000-0000-0000671A0000}"/>
    <cellStyle name="나쁨 2 26" xfId="6938" xr:uid="{00000000-0005-0000-0000-0000681A0000}"/>
    <cellStyle name="나쁨 2 27" xfId="6939" xr:uid="{00000000-0005-0000-0000-0000691A0000}"/>
    <cellStyle name="나쁨 2 28" xfId="6940" xr:uid="{00000000-0005-0000-0000-00006A1A0000}"/>
    <cellStyle name="나쁨 2 29" xfId="6941" xr:uid="{00000000-0005-0000-0000-00006B1A0000}"/>
    <cellStyle name="나쁨 2 3" xfId="6942" xr:uid="{00000000-0005-0000-0000-00006C1A0000}"/>
    <cellStyle name="나쁨 2 30" xfId="6943" xr:uid="{00000000-0005-0000-0000-00006D1A0000}"/>
    <cellStyle name="나쁨 2 31" xfId="6944" xr:uid="{00000000-0005-0000-0000-00006E1A0000}"/>
    <cellStyle name="나쁨 2 32" xfId="6945" xr:uid="{00000000-0005-0000-0000-00006F1A0000}"/>
    <cellStyle name="나쁨 2 33" xfId="6946" xr:uid="{00000000-0005-0000-0000-0000701A0000}"/>
    <cellStyle name="나쁨 2 34" xfId="6947" xr:uid="{00000000-0005-0000-0000-0000711A0000}"/>
    <cellStyle name="나쁨 2 35" xfId="6948" xr:uid="{00000000-0005-0000-0000-0000721A0000}"/>
    <cellStyle name="나쁨 2 36" xfId="6949" xr:uid="{00000000-0005-0000-0000-0000731A0000}"/>
    <cellStyle name="나쁨 2 37" xfId="6950" xr:uid="{00000000-0005-0000-0000-0000741A0000}"/>
    <cellStyle name="나쁨 2 38" xfId="6951" xr:uid="{00000000-0005-0000-0000-0000751A0000}"/>
    <cellStyle name="나쁨 2 39" xfId="6952" xr:uid="{00000000-0005-0000-0000-0000761A0000}"/>
    <cellStyle name="나쁨 2 4" xfId="6953" xr:uid="{00000000-0005-0000-0000-0000771A0000}"/>
    <cellStyle name="나쁨 2 5" xfId="6954" xr:uid="{00000000-0005-0000-0000-0000781A0000}"/>
    <cellStyle name="나쁨 2 6" xfId="6955" xr:uid="{00000000-0005-0000-0000-0000791A0000}"/>
    <cellStyle name="나쁨 2 7" xfId="6956" xr:uid="{00000000-0005-0000-0000-00007A1A0000}"/>
    <cellStyle name="나쁨 2 8" xfId="6957" xr:uid="{00000000-0005-0000-0000-00007B1A0000}"/>
    <cellStyle name="나쁨 2 9" xfId="6958" xr:uid="{00000000-0005-0000-0000-00007C1A0000}"/>
    <cellStyle name="나쁨 20" xfId="6959" xr:uid="{00000000-0005-0000-0000-00007D1A0000}"/>
    <cellStyle name="나쁨 21" xfId="6960" xr:uid="{00000000-0005-0000-0000-00007E1A0000}"/>
    <cellStyle name="나쁨 22" xfId="6961" xr:uid="{00000000-0005-0000-0000-00007F1A0000}"/>
    <cellStyle name="나쁨 23" xfId="6962" xr:uid="{00000000-0005-0000-0000-0000801A0000}"/>
    <cellStyle name="나쁨 24" xfId="6963" xr:uid="{00000000-0005-0000-0000-0000811A0000}"/>
    <cellStyle name="나쁨 25" xfId="6964" xr:uid="{00000000-0005-0000-0000-0000821A0000}"/>
    <cellStyle name="나쁨 26" xfId="6965" xr:uid="{00000000-0005-0000-0000-0000831A0000}"/>
    <cellStyle name="나쁨 27" xfId="6966" xr:uid="{00000000-0005-0000-0000-0000841A0000}"/>
    <cellStyle name="나쁨 27 2" xfId="6967" xr:uid="{00000000-0005-0000-0000-0000851A0000}"/>
    <cellStyle name="나쁨 28" xfId="6968" xr:uid="{00000000-0005-0000-0000-0000861A0000}"/>
    <cellStyle name="나쁨 29" xfId="6969" xr:uid="{00000000-0005-0000-0000-0000871A0000}"/>
    <cellStyle name="나쁨 3" xfId="6970" xr:uid="{00000000-0005-0000-0000-0000881A0000}"/>
    <cellStyle name="나쁨 3 2" xfId="6971" xr:uid="{00000000-0005-0000-0000-0000891A0000}"/>
    <cellStyle name="나쁨 3 3" xfId="6972" xr:uid="{00000000-0005-0000-0000-00008A1A0000}"/>
    <cellStyle name="나쁨 3 4" xfId="6973" xr:uid="{00000000-0005-0000-0000-00008B1A0000}"/>
    <cellStyle name="나쁨 30" xfId="6974" xr:uid="{00000000-0005-0000-0000-00008C1A0000}"/>
    <cellStyle name="나쁨 31" xfId="6975" xr:uid="{00000000-0005-0000-0000-00008D1A0000}"/>
    <cellStyle name="나쁨 32" xfId="6976" xr:uid="{00000000-0005-0000-0000-00008E1A0000}"/>
    <cellStyle name="나쁨 33" xfId="6977" xr:uid="{00000000-0005-0000-0000-00008F1A0000}"/>
    <cellStyle name="나쁨 34" xfId="6978" xr:uid="{00000000-0005-0000-0000-0000901A0000}"/>
    <cellStyle name="나쁨 35" xfId="6979" xr:uid="{00000000-0005-0000-0000-0000911A0000}"/>
    <cellStyle name="나쁨 36" xfId="6980" xr:uid="{00000000-0005-0000-0000-0000921A0000}"/>
    <cellStyle name="나쁨 37" xfId="6981" xr:uid="{00000000-0005-0000-0000-0000931A0000}"/>
    <cellStyle name="나쁨 37 2" xfId="6982" xr:uid="{00000000-0005-0000-0000-0000941A0000}"/>
    <cellStyle name="나쁨 38" xfId="6983" xr:uid="{00000000-0005-0000-0000-0000951A0000}"/>
    <cellStyle name="나쁨 39" xfId="6984" xr:uid="{00000000-0005-0000-0000-0000961A0000}"/>
    <cellStyle name="나쁨 4" xfId="6985" xr:uid="{00000000-0005-0000-0000-0000971A0000}"/>
    <cellStyle name="나쁨 4 2" xfId="6986" xr:uid="{00000000-0005-0000-0000-0000981A0000}"/>
    <cellStyle name="나쁨 4 3" xfId="6987" xr:uid="{00000000-0005-0000-0000-0000991A0000}"/>
    <cellStyle name="나쁨 4 4" xfId="6988" xr:uid="{00000000-0005-0000-0000-00009A1A0000}"/>
    <cellStyle name="나쁨 40" xfId="6989" xr:uid="{00000000-0005-0000-0000-00009B1A0000}"/>
    <cellStyle name="나쁨 41" xfId="6990" xr:uid="{00000000-0005-0000-0000-00009C1A0000}"/>
    <cellStyle name="나쁨 42" xfId="6991" xr:uid="{00000000-0005-0000-0000-00009D1A0000}"/>
    <cellStyle name="나쁨 43" xfId="6992" xr:uid="{00000000-0005-0000-0000-00009E1A0000}"/>
    <cellStyle name="나쁨 44" xfId="6993" xr:uid="{00000000-0005-0000-0000-00009F1A0000}"/>
    <cellStyle name="나쁨 45" xfId="6994" xr:uid="{00000000-0005-0000-0000-0000A01A0000}"/>
    <cellStyle name="나쁨 45 2" xfId="6995" xr:uid="{00000000-0005-0000-0000-0000A11A0000}"/>
    <cellStyle name="나쁨 45 3" xfId="6996" xr:uid="{00000000-0005-0000-0000-0000A21A0000}"/>
    <cellStyle name="나쁨 46" xfId="6997" xr:uid="{00000000-0005-0000-0000-0000A31A0000}"/>
    <cellStyle name="나쁨 47" xfId="6998" xr:uid="{00000000-0005-0000-0000-0000A41A0000}"/>
    <cellStyle name="나쁨 48" xfId="6999" xr:uid="{00000000-0005-0000-0000-0000A51A0000}"/>
    <cellStyle name="나쁨 49" xfId="7000" xr:uid="{00000000-0005-0000-0000-0000A61A0000}"/>
    <cellStyle name="나쁨 5" xfId="7001" xr:uid="{00000000-0005-0000-0000-0000A71A0000}"/>
    <cellStyle name="나쁨 5 2" xfId="7002" xr:uid="{00000000-0005-0000-0000-0000A81A0000}"/>
    <cellStyle name="나쁨 5 3" xfId="7003" xr:uid="{00000000-0005-0000-0000-0000A91A0000}"/>
    <cellStyle name="나쁨 5 4" xfId="7004" xr:uid="{00000000-0005-0000-0000-0000AA1A0000}"/>
    <cellStyle name="나쁨 50" xfId="7005" xr:uid="{00000000-0005-0000-0000-0000AB1A0000}"/>
    <cellStyle name="나쁨 51" xfId="7006" xr:uid="{00000000-0005-0000-0000-0000AC1A0000}"/>
    <cellStyle name="나쁨 52" xfId="7007" xr:uid="{00000000-0005-0000-0000-0000AD1A0000}"/>
    <cellStyle name="나쁨 53" xfId="7008" xr:uid="{00000000-0005-0000-0000-0000AE1A0000}"/>
    <cellStyle name="나쁨 54" xfId="7009" xr:uid="{00000000-0005-0000-0000-0000AF1A0000}"/>
    <cellStyle name="나쁨 55" xfId="7010" xr:uid="{00000000-0005-0000-0000-0000B01A0000}"/>
    <cellStyle name="나쁨 6" xfId="7011" xr:uid="{00000000-0005-0000-0000-0000B11A0000}"/>
    <cellStyle name="나쁨 6 2" xfId="7012" xr:uid="{00000000-0005-0000-0000-0000B21A0000}"/>
    <cellStyle name="나쁨 6 3" xfId="7013" xr:uid="{00000000-0005-0000-0000-0000B31A0000}"/>
    <cellStyle name="나쁨 6 4" xfId="7014" xr:uid="{00000000-0005-0000-0000-0000B41A0000}"/>
    <cellStyle name="나쁨 7" xfId="7015" xr:uid="{00000000-0005-0000-0000-0000B51A0000}"/>
    <cellStyle name="나쁨 7 2" xfId="7016" xr:uid="{00000000-0005-0000-0000-0000B61A0000}"/>
    <cellStyle name="나쁨 7 3" xfId="7017" xr:uid="{00000000-0005-0000-0000-0000B71A0000}"/>
    <cellStyle name="나쁨 7 4" xfId="7018" xr:uid="{00000000-0005-0000-0000-0000B81A0000}"/>
    <cellStyle name="나쁨 8" xfId="7019" xr:uid="{00000000-0005-0000-0000-0000B91A0000}"/>
    <cellStyle name="나쁨 9" xfId="7020" xr:uid="{00000000-0005-0000-0000-0000BA1A0000}"/>
    <cellStyle name="나열번호" xfId="7021" xr:uid="{00000000-0005-0000-0000-0000BB1A0000}"/>
    <cellStyle name="날짜" xfId="7022" xr:uid="{00000000-0005-0000-0000-0000BC1A0000}"/>
    <cellStyle name="날짜 2" xfId="7023" xr:uid="{00000000-0005-0000-0000-0000BD1A0000}"/>
    <cellStyle name="날짜 3" xfId="7024" xr:uid="{00000000-0005-0000-0000-0000BE1A0000}"/>
    <cellStyle name="날짜형식" xfId="7025" xr:uid="{00000000-0005-0000-0000-0000BF1A0000}"/>
    <cellStyle name="단위(원)" xfId="7026" xr:uid="{00000000-0005-0000-0000-0000C01A0000}"/>
    <cellStyle name="달러" xfId="7027" xr:uid="{00000000-0005-0000-0000-0000C11A0000}"/>
    <cellStyle name="달러 2" xfId="7028" xr:uid="{00000000-0005-0000-0000-0000C21A0000}"/>
    <cellStyle name="뒤에 오는 하이퍼링크" xfId="7029" xr:uid="{00000000-0005-0000-0000-0000C31A0000}"/>
    <cellStyle name="똿뗦먛귟 [0.00]_9703JPY" xfId="7030" xr:uid="{00000000-0005-0000-0000-0000C41A0000}"/>
    <cellStyle name="똿뗦먛귟_9703JPY" xfId="7031" xr:uid="{00000000-0005-0000-0000-0000C51A0000}"/>
    <cellStyle name="메모 10" xfId="7032" xr:uid="{00000000-0005-0000-0000-0000C61A0000}"/>
    <cellStyle name="메모 10 2" xfId="7033" xr:uid="{00000000-0005-0000-0000-0000C71A0000}"/>
    <cellStyle name="메모 10 3" xfId="7034" xr:uid="{00000000-0005-0000-0000-0000C81A0000}"/>
    <cellStyle name="메모 10 4" xfId="7035" xr:uid="{00000000-0005-0000-0000-0000C91A0000}"/>
    <cellStyle name="메모 10 5" xfId="7036" xr:uid="{00000000-0005-0000-0000-0000CA1A0000}"/>
    <cellStyle name="메모 11" xfId="7037" xr:uid="{00000000-0005-0000-0000-0000CB1A0000}"/>
    <cellStyle name="메모 11 2" xfId="7038" xr:uid="{00000000-0005-0000-0000-0000CC1A0000}"/>
    <cellStyle name="메모 11 3" xfId="7039" xr:uid="{00000000-0005-0000-0000-0000CD1A0000}"/>
    <cellStyle name="메모 11 4" xfId="7040" xr:uid="{00000000-0005-0000-0000-0000CE1A0000}"/>
    <cellStyle name="메모 11 5" xfId="7041" xr:uid="{00000000-0005-0000-0000-0000CF1A0000}"/>
    <cellStyle name="메모 12" xfId="7042" xr:uid="{00000000-0005-0000-0000-0000D01A0000}"/>
    <cellStyle name="메모 12 2" xfId="7043" xr:uid="{00000000-0005-0000-0000-0000D11A0000}"/>
    <cellStyle name="메모 12 3" xfId="7044" xr:uid="{00000000-0005-0000-0000-0000D21A0000}"/>
    <cellStyle name="메모 12 4" xfId="7045" xr:uid="{00000000-0005-0000-0000-0000D31A0000}"/>
    <cellStyle name="메모 12 5" xfId="7046" xr:uid="{00000000-0005-0000-0000-0000D41A0000}"/>
    <cellStyle name="메모 13" xfId="7047" xr:uid="{00000000-0005-0000-0000-0000D51A0000}"/>
    <cellStyle name="메모 13 2" xfId="7048" xr:uid="{00000000-0005-0000-0000-0000D61A0000}"/>
    <cellStyle name="메모 13 3" xfId="7049" xr:uid="{00000000-0005-0000-0000-0000D71A0000}"/>
    <cellStyle name="메모 13 4" xfId="7050" xr:uid="{00000000-0005-0000-0000-0000D81A0000}"/>
    <cellStyle name="메모 13 5" xfId="7051" xr:uid="{00000000-0005-0000-0000-0000D91A0000}"/>
    <cellStyle name="메모 14" xfId="7052" xr:uid="{00000000-0005-0000-0000-0000DA1A0000}"/>
    <cellStyle name="메모 14 2" xfId="7053" xr:uid="{00000000-0005-0000-0000-0000DB1A0000}"/>
    <cellStyle name="메모 14 2 2" xfId="7054" xr:uid="{00000000-0005-0000-0000-0000DC1A0000}"/>
    <cellStyle name="메모 14 2 3" xfId="7055" xr:uid="{00000000-0005-0000-0000-0000DD1A0000}"/>
    <cellStyle name="메모 14 2 4" xfId="7056" xr:uid="{00000000-0005-0000-0000-0000DE1A0000}"/>
    <cellStyle name="메모 14 3" xfId="7057" xr:uid="{00000000-0005-0000-0000-0000DF1A0000}"/>
    <cellStyle name="메모 14 3 2" xfId="7058" xr:uid="{00000000-0005-0000-0000-0000E01A0000}"/>
    <cellStyle name="메모 14 3 3" xfId="7059" xr:uid="{00000000-0005-0000-0000-0000E11A0000}"/>
    <cellStyle name="메모 14 3 4" xfId="7060" xr:uid="{00000000-0005-0000-0000-0000E21A0000}"/>
    <cellStyle name="메모 14 4" xfId="7061" xr:uid="{00000000-0005-0000-0000-0000E31A0000}"/>
    <cellStyle name="메모 14 5" xfId="7062" xr:uid="{00000000-0005-0000-0000-0000E41A0000}"/>
    <cellStyle name="메모 14 6" xfId="7063" xr:uid="{00000000-0005-0000-0000-0000E51A0000}"/>
    <cellStyle name="메모 14 7" xfId="7064" xr:uid="{00000000-0005-0000-0000-0000E61A0000}"/>
    <cellStyle name="메모 15" xfId="7065" xr:uid="{00000000-0005-0000-0000-0000E71A0000}"/>
    <cellStyle name="메모 15 2" xfId="7066" xr:uid="{00000000-0005-0000-0000-0000E81A0000}"/>
    <cellStyle name="메모 15 2 2" xfId="7067" xr:uid="{00000000-0005-0000-0000-0000E91A0000}"/>
    <cellStyle name="메모 15 2 3" xfId="7068" xr:uid="{00000000-0005-0000-0000-0000EA1A0000}"/>
    <cellStyle name="메모 15 2 4" xfId="7069" xr:uid="{00000000-0005-0000-0000-0000EB1A0000}"/>
    <cellStyle name="메모 15 3" xfId="7070" xr:uid="{00000000-0005-0000-0000-0000EC1A0000}"/>
    <cellStyle name="메모 15 3 2" xfId="7071" xr:uid="{00000000-0005-0000-0000-0000ED1A0000}"/>
    <cellStyle name="메모 15 3 3" xfId="7072" xr:uid="{00000000-0005-0000-0000-0000EE1A0000}"/>
    <cellStyle name="메모 15 3 4" xfId="7073" xr:uid="{00000000-0005-0000-0000-0000EF1A0000}"/>
    <cellStyle name="메모 15 4" xfId="7074" xr:uid="{00000000-0005-0000-0000-0000F01A0000}"/>
    <cellStyle name="메모 15 5" xfId="7075" xr:uid="{00000000-0005-0000-0000-0000F11A0000}"/>
    <cellStyle name="메모 15 6" xfId="7076" xr:uid="{00000000-0005-0000-0000-0000F21A0000}"/>
    <cellStyle name="메모 16" xfId="7077" xr:uid="{00000000-0005-0000-0000-0000F31A0000}"/>
    <cellStyle name="메모 16 2" xfId="7078" xr:uid="{00000000-0005-0000-0000-0000F41A0000}"/>
    <cellStyle name="메모 16 2 2" xfId="7079" xr:uid="{00000000-0005-0000-0000-0000F51A0000}"/>
    <cellStyle name="메모 16 2 3" xfId="7080" xr:uid="{00000000-0005-0000-0000-0000F61A0000}"/>
    <cellStyle name="메모 16 2 4" xfId="7081" xr:uid="{00000000-0005-0000-0000-0000F71A0000}"/>
    <cellStyle name="메모 16 3" xfId="7082" xr:uid="{00000000-0005-0000-0000-0000F81A0000}"/>
    <cellStyle name="메모 16 3 2" xfId="7083" xr:uid="{00000000-0005-0000-0000-0000F91A0000}"/>
    <cellStyle name="메모 16 3 3" xfId="7084" xr:uid="{00000000-0005-0000-0000-0000FA1A0000}"/>
    <cellStyle name="메모 16 3 4" xfId="7085" xr:uid="{00000000-0005-0000-0000-0000FB1A0000}"/>
    <cellStyle name="메모 16 4" xfId="7086" xr:uid="{00000000-0005-0000-0000-0000FC1A0000}"/>
    <cellStyle name="메모 16 5" xfId="7087" xr:uid="{00000000-0005-0000-0000-0000FD1A0000}"/>
    <cellStyle name="메모 16 6" xfId="7088" xr:uid="{00000000-0005-0000-0000-0000FE1A0000}"/>
    <cellStyle name="메모 17" xfId="7089" xr:uid="{00000000-0005-0000-0000-0000FF1A0000}"/>
    <cellStyle name="메모 17 2" xfId="7090" xr:uid="{00000000-0005-0000-0000-0000001B0000}"/>
    <cellStyle name="메모 17 2 2" xfId="7091" xr:uid="{00000000-0005-0000-0000-0000011B0000}"/>
    <cellStyle name="메모 17 2 3" xfId="7092" xr:uid="{00000000-0005-0000-0000-0000021B0000}"/>
    <cellStyle name="메모 17 2 4" xfId="7093" xr:uid="{00000000-0005-0000-0000-0000031B0000}"/>
    <cellStyle name="메모 17 3" xfId="7094" xr:uid="{00000000-0005-0000-0000-0000041B0000}"/>
    <cellStyle name="메모 17 3 2" xfId="7095" xr:uid="{00000000-0005-0000-0000-0000051B0000}"/>
    <cellStyle name="메모 17 3 3" xfId="7096" xr:uid="{00000000-0005-0000-0000-0000061B0000}"/>
    <cellStyle name="메모 17 3 4" xfId="7097" xr:uid="{00000000-0005-0000-0000-0000071B0000}"/>
    <cellStyle name="메모 17 4" xfId="7098" xr:uid="{00000000-0005-0000-0000-0000081B0000}"/>
    <cellStyle name="메모 17 5" xfId="7099" xr:uid="{00000000-0005-0000-0000-0000091B0000}"/>
    <cellStyle name="메모 17 6" xfId="7100" xr:uid="{00000000-0005-0000-0000-00000A1B0000}"/>
    <cellStyle name="메모 18" xfId="7101" xr:uid="{00000000-0005-0000-0000-00000B1B0000}"/>
    <cellStyle name="메모 18 2" xfId="7102" xr:uid="{00000000-0005-0000-0000-00000C1B0000}"/>
    <cellStyle name="메모 18 2 2" xfId="7103" xr:uid="{00000000-0005-0000-0000-00000D1B0000}"/>
    <cellStyle name="메모 18 2 3" xfId="7104" xr:uid="{00000000-0005-0000-0000-00000E1B0000}"/>
    <cellStyle name="메모 18 2 4" xfId="7105" xr:uid="{00000000-0005-0000-0000-00000F1B0000}"/>
    <cellStyle name="메모 18 3" xfId="7106" xr:uid="{00000000-0005-0000-0000-0000101B0000}"/>
    <cellStyle name="메모 18 3 2" xfId="7107" xr:uid="{00000000-0005-0000-0000-0000111B0000}"/>
    <cellStyle name="메모 18 3 3" xfId="7108" xr:uid="{00000000-0005-0000-0000-0000121B0000}"/>
    <cellStyle name="메모 18 3 4" xfId="7109" xr:uid="{00000000-0005-0000-0000-0000131B0000}"/>
    <cellStyle name="메모 18 4" xfId="7110" xr:uid="{00000000-0005-0000-0000-0000141B0000}"/>
    <cellStyle name="메모 18 5" xfId="7111" xr:uid="{00000000-0005-0000-0000-0000151B0000}"/>
    <cellStyle name="메모 18 6" xfId="7112" xr:uid="{00000000-0005-0000-0000-0000161B0000}"/>
    <cellStyle name="메모 19" xfId="7113" xr:uid="{00000000-0005-0000-0000-0000171B0000}"/>
    <cellStyle name="메모 19 2" xfId="7114" xr:uid="{00000000-0005-0000-0000-0000181B0000}"/>
    <cellStyle name="메모 19 2 2" xfId="7115" xr:uid="{00000000-0005-0000-0000-0000191B0000}"/>
    <cellStyle name="메모 19 2 3" xfId="7116" xr:uid="{00000000-0005-0000-0000-00001A1B0000}"/>
    <cellStyle name="메모 19 2 4" xfId="7117" xr:uid="{00000000-0005-0000-0000-00001B1B0000}"/>
    <cellStyle name="메모 19 3" xfId="7118" xr:uid="{00000000-0005-0000-0000-00001C1B0000}"/>
    <cellStyle name="메모 19 3 2" xfId="7119" xr:uid="{00000000-0005-0000-0000-00001D1B0000}"/>
    <cellStyle name="메모 19 3 3" xfId="7120" xr:uid="{00000000-0005-0000-0000-00001E1B0000}"/>
    <cellStyle name="메모 19 3 4" xfId="7121" xr:uid="{00000000-0005-0000-0000-00001F1B0000}"/>
    <cellStyle name="메모 19 4" xfId="7122" xr:uid="{00000000-0005-0000-0000-0000201B0000}"/>
    <cellStyle name="메모 19 5" xfId="7123" xr:uid="{00000000-0005-0000-0000-0000211B0000}"/>
    <cellStyle name="메모 19 6" xfId="7124" xr:uid="{00000000-0005-0000-0000-0000221B0000}"/>
    <cellStyle name="메모 2" xfId="168" xr:uid="{00000000-0005-0000-0000-0000231B0000}"/>
    <cellStyle name="메모 2 10" xfId="7126" xr:uid="{00000000-0005-0000-0000-0000241B0000}"/>
    <cellStyle name="메모 2 10 2" xfId="7127" xr:uid="{00000000-0005-0000-0000-0000251B0000}"/>
    <cellStyle name="메모 2 10 3" xfId="7128" xr:uid="{00000000-0005-0000-0000-0000261B0000}"/>
    <cellStyle name="메모 2 10 4" xfId="7129" xr:uid="{00000000-0005-0000-0000-0000271B0000}"/>
    <cellStyle name="메모 2 11" xfId="7130" xr:uid="{00000000-0005-0000-0000-0000281B0000}"/>
    <cellStyle name="메모 2 11 2" xfId="7131" xr:uid="{00000000-0005-0000-0000-0000291B0000}"/>
    <cellStyle name="메모 2 11 3" xfId="7132" xr:uid="{00000000-0005-0000-0000-00002A1B0000}"/>
    <cellStyle name="메모 2 11 4" xfId="7133" xr:uid="{00000000-0005-0000-0000-00002B1B0000}"/>
    <cellStyle name="메모 2 12" xfId="7134" xr:uid="{00000000-0005-0000-0000-00002C1B0000}"/>
    <cellStyle name="메모 2 12 2" xfId="7135" xr:uid="{00000000-0005-0000-0000-00002D1B0000}"/>
    <cellStyle name="메모 2 12 3" xfId="7136" xr:uid="{00000000-0005-0000-0000-00002E1B0000}"/>
    <cellStyle name="메모 2 12 4" xfId="7137" xr:uid="{00000000-0005-0000-0000-00002F1B0000}"/>
    <cellStyle name="메모 2 13" xfId="7138" xr:uid="{00000000-0005-0000-0000-0000301B0000}"/>
    <cellStyle name="메모 2 13 2" xfId="7139" xr:uid="{00000000-0005-0000-0000-0000311B0000}"/>
    <cellStyle name="메모 2 13 3" xfId="7140" xr:uid="{00000000-0005-0000-0000-0000321B0000}"/>
    <cellStyle name="메모 2 13 4" xfId="7141" xr:uid="{00000000-0005-0000-0000-0000331B0000}"/>
    <cellStyle name="메모 2 14" xfId="7142" xr:uid="{00000000-0005-0000-0000-0000341B0000}"/>
    <cellStyle name="메모 2 14 2" xfId="7143" xr:uid="{00000000-0005-0000-0000-0000351B0000}"/>
    <cellStyle name="메모 2 14 3" xfId="7144" xr:uid="{00000000-0005-0000-0000-0000361B0000}"/>
    <cellStyle name="메모 2 14 4" xfId="7145" xr:uid="{00000000-0005-0000-0000-0000371B0000}"/>
    <cellStyle name="메모 2 15" xfId="7146" xr:uid="{00000000-0005-0000-0000-0000381B0000}"/>
    <cellStyle name="메모 2 15 2" xfId="7147" xr:uid="{00000000-0005-0000-0000-0000391B0000}"/>
    <cellStyle name="메모 2 15 3" xfId="7148" xr:uid="{00000000-0005-0000-0000-00003A1B0000}"/>
    <cellStyle name="메모 2 15 4" xfId="7149" xr:uid="{00000000-0005-0000-0000-00003B1B0000}"/>
    <cellStyle name="메모 2 16" xfId="7150" xr:uid="{00000000-0005-0000-0000-00003C1B0000}"/>
    <cellStyle name="메모 2 16 2" xfId="7151" xr:uid="{00000000-0005-0000-0000-00003D1B0000}"/>
    <cellStyle name="메모 2 16 3" xfId="7152" xr:uid="{00000000-0005-0000-0000-00003E1B0000}"/>
    <cellStyle name="메모 2 16 4" xfId="7153" xr:uid="{00000000-0005-0000-0000-00003F1B0000}"/>
    <cellStyle name="메모 2 17" xfId="7154" xr:uid="{00000000-0005-0000-0000-0000401B0000}"/>
    <cellStyle name="메모 2 17 2" xfId="7155" xr:uid="{00000000-0005-0000-0000-0000411B0000}"/>
    <cellStyle name="메모 2 17 3" xfId="7156" xr:uid="{00000000-0005-0000-0000-0000421B0000}"/>
    <cellStyle name="메모 2 17 4" xfId="7157" xr:uid="{00000000-0005-0000-0000-0000431B0000}"/>
    <cellStyle name="메모 2 18" xfId="7158" xr:uid="{00000000-0005-0000-0000-0000441B0000}"/>
    <cellStyle name="메모 2 18 2" xfId="7159" xr:uid="{00000000-0005-0000-0000-0000451B0000}"/>
    <cellStyle name="메모 2 18 3" xfId="7160" xr:uid="{00000000-0005-0000-0000-0000461B0000}"/>
    <cellStyle name="메모 2 18 4" xfId="7161" xr:uid="{00000000-0005-0000-0000-0000471B0000}"/>
    <cellStyle name="메모 2 19" xfId="7162" xr:uid="{00000000-0005-0000-0000-0000481B0000}"/>
    <cellStyle name="메모 2 19 2" xfId="7163" xr:uid="{00000000-0005-0000-0000-0000491B0000}"/>
    <cellStyle name="메모 2 19 3" xfId="7164" xr:uid="{00000000-0005-0000-0000-00004A1B0000}"/>
    <cellStyle name="메모 2 19 4" xfId="7165" xr:uid="{00000000-0005-0000-0000-00004B1B0000}"/>
    <cellStyle name="메모 2 2" xfId="7166" xr:uid="{00000000-0005-0000-0000-00004C1B0000}"/>
    <cellStyle name="메모 2 2 2" xfId="7167" xr:uid="{00000000-0005-0000-0000-00004D1B0000}"/>
    <cellStyle name="메모 2 2 3" xfId="7168" xr:uid="{00000000-0005-0000-0000-00004E1B0000}"/>
    <cellStyle name="메모 2 2 4" xfId="7169" xr:uid="{00000000-0005-0000-0000-00004F1B0000}"/>
    <cellStyle name="메모 2 2 5" xfId="7170" xr:uid="{00000000-0005-0000-0000-0000501B0000}"/>
    <cellStyle name="메모 2 20" xfId="7171" xr:uid="{00000000-0005-0000-0000-0000511B0000}"/>
    <cellStyle name="메모 2 20 2" xfId="7172" xr:uid="{00000000-0005-0000-0000-0000521B0000}"/>
    <cellStyle name="메모 2 20 3" xfId="7173" xr:uid="{00000000-0005-0000-0000-0000531B0000}"/>
    <cellStyle name="메모 2 20 4" xfId="7174" xr:uid="{00000000-0005-0000-0000-0000541B0000}"/>
    <cellStyle name="메모 2 21" xfId="7175" xr:uid="{00000000-0005-0000-0000-0000551B0000}"/>
    <cellStyle name="메모 2 21 2" xfId="7176" xr:uid="{00000000-0005-0000-0000-0000561B0000}"/>
    <cellStyle name="메모 2 21 3" xfId="7177" xr:uid="{00000000-0005-0000-0000-0000571B0000}"/>
    <cellStyle name="메모 2 21 4" xfId="7178" xr:uid="{00000000-0005-0000-0000-0000581B0000}"/>
    <cellStyle name="메모 2 22" xfId="7179" xr:uid="{00000000-0005-0000-0000-0000591B0000}"/>
    <cellStyle name="메모 2 22 2" xfId="7180" xr:uid="{00000000-0005-0000-0000-00005A1B0000}"/>
    <cellStyle name="메모 2 22 3" xfId="7181" xr:uid="{00000000-0005-0000-0000-00005B1B0000}"/>
    <cellStyle name="메모 2 22 4" xfId="7182" xr:uid="{00000000-0005-0000-0000-00005C1B0000}"/>
    <cellStyle name="메모 2 23" xfId="7183" xr:uid="{00000000-0005-0000-0000-00005D1B0000}"/>
    <cellStyle name="메모 2 23 2" xfId="7184" xr:uid="{00000000-0005-0000-0000-00005E1B0000}"/>
    <cellStyle name="메모 2 23 3" xfId="7185" xr:uid="{00000000-0005-0000-0000-00005F1B0000}"/>
    <cellStyle name="메모 2 23 4" xfId="7186" xr:uid="{00000000-0005-0000-0000-0000601B0000}"/>
    <cellStyle name="메모 2 24" xfId="7187" xr:uid="{00000000-0005-0000-0000-0000611B0000}"/>
    <cellStyle name="메모 2 24 2" xfId="7188" xr:uid="{00000000-0005-0000-0000-0000621B0000}"/>
    <cellStyle name="메모 2 24 3" xfId="7189" xr:uid="{00000000-0005-0000-0000-0000631B0000}"/>
    <cellStyle name="메모 2 24 4" xfId="7190" xr:uid="{00000000-0005-0000-0000-0000641B0000}"/>
    <cellStyle name="메모 2 25" xfId="7191" xr:uid="{00000000-0005-0000-0000-0000651B0000}"/>
    <cellStyle name="메모 2 26" xfId="7192" xr:uid="{00000000-0005-0000-0000-0000661B0000}"/>
    <cellStyle name="메모 2 27" xfId="7193" xr:uid="{00000000-0005-0000-0000-0000671B0000}"/>
    <cellStyle name="메모 2 28" xfId="7194" xr:uid="{00000000-0005-0000-0000-0000681B0000}"/>
    <cellStyle name="메모 2 29" xfId="7195" xr:uid="{00000000-0005-0000-0000-0000691B0000}"/>
    <cellStyle name="메모 2 3" xfId="7196" xr:uid="{00000000-0005-0000-0000-00006A1B0000}"/>
    <cellStyle name="메모 2 3 2" xfId="7197" xr:uid="{00000000-0005-0000-0000-00006B1B0000}"/>
    <cellStyle name="메모 2 3 3" xfId="7198" xr:uid="{00000000-0005-0000-0000-00006C1B0000}"/>
    <cellStyle name="메모 2 3 4" xfId="7199" xr:uid="{00000000-0005-0000-0000-00006D1B0000}"/>
    <cellStyle name="메모 2 3 5" xfId="7200" xr:uid="{00000000-0005-0000-0000-00006E1B0000}"/>
    <cellStyle name="메모 2 30" xfId="7201" xr:uid="{00000000-0005-0000-0000-00006F1B0000}"/>
    <cellStyle name="메모 2 31" xfId="7202" xr:uid="{00000000-0005-0000-0000-0000701B0000}"/>
    <cellStyle name="메모 2 32" xfId="7203" xr:uid="{00000000-0005-0000-0000-0000711B0000}"/>
    <cellStyle name="메모 2 33" xfId="7204" xr:uid="{00000000-0005-0000-0000-0000721B0000}"/>
    <cellStyle name="메모 2 34" xfId="7205" xr:uid="{00000000-0005-0000-0000-0000731B0000}"/>
    <cellStyle name="메모 2 35" xfId="7206" xr:uid="{00000000-0005-0000-0000-0000741B0000}"/>
    <cellStyle name="메모 2 36" xfId="7207" xr:uid="{00000000-0005-0000-0000-0000751B0000}"/>
    <cellStyle name="메모 2 37" xfId="7208" xr:uid="{00000000-0005-0000-0000-0000761B0000}"/>
    <cellStyle name="메모 2 38" xfId="7209" xr:uid="{00000000-0005-0000-0000-0000771B0000}"/>
    <cellStyle name="메모 2 39" xfId="7210" xr:uid="{00000000-0005-0000-0000-0000781B0000}"/>
    <cellStyle name="메모 2 4" xfId="7211" xr:uid="{00000000-0005-0000-0000-0000791B0000}"/>
    <cellStyle name="메모 2 4 2" xfId="7212" xr:uid="{00000000-0005-0000-0000-00007A1B0000}"/>
    <cellStyle name="메모 2 4 3" xfId="7213" xr:uid="{00000000-0005-0000-0000-00007B1B0000}"/>
    <cellStyle name="메모 2 4 4" xfId="7214" xr:uid="{00000000-0005-0000-0000-00007C1B0000}"/>
    <cellStyle name="메모 2 40" xfId="7215" xr:uid="{00000000-0005-0000-0000-00007D1B0000}"/>
    <cellStyle name="메모 2 41" xfId="7216" xr:uid="{00000000-0005-0000-0000-00007E1B0000}"/>
    <cellStyle name="메모 2 42" xfId="7217" xr:uid="{00000000-0005-0000-0000-00007F1B0000}"/>
    <cellStyle name="메모 2 43" xfId="7218" xr:uid="{00000000-0005-0000-0000-0000801B0000}"/>
    <cellStyle name="메모 2 44" xfId="7125" xr:uid="{00000000-0005-0000-0000-0000811B0000}"/>
    <cellStyle name="메모 2 5" xfId="7219" xr:uid="{00000000-0005-0000-0000-0000821B0000}"/>
    <cellStyle name="메모 2 5 2" xfId="7220" xr:uid="{00000000-0005-0000-0000-0000831B0000}"/>
    <cellStyle name="메모 2 5 3" xfId="7221" xr:uid="{00000000-0005-0000-0000-0000841B0000}"/>
    <cellStyle name="메모 2 5 4" xfId="7222" xr:uid="{00000000-0005-0000-0000-0000851B0000}"/>
    <cellStyle name="메모 2 6" xfId="7223" xr:uid="{00000000-0005-0000-0000-0000861B0000}"/>
    <cellStyle name="메모 2 6 2" xfId="7224" xr:uid="{00000000-0005-0000-0000-0000871B0000}"/>
    <cellStyle name="메모 2 6 3" xfId="7225" xr:uid="{00000000-0005-0000-0000-0000881B0000}"/>
    <cellStyle name="메모 2 6 4" xfId="7226" xr:uid="{00000000-0005-0000-0000-0000891B0000}"/>
    <cellStyle name="메모 2 7" xfId="7227" xr:uid="{00000000-0005-0000-0000-00008A1B0000}"/>
    <cellStyle name="메모 2 7 2" xfId="7228" xr:uid="{00000000-0005-0000-0000-00008B1B0000}"/>
    <cellStyle name="메모 2 7 3" xfId="7229" xr:uid="{00000000-0005-0000-0000-00008C1B0000}"/>
    <cellStyle name="메모 2 7 4" xfId="7230" xr:uid="{00000000-0005-0000-0000-00008D1B0000}"/>
    <cellStyle name="메모 2 8" xfId="7231" xr:uid="{00000000-0005-0000-0000-00008E1B0000}"/>
    <cellStyle name="메모 2 8 2" xfId="7232" xr:uid="{00000000-0005-0000-0000-00008F1B0000}"/>
    <cellStyle name="메모 2 8 3" xfId="7233" xr:uid="{00000000-0005-0000-0000-0000901B0000}"/>
    <cellStyle name="메모 2 8 4" xfId="7234" xr:uid="{00000000-0005-0000-0000-0000911B0000}"/>
    <cellStyle name="메모 2 9" xfId="7235" xr:uid="{00000000-0005-0000-0000-0000921B0000}"/>
    <cellStyle name="메모 2 9 2" xfId="7236" xr:uid="{00000000-0005-0000-0000-0000931B0000}"/>
    <cellStyle name="메모 2 9 3" xfId="7237" xr:uid="{00000000-0005-0000-0000-0000941B0000}"/>
    <cellStyle name="메모 2 9 4" xfId="7238" xr:uid="{00000000-0005-0000-0000-0000951B0000}"/>
    <cellStyle name="메모 20" xfId="7239" xr:uid="{00000000-0005-0000-0000-0000961B0000}"/>
    <cellStyle name="메모 20 2" xfId="7240" xr:uid="{00000000-0005-0000-0000-0000971B0000}"/>
    <cellStyle name="메모 20 3" xfId="7241" xr:uid="{00000000-0005-0000-0000-0000981B0000}"/>
    <cellStyle name="메모 20 4" xfId="7242" xr:uid="{00000000-0005-0000-0000-0000991B0000}"/>
    <cellStyle name="메모 21" xfId="7243" xr:uid="{00000000-0005-0000-0000-00009A1B0000}"/>
    <cellStyle name="메모 21 2" xfId="7244" xr:uid="{00000000-0005-0000-0000-00009B1B0000}"/>
    <cellStyle name="메모 21 3" xfId="7245" xr:uid="{00000000-0005-0000-0000-00009C1B0000}"/>
    <cellStyle name="메모 21 4" xfId="7246" xr:uid="{00000000-0005-0000-0000-00009D1B0000}"/>
    <cellStyle name="메모 22" xfId="7247" xr:uid="{00000000-0005-0000-0000-00009E1B0000}"/>
    <cellStyle name="메모 22 2" xfId="7248" xr:uid="{00000000-0005-0000-0000-00009F1B0000}"/>
    <cellStyle name="메모 22 3" xfId="7249" xr:uid="{00000000-0005-0000-0000-0000A01B0000}"/>
    <cellStyle name="메모 22 4" xfId="7250" xr:uid="{00000000-0005-0000-0000-0000A11B0000}"/>
    <cellStyle name="메모 23" xfId="7251" xr:uid="{00000000-0005-0000-0000-0000A21B0000}"/>
    <cellStyle name="메모 23 2" xfId="7252" xr:uid="{00000000-0005-0000-0000-0000A31B0000}"/>
    <cellStyle name="메모 23 3" xfId="7253" xr:uid="{00000000-0005-0000-0000-0000A41B0000}"/>
    <cellStyle name="메모 23 4" xfId="7254" xr:uid="{00000000-0005-0000-0000-0000A51B0000}"/>
    <cellStyle name="메모 24" xfId="7255" xr:uid="{00000000-0005-0000-0000-0000A61B0000}"/>
    <cellStyle name="메모 24 2" xfId="7256" xr:uid="{00000000-0005-0000-0000-0000A71B0000}"/>
    <cellStyle name="메모 24 3" xfId="7257" xr:uid="{00000000-0005-0000-0000-0000A81B0000}"/>
    <cellStyle name="메모 24 4" xfId="7258" xr:uid="{00000000-0005-0000-0000-0000A91B0000}"/>
    <cellStyle name="메모 25" xfId="7259" xr:uid="{00000000-0005-0000-0000-0000AA1B0000}"/>
    <cellStyle name="메모 25 2" xfId="7260" xr:uid="{00000000-0005-0000-0000-0000AB1B0000}"/>
    <cellStyle name="메모 25 3" xfId="7261" xr:uid="{00000000-0005-0000-0000-0000AC1B0000}"/>
    <cellStyle name="메모 25 4" xfId="7262" xr:uid="{00000000-0005-0000-0000-0000AD1B0000}"/>
    <cellStyle name="메모 26" xfId="7263" xr:uid="{00000000-0005-0000-0000-0000AE1B0000}"/>
    <cellStyle name="메모 26 2" xfId="7264" xr:uid="{00000000-0005-0000-0000-0000AF1B0000}"/>
    <cellStyle name="메모 26 3" xfId="7265" xr:uid="{00000000-0005-0000-0000-0000B01B0000}"/>
    <cellStyle name="메모 26 4" xfId="7266" xr:uid="{00000000-0005-0000-0000-0000B11B0000}"/>
    <cellStyle name="메모 27" xfId="7267" xr:uid="{00000000-0005-0000-0000-0000B21B0000}"/>
    <cellStyle name="메모 27 2" xfId="7268" xr:uid="{00000000-0005-0000-0000-0000B31B0000}"/>
    <cellStyle name="메모 27 2 2" xfId="7269" xr:uid="{00000000-0005-0000-0000-0000B41B0000}"/>
    <cellStyle name="메모 27 2 3" xfId="7270" xr:uid="{00000000-0005-0000-0000-0000B51B0000}"/>
    <cellStyle name="메모 27 2 4" xfId="7271" xr:uid="{00000000-0005-0000-0000-0000B61B0000}"/>
    <cellStyle name="메모 27 3" xfId="7272" xr:uid="{00000000-0005-0000-0000-0000B71B0000}"/>
    <cellStyle name="메모 27 4" xfId="7273" xr:uid="{00000000-0005-0000-0000-0000B81B0000}"/>
    <cellStyle name="메모 27 5" xfId="7274" xr:uid="{00000000-0005-0000-0000-0000B91B0000}"/>
    <cellStyle name="메모 28" xfId="7275" xr:uid="{00000000-0005-0000-0000-0000BA1B0000}"/>
    <cellStyle name="메모 28 2" xfId="7276" xr:uid="{00000000-0005-0000-0000-0000BB1B0000}"/>
    <cellStyle name="메모 28 3" xfId="7277" xr:uid="{00000000-0005-0000-0000-0000BC1B0000}"/>
    <cellStyle name="메모 28 4" xfId="7278" xr:uid="{00000000-0005-0000-0000-0000BD1B0000}"/>
    <cellStyle name="메모 29" xfId="7279" xr:uid="{00000000-0005-0000-0000-0000BE1B0000}"/>
    <cellStyle name="메모 29 2" xfId="7280" xr:uid="{00000000-0005-0000-0000-0000BF1B0000}"/>
    <cellStyle name="메모 29 3" xfId="7281" xr:uid="{00000000-0005-0000-0000-0000C01B0000}"/>
    <cellStyle name="메모 29 4" xfId="7282" xr:uid="{00000000-0005-0000-0000-0000C11B0000}"/>
    <cellStyle name="메모 3" xfId="7283" xr:uid="{00000000-0005-0000-0000-0000C21B0000}"/>
    <cellStyle name="메모 3 10" xfId="7284" xr:uid="{00000000-0005-0000-0000-0000C31B0000}"/>
    <cellStyle name="메모 3 2" xfId="7285" xr:uid="{00000000-0005-0000-0000-0000C41B0000}"/>
    <cellStyle name="메모 3 2 2" xfId="7286" xr:uid="{00000000-0005-0000-0000-0000C51B0000}"/>
    <cellStyle name="메모 3 2 3" xfId="7287" xr:uid="{00000000-0005-0000-0000-0000C61B0000}"/>
    <cellStyle name="메모 3 2 4" xfId="7288" xr:uid="{00000000-0005-0000-0000-0000C71B0000}"/>
    <cellStyle name="메모 3 3" xfId="7289" xr:uid="{00000000-0005-0000-0000-0000C81B0000}"/>
    <cellStyle name="메모 3 3 2" xfId="7290" xr:uid="{00000000-0005-0000-0000-0000C91B0000}"/>
    <cellStyle name="메모 3 3 3" xfId="7291" xr:uid="{00000000-0005-0000-0000-0000CA1B0000}"/>
    <cellStyle name="메모 3 3 4" xfId="7292" xr:uid="{00000000-0005-0000-0000-0000CB1B0000}"/>
    <cellStyle name="메모 3 4" xfId="7293" xr:uid="{00000000-0005-0000-0000-0000CC1B0000}"/>
    <cellStyle name="메모 3 4 2" xfId="7294" xr:uid="{00000000-0005-0000-0000-0000CD1B0000}"/>
    <cellStyle name="메모 3 4 3" xfId="7295" xr:uid="{00000000-0005-0000-0000-0000CE1B0000}"/>
    <cellStyle name="메모 3 4 4" xfId="7296" xr:uid="{00000000-0005-0000-0000-0000CF1B0000}"/>
    <cellStyle name="메모 3 5" xfId="7297" xr:uid="{00000000-0005-0000-0000-0000D01B0000}"/>
    <cellStyle name="메모 3 6" xfId="7298" xr:uid="{00000000-0005-0000-0000-0000D11B0000}"/>
    <cellStyle name="메모 3 7" xfId="7299" xr:uid="{00000000-0005-0000-0000-0000D21B0000}"/>
    <cellStyle name="메모 3 8" xfId="7300" xr:uid="{00000000-0005-0000-0000-0000D31B0000}"/>
    <cellStyle name="메모 3 9" xfId="7301" xr:uid="{00000000-0005-0000-0000-0000D41B0000}"/>
    <cellStyle name="메모 30" xfId="7302" xr:uid="{00000000-0005-0000-0000-0000D51B0000}"/>
    <cellStyle name="메모 30 2" xfId="7303" xr:uid="{00000000-0005-0000-0000-0000D61B0000}"/>
    <cellStyle name="메모 30 3" xfId="7304" xr:uid="{00000000-0005-0000-0000-0000D71B0000}"/>
    <cellStyle name="메모 30 4" xfId="7305" xr:uid="{00000000-0005-0000-0000-0000D81B0000}"/>
    <cellStyle name="메모 31" xfId="7306" xr:uid="{00000000-0005-0000-0000-0000D91B0000}"/>
    <cellStyle name="메모 31 2" xfId="7307" xr:uid="{00000000-0005-0000-0000-0000DA1B0000}"/>
    <cellStyle name="메모 31 3" xfId="7308" xr:uid="{00000000-0005-0000-0000-0000DB1B0000}"/>
    <cellStyle name="메모 31 4" xfId="7309" xr:uid="{00000000-0005-0000-0000-0000DC1B0000}"/>
    <cellStyle name="메모 32" xfId="7310" xr:uid="{00000000-0005-0000-0000-0000DD1B0000}"/>
    <cellStyle name="메모 32 2" xfId="7311" xr:uid="{00000000-0005-0000-0000-0000DE1B0000}"/>
    <cellStyle name="메모 32 3" xfId="7312" xr:uid="{00000000-0005-0000-0000-0000DF1B0000}"/>
    <cellStyle name="메모 32 4" xfId="7313" xr:uid="{00000000-0005-0000-0000-0000E01B0000}"/>
    <cellStyle name="메모 33" xfId="7314" xr:uid="{00000000-0005-0000-0000-0000E11B0000}"/>
    <cellStyle name="메모 33 2" xfId="7315" xr:uid="{00000000-0005-0000-0000-0000E21B0000}"/>
    <cellStyle name="메모 33 3" xfId="7316" xr:uid="{00000000-0005-0000-0000-0000E31B0000}"/>
    <cellStyle name="메모 33 4" xfId="7317" xr:uid="{00000000-0005-0000-0000-0000E41B0000}"/>
    <cellStyle name="메모 34" xfId="7318" xr:uid="{00000000-0005-0000-0000-0000E51B0000}"/>
    <cellStyle name="메모 34 2" xfId="7319" xr:uid="{00000000-0005-0000-0000-0000E61B0000}"/>
    <cellStyle name="메모 34 3" xfId="7320" xr:uid="{00000000-0005-0000-0000-0000E71B0000}"/>
    <cellStyle name="메모 34 4" xfId="7321" xr:uid="{00000000-0005-0000-0000-0000E81B0000}"/>
    <cellStyle name="메모 35" xfId="7322" xr:uid="{00000000-0005-0000-0000-0000E91B0000}"/>
    <cellStyle name="메모 35 2" xfId="7323" xr:uid="{00000000-0005-0000-0000-0000EA1B0000}"/>
    <cellStyle name="메모 35 2 2" xfId="7324" xr:uid="{00000000-0005-0000-0000-0000EB1B0000}"/>
    <cellStyle name="메모 35 2 3" xfId="7325" xr:uid="{00000000-0005-0000-0000-0000EC1B0000}"/>
    <cellStyle name="메모 35 3" xfId="7326" xr:uid="{00000000-0005-0000-0000-0000ED1B0000}"/>
    <cellStyle name="메모 35 4" xfId="7327" xr:uid="{00000000-0005-0000-0000-0000EE1B0000}"/>
    <cellStyle name="메모 36" xfId="7328" xr:uid="{00000000-0005-0000-0000-0000EF1B0000}"/>
    <cellStyle name="메모 37" xfId="7329" xr:uid="{00000000-0005-0000-0000-0000F01B0000}"/>
    <cellStyle name="메모 38" xfId="7330" xr:uid="{00000000-0005-0000-0000-0000F11B0000}"/>
    <cellStyle name="메모 39" xfId="7331" xr:uid="{00000000-0005-0000-0000-0000F21B0000}"/>
    <cellStyle name="메모 4" xfId="7332" xr:uid="{00000000-0005-0000-0000-0000F31B0000}"/>
    <cellStyle name="메모 4 10" xfId="7333" xr:uid="{00000000-0005-0000-0000-0000F41B0000}"/>
    <cellStyle name="메모 4 2" xfId="7334" xr:uid="{00000000-0005-0000-0000-0000F51B0000}"/>
    <cellStyle name="메모 4 2 2" xfId="7335" xr:uid="{00000000-0005-0000-0000-0000F61B0000}"/>
    <cellStyle name="메모 4 2 3" xfId="7336" xr:uid="{00000000-0005-0000-0000-0000F71B0000}"/>
    <cellStyle name="메모 4 2 4" xfId="7337" xr:uid="{00000000-0005-0000-0000-0000F81B0000}"/>
    <cellStyle name="메모 4 3" xfId="7338" xr:uid="{00000000-0005-0000-0000-0000F91B0000}"/>
    <cellStyle name="메모 4 3 2" xfId="7339" xr:uid="{00000000-0005-0000-0000-0000FA1B0000}"/>
    <cellStyle name="메모 4 3 3" xfId="7340" xr:uid="{00000000-0005-0000-0000-0000FB1B0000}"/>
    <cellStyle name="메모 4 3 4" xfId="7341" xr:uid="{00000000-0005-0000-0000-0000FC1B0000}"/>
    <cellStyle name="메모 4 4" xfId="7342" xr:uid="{00000000-0005-0000-0000-0000FD1B0000}"/>
    <cellStyle name="메모 4 4 2" xfId="7343" xr:uid="{00000000-0005-0000-0000-0000FE1B0000}"/>
    <cellStyle name="메모 4 4 3" xfId="7344" xr:uid="{00000000-0005-0000-0000-0000FF1B0000}"/>
    <cellStyle name="메모 4 4 4" xfId="7345" xr:uid="{00000000-0005-0000-0000-0000001C0000}"/>
    <cellStyle name="메모 4 5" xfId="7346" xr:uid="{00000000-0005-0000-0000-0000011C0000}"/>
    <cellStyle name="메모 4 6" xfId="7347" xr:uid="{00000000-0005-0000-0000-0000021C0000}"/>
    <cellStyle name="메모 4 7" xfId="7348" xr:uid="{00000000-0005-0000-0000-0000031C0000}"/>
    <cellStyle name="메모 4 8" xfId="7349" xr:uid="{00000000-0005-0000-0000-0000041C0000}"/>
    <cellStyle name="메모 4 9" xfId="7350" xr:uid="{00000000-0005-0000-0000-0000051C0000}"/>
    <cellStyle name="메모 40" xfId="7351" xr:uid="{00000000-0005-0000-0000-0000061C0000}"/>
    <cellStyle name="메모 41" xfId="7352" xr:uid="{00000000-0005-0000-0000-0000071C0000}"/>
    <cellStyle name="메모 42" xfId="7353" xr:uid="{00000000-0005-0000-0000-0000081C0000}"/>
    <cellStyle name="메모 43" xfId="7354" xr:uid="{00000000-0005-0000-0000-0000091C0000}"/>
    <cellStyle name="메모 44" xfId="7355" xr:uid="{00000000-0005-0000-0000-00000A1C0000}"/>
    <cellStyle name="메모 45" xfId="7356" xr:uid="{00000000-0005-0000-0000-00000B1C0000}"/>
    <cellStyle name="메모 45 2" xfId="7357" xr:uid="{00000000-0005-0000-0000-00000C1C0000}"/>
    <cellStyle name="메모 45 2 2" xfId="7358" xr:uid="{00000000-0005-0000-0000-00000D1C0000}"/>
    <cellStyle name="메모 45 2 3" xfId="7359" xr:uid="{00000000-0005-0000-0000-00000E1C0000}"/>
    <cellStyle name="메모 45 3" xfId="7360" xr:uid="{00000000-0005-0000-0000-00000F1C0000}"/>
    <cellStyle name="메모 45 4" xfId="7361" xr:uid="{00000000-0005-0000-0000-0000101C0000}"/>
    <cellStyle name="메모 46" xfId="7362" xr:uid="{00000000-0005-0000-0000-0000111C0000}"/>
    <cellStyle name="메모 46 2" xfId="7363" xr:uid="{00000000-0005-0000-0000-0000121C0000}"/>
    <cellStyle name="메모 46 3" xfId="7364" xr:uid="{00000000-0005-0000-0000-0000131C0000}"/>
    <cellStyle name="메모 46 4" xfId="7365" xr:uid="{00000000-0005-0000-0000-0000141C0000}"/>
    <cellStyle name="메모 47" xfId="7366" xr:uid="{00000000-0005-0000-0000-0000151C0000}"/>
    <cellStyle name="메모 48" xfId="7367" xr:uid="{00000000-0005-0000-0000-0000161C0000}"/>
    <cellStyle name="메모 49" xfId="7368" xr:uid="{00000000-0005-0000-0000-0000171C0000}"/>
    <cellStyle name="메모 5" xfId="7369" xr:uid="{00000000-0005-0000-0000-0000181C0000}"/>
    <cellStyle name="메모 5 10" xfId="7370" xr:uid="{00000000-0005-0000-0000-0000191C0000}"/>
    <cellStyle name="메모 5 2" xfId="7371" xr:uid="{00000000-0005-0000-0000-00001A1C0000}"/>
    <cellStyle name="메모 5 2 2" xfId="7372" xr:uid="{00000000-0005-0000-0000-00001B1C0000}"/>
    <cellStyle name="메모 5 2 3" xfId="7373" xr:uid="{00000000-0005-0000-0000-00001C1C0000}"/>
    <cellStyle name="메모 5 2 4" xfId="7374" xr:uid="{00000000-0005-0000-0000-00001D1C0000}"/>
    <cellStyle name="메모 5 3" xfId="7375" xr:uid="{00000000-0005-0000-0000-00001E1C0000}"/>
    <cellStyle name="메모 5 3 2" xfId="7376" xr:uid="{00000000-0005-0000-0000-00001F1C0000}"/>
    <cellStyle name="메모 5 3 3" xfId="7377" xr:uid="{00000000-0005-0000-0000-0000201C0000}"/>
    <cellStyle name="메모 5 3 4" xfId="7378" xr:uid="{00000000-0005-0000-0000-0000211C0000}"/>
    <cellStyle name="메모 5 4" xfId="7379" xr:uid="{00000000-0005-0000-0000-0000221C0000}"/>
    <cellStyle name="메모 5 4 2" xfId="7380" xr:uid="{00000000-0005-0000-0000-0000231C0000}"/>
    <cellStyle name="메모 5 4 3" xfId="7381" xr:uid="{00000000-0005-0000-0000-0000241C0000}"/>
    <cellStyle name="메모 5 4 4" xfId="7382" xr:uid="{00000000-0005-0000-0000-0000251C0000}"/>
    <cellStyle name="메모 5 5" xfId="7383" xr:uid="{00000000-0005-0000-0000-0000261C0000}"/>
    <cellStyle name="메모 5 6" xfId="7384" xr:uid="{00000000-0005-0000-0000-0000271C0000}"/>
    <cellStyle name="메모 5 7" xfId="7385" xr:uid="{00000000-0005-0000-0000-0000281C0000}"/>
    <cellStyle name="메모 5 8" xfId="7386" xr:uid="{00000000-0005-0000-0000-0000291C0000}"/>
    <cellStyle name="메모 5 9" xfId="7387" xr:uid="{00000000-0005-0000-0000-00002A1C0000}"/>
    <cellStyle name="메모 50" xfId="7388" xr:uid="{00000000-0005-0000-0000-00002B1C0000}"/>
    <cellStyle name="메모 51" xfId="7389" xr:uid="{00000000-0005-0000-0000-00002C1C0000}"/>
    <cellStyle name="메모 52" xfId="7390" xr:uid="{00000000-0005-0000-0000-00002D1C0000}"/>
    <cellStyle name="메모 53" xfId="7391" xr:uid="{00000000-0005-0000-0000-00002E1C0000}"/>
    <cellStyle name="메모 53 2" xfId="7392" xr:uid="{00000000-0005-0000-0000-00002F1C0000}"/>
    <cellStyle name="메모 53 3" xfId="7393" xr:uid="{00000000-0005-0000-0000-0000301C0000}"/>
    <cellStyle name="메모 54" xfId="7394" xr:uid="{00000000-0005-0000-0000-0000311C0000}"/>
    <cellStyle name="메모 54 2" xfId="7395" xr:uid="{00000000-0005-0000-0000-0000321C0000}"/>
    <cellStyle name="메모 54 3" xfId="7396" xr:uid="{00000000-0005-0000-0000-0000331C0000}"/>
    <cellStyle name="메모 55" xfId="7397" xr:uid="{00000000-0005-0000-0000-0000341C0000}"/>
    <cellStyle name="메모 56" xfId="7398" xr:uid="{00000000-0005-0000-0000-0000351C0000}"/>
    <cellStyle name="메모 57" xfId="7399" xr:uid="{00000000-0005-0000-0000-0000361C0000}"/>
    <cellStyle name="메모 58" xfId="7400" xr:uid="{00000000-0005-0000-0000-0000371C0000}"/>
    <cellStyle name="메모 59" xfId="7401" xr:uid="{00000000-0005-0000-0000-0000381C0000}"/>
    <cellStyle name="메모 6" xfId="7402" xr:uid="{00000000-0005-0000-0000-0000391C0000}"/>
    <cellStyle name="메모 6 10" xfId="7403" xr:uid="{00000000-0005-0000-0000-00003A1C0000}"/>
    <cellStyle name="메모 6 2" xfId="7404" xr:uid="{00000000-0005-0000-0000-00003B1C0000}"/>
    <cellStyle name="메모 6 2 2" xfId="7405" xr:uid="{00000000-0005-0000-0000-00003C1C0000}"/>
    <cellStyle name="메모 6 2 3" xfId="7406" xr:uid="{00000000-0005-0000-0000-00003D1C0000}"/>
    <cellStyle name="메모 6 2 4" xfId="7407" xr:uid="{00000000-0005-0000-0000-00003E1C0000}"/>
    <cellStyle name="메모 6 3" xfId="7408" xr:uid="{00000000-0005-0000-0000-00003F1C0000}"/>
    <cellStyle name="메모 6 3 2" xfId="7409" xr:uid="{00000000-0005-0000-0000-0000401C0000}"/>
    <cellStyle name="메모 6 3 3" xfId="7410" xr:uid="{00000000-0005-0000-0000-0000411C0000}"/>
    <cellStyle name="메모 6 3 4" xfId="7411" xr:uid="{00000000-0005-0000-0000-0000421C0000}"/>
    <cellStyle name="메모 6 4" xfId="7412" xr:uid="{00000000-0005-0000-0000-0000431C0000}"/>
    <cellStyle name="메모 6 4 2" xfId="7413" xr:uid="{00000000-0005-0000-0000-0000441C0000}"/>
    <cellStyle name="메모 6 4 3" xfId="7414" xr:uid="{00000000-0005-0000-0000-0000451C0000}"/>
    <cellStyle name="메모 6 4 4" xfId="7415" xr:uid="{00000000-0005-0000-0000-0000461C0000}"/>
    <cellStyle name="메모 6 5" xfId="7416" xr:uid="{00000000-0005-0000-0000-0000471C0000}"/>
    <cellStyle name="메모 6 6" xfId="7417" xr:uid="{00000000-0005-0000-0000-0000481C0000}"/>
    <cellStyle name="메모 6 7" xfId="7418" xr:uid="{00000000-0005-0000-0000-0000491C0000}"/>
    <cellStyle name="메모 6 8" xfId="7419" xr:uid="{00000000-0005-0000-0000-00004A1C0000}"/>
    <cellStyle name="메모 6 9" xfId="7420" xr:uid="{00000000-0005-0000-0000-00004B1C0000}"/>
    <cellStyle name="메모 60" xfId="7421" xr:uid="{00000000-0005-0000-0000-00004C1C0000}"/>
    <cellStyle name="메모 61" xfId="7422" xr:uid="{00000000-0005-0000-0000-00004D1C0000}"/>
    <cellStyle name="메모 62" xfId="7423" xr:uid="{00000000-0005-0000-0000-00004E1C0000}"/>
    <cellStyle name="메모 63" xfId="7424" xr:uid="{00000000-0005-0000-0000-00004F1C0000}"/>
    <cellStyle name="메모 64" xfId="7425" xr:uid="{00000000-0005-0000-0000-0000501C0000}"/>
    <cellStyle name="메모 7" xfId="7426" xr:uid="{00000000-0005-0000-0000-0000511C0000}"/>
    <cellStyle name="메모 7 10" xfId="7427" xr:uid="{00000000-0005-0000-0000-0000521C0000}"/>
    <cellStyle name="메모 7 2" xfId="7428" xr:uid="{00000000-0005-0000-0000-0000531C0000}"/>
    <cellStyle name="메모 7 2 2" xfId="7429" xr:uid="{00000000-0005-0000-0000-0000541C0000}"/>
    <cellStyle name="메모 7 2 3" xfId="7430" xr:uid="{00000000-0005-0000-0000-0000551C0000}"/>
    <cellStyle name="메모 7 2 4" xfId="7431" xr:uid="{00000000-0005-0000-0000-0000561C0000}"/>
    <cellStyle name="메모 7 3" xfId="7432" xr:uid="{00000000-0005-0000-0000-0000571C0000}"/>
    <cellStyle name="메모 7 3 2" xfId="7433" xr:uid="{00000000-0005-0000-0000-0000581C0000}"/>
    <cellStyle name="메모 7 3 3" xfId="7434" xr:uid="{00000000-0005-0000-0000-0000591C0000}"/>
    <cellStyle name="메모 7 3 4" xfId="7435" xr:uid="{00000000-0005-0000-0000-00005A1C0000}"/>
    <cellStyle name="메모 7 4" xfId="7436" xr:uid="{00000000-0005-0000-0000-00005B1C0000}"/>
    <cellStyle name="메모 7 4 2" xfId="7437" xr:uid="{00000000-0005-0000-0000-00005C1C0000}"/>
    <cellStyle name="메모 7 4 3" xfId="7438" xr:uid="{00000000-0005-0000-0000-00005D1C0000}"/>
    <cellStyle name="메모 7 4 4" xfId="7439" xr:uid="{00000000-0005-0000-0000-00005E1C0000}"/>
    <cellStyle name="메모 7 5" xfId="7440" xr:uid="{00000000-0005-0000-0000-00005F1C0000}"/>
    <cellStyle name="메모 7 6" xfId="7441" xr:uid="{00000000-0005-0000-0000-0000601C0000}"/>
    <cellStyle name="메모 7 7" xfId="7442" xr:uid="{00000000-0005-0000-0000-0000611C0000}"/>
    <cellStyle name="메모 7 8" xfId="7443" xr:uid="{00000000-0005-0000-0000-0000621C0000}"/>
    <cellStyle name="메모 7 9" xfId="7444" xr:uid="{00000000-0005-0000-0000-0000631C0000}"/>
    <cellStyle name="메모 8" xfId="7445" xr:uid="{00000000-0005-0000-0000-0000641C0000}"/>
    <cellStyle name="메모 8 2" xfId="7446" xr:uid="{00000000-0005-0000-0000-0000651C0000}"/>
    <cellStyle name="메모 8 3" xfId="7447" xr:uid="{00000000-0005-0000-0000-0000661C0000}"/>
    <cellStyle name="메모 8 4" xfId="7448" xr:uid="{00000000-0005-0000-0000-0000671C0000}"/>
    <cellStyle name="메모 8 5" xfId="7449" xr:uid="{00000000-0005-0000-0000-0000681C0000}"/>
    <cellStyle name="메모 8 6" xfId="7450" xr:uid="{00000000-0005-0000-0000-0000691C0000}"/>
    <cellStyle name="메모 8 7" xfId="7451" xr:uid="{00000000-0005-0000-0000-00006A1C0000}"/>
    <cellStyle name="메모 9" xfId="7452" xr:uid="{00000000-0005-0000-0000-00006B1C0000}"/>
    <cellStyle name="메모 9 2" xfId="7453" xr:uid="{00000000-0005-0000-0000-00006C1C0000}"/>
    <cellStyle name="메모 9 3" xfId="7454" xr:uid="{00000000-0005-0000-0000-00006D1C0000}"/>
    <cellStyle name="메모 9 4" xfId="7455" xr:uid="{00000000-0005-0000-0000-00006E1C0000}"/>
    <cellStyle name="메모 9 5" xfId="7456" xr:uid="{00000000-0005-0000-0000-00006F1C0000}"/>
    <cellStyle name="메모 9 6" xfId="7457" xr:uid="{00000000-0005-0000-0000-0000701C0000}"/>
    <cellStyle name="메모 9 7" xfId="7458" xr:uid="{00000000-0005-0000-0000-0000711C0000}"/>
    <cellStyle name="묮뎋 [0.00]_PRODUCT DETAIL Q1" xfId="7459" xr:uid="{00000000-0005-0000-0000-0000721C0000}"/>
    <cellStyle name="묮뎋_PRODUCT DETAIL Q1" xfId="7460" xr:uid="{00000000-0005-0000-0000-0000731C0000}"/>
    <cellStyle name="믅됞 [0.00]_9703JPY" xfId="7461" xr:uid="{00000000-0005-0000-0000-0000741C0000}"/>
    <cellStyle name="믅됞_9703JPY" xfId="7462" xr:uid="{00000000-0005-0000-0000-0000751C0000}"/>
    <cellStyle name="미정" xfId="7463" xr:uid="{00000000-0005-0000-0000-0000761C0000}"/>
    <cellStyle name="未定義" xfId="7464" xr:uid="{00000000-0005-0000-0000-0000771C0000}"/>
    <cellStyle name="바이알" xfId="7465" xr:uid="{00000000-0005-0000-0000-0000781C0000}"/>
    <cellStyle name="백만" xfId="7466" xr:uid="{00000000-0005-0000-0000-0000791C0000}"/>
    <cellStyle name="백만 2" xfId="7467" xr:uid="{00000000-0005-0000-0000-00007A1C0000}"/>
    <cellStyle name="백만 3" xfId="7468" xr:uid="{00000000-0005-0000-0000-00007B1C0000}"/>
    <cellStyle name="백분율" xfId="2" builtinId="5"/>
    <cellStyle name="백분율 [0]" xfId="7469" xr:uid="{00000000-0005-0000-0000-00007D1C0000}"/>
    <cellStyle name="백분율 [2]" xfId="7470" xr:uid="{00000000-0005-0000-0000-00007E1C0000}"/>
    <cellStyle name="백분율 10" xfId="7471" xr:uid="{00000000-0005-0000-0000-00007F1C0000}"/>
    <cellStyle name="백분율 11" xfId="7472" xr:uid="{00000000-0005-0000-0000-0000801C0000}"/>
    <cellStyle name="백분율 12" xfId="10046" xr:uid="{00000000-0005-0000-0000-0000811C0000}"/>
    <cellStyle name="백분율 13" xfId="10054" xr:uid="{00000000-0005-0000-0000-0000821C0000}"/>
    <cellStyle name="백분율 2" xfId="13" xr:uid="{00000000-0005-0000-0000-0000831C0000}"/>
    <cellStyle name="백분율 2 2" xfId="71" xr:uid="{00000000-0005-0000-0000-0000841C0000}"/>
    <cellStyle name="백분율 2 2 2" xfId="7474" xr:uid="{00000000-0005-0000-0000-0000851C0000}"/>
    <cellStyle name="백분율 2 3" xfId="7475" xr:uid="{00000000-0005-0000-0000-0000861C0000}"/>
    <cellStyle name="백분율 2 3 2" xfId="7476" xr:uid="{00000000-0005-0000-0000-0000871C0000}"/>
    <cellStyle name="백분율 2 4" xfId="7473" xr:uid="{00000000-0005-0000-0000-0000881C0000}"/>
    <cellStyle name="백분율 3" xfId="65" xr:uid="{00000000-0005-0000-0000-0000891C0000}"/>
    <cellStyle name="백분율 3 2" xfId="7478" xr:uid="{00000000-0005-0000-0000-00008A1C0000}"/>
    <cellStyle name="백분율 3 3" xfId="7477" xr:uid="{00000000-0005-0000-0000-00008B1C0000}"/>
    <cellStyle name="백분율 4" xfId="122" xr:uid="{00000000-0005-0000-0000-00008C1C0000}"/>
    <cellStyle name="백분율 4 2" xfId="7480" xr:uid="{00000000-0005-0000-0000-00008D1C0000}"/>
    <cellStyle name="백분율 4 3" xfId="7481" xr:uid="{00000000-0005-0000-0000-00008E1C0000}"/>
    <cellStyle name="백분율 4 4" xfId="7482" xr:uid="{00000000-0005-0000-0000-00008F1C0000}"/>
    <cellStyle name="백분율 4 5" xfId="7479" xr:uid="{00000000-0005-0000-0000-0000901C0000}"/>
    <cellStyle name="백분율 5" xfId="7483" xr:uid="{00000000-0005-0000-0000-0000911C0000}"/>
    <cellStyle name="백분율 5 2" xfId="7484" xr:uid="{00000000-0005-0000-0000-0000921C0000}"/>
    <cellStyle name="백분율 6" xfId="7485" xr:uid="{00000000-0005-0000-0000-0000931C0000}"/>
    <cellStyle name="백분율 6 2" xfId="7486" xr:uid="{00000000-0005-0000-0000-0000941C0000}"/>
    <cellStyle name="백분율 7" xfId="7487" xr:uid="{00000000-0005-0000-0000-0000951C0000}"/>
    <cellStyle name="백분율 7 2" xfId="7488" xr:uid="{00000000-0005-0000-0000-0000961C0000}"/>
    <cellStyle name="백분율 8" xfId="7489" xr:uid="{00000000-0005-0000-0000-0000971C0000}"/>
    <cellStyle name="백분율 8 2" xfId="7490" xr:uid="{00000000-0005-0000-0000-0000981C0000}"/>
    <cellStyle name="백분율 9" xfId="7491" xr:uid="{00000000-0005-0000-0000-0000991C0000}"/>
    <cellStyle name="백분율 9 2" xfId="7492" xr:uid="{00000000-0005-0000-0000-00009A1C0000}"/>
    <cellStyle name="백분율[1]" xfId="7493" xr:uid="{00000000-0005-0000-0000-00009B1C0000}"/>
    <cellStyle name="버미" xfId="7494" xr:uid="{00000000-0005-0000-0000-00009C1C0000}"/>
    <cellStyle name="보고서" xfId="7495" xr:uid="{00000000-0005-0000-0000-00009D1C0000}"/>
    <cellStyle name="보고서 제목" xfId="7496" xr:uid="{00000000-0005-0000-0000-00009E1C0000}"/>
    <cellStyle name="보통 10" xfId="7497" xr:uid="{00000000-0005-0000-0000-00009F1C0000}"/>
    <cellStyle name="보통 11" xfId="7498" xr:uid="{00000000-0005-0000-0000-0000A01C0000}"/>
    <cellStyle name="보통 12" xfId="7499" xr:uid="{00000000-0005-0000-0000-0000A11C0000}"/>
    <cellStyle name="보통 13" xfId="7500" xr:uid="{00000000-0005-0000-0000-0000A21C0000}"/>
    <cellStyle name="보통 14" xfId="7501" xr:uid="{00000000-0005-0000-0000-0000A31C0000}"/>
    <cellStyle name="보통 14 2" xfId="7502" xr:uid="{00000000-0005-0000-0000-0000A41C0000}"/>
    <cellStyle name="보통 14 3" xfId="7503" xr:uid="{00000000-0005-0000-0000-0000A51C0000}"/>
    <cellStyle name="보통 15" xfId="7504" xr:uid="{00000000-0005-0000-0000-0000A61C0000}"/>
    <cellStyle name="보통 15 2" xfId="7505" xr:uid="{00000000-0005-0000-0000-0000A71C0000}"/>
    <cellStyle name="보통 15 3" xfId="7506" xr:uid="{00000000-0005-0000-0000-0000A81C0000}"/>
    <cellStyle name="보통 16" xfId="7507" xr:uid="{00000000-0005-0000-0000-0000A91C0000}"/>
    <cellStyle name="보통 16 2" xfId="7508" xr:uid="{00000000-0005-0000-0000-0000AA1C0000}"/>
    <cellStyle name="보통 16 3" xfId="7509" xr:uid="{00000000-0005-0000-0000-0000AB1C0000}"/>
    <cellStyle name="보통 17" xfId="7510" xr:uid="{00000000-0005-0000-0000-0000AC1C0000}"/>
    <cellStyle name="보통 17 2" xfId="7511" xr:uid="{00000000-0005-0000-0000-0000AD1C0000}"/>
    <cellStyle name="보통 17 3" xfId="7512" xr:uid="{00000000-0005-0000-0000-0000AE1C0000}"/>
    <cellStyle name="보통 18" xfId="7513" xr:uid="{00000000-0005-0000-0000-0000AF1C0000}"/>
    <cellStyle name="보통 18 2" xfId="7514" xr:uid="{00000000-0005-0000-0000-0000B01C0000}"/>
    <cellStyle name="보통 18 3" xfId="7515" xr:uid="{00000000-0005-0000-0000-0000B11C0000}"/>
    <cellStyle name="보통 19" xfId="7516" xr:uid="{00000000-0005-0000-0000-0000B21C0000}"/>
    <cellStyle name="보통 19 2" xfId="7517" xr:uid="{00000000-0005-0000-0000-0000B31C0000}"/>
    <cellStyle name="보통 19 3" xfId="7518" xr:uid="{00000000-0005-0000-0000-0000B41C0000}"/>
    <cellStyle name="보통 2" xfId="7519" xr:uid="{00000000-0005-0000-0000-0000B51C0000}"/>
    <cellStyle name="보통 2 10" xfId="7520" xr:uid="{00000000-0005-0000-0000-0000B61C0000}"/>
    <cellStyle name="보통 2 11" xfId="7521" xr:uid="{00000000-0005-0000-0000-0000B71C0000}"/>
    <cellStyle name="보통 2 12" xfId="7522" xr:uid="{00000000-0005-0000-0000-0000B81C0000}"/>
    <cellStyle name="보통 2 13" xfId="7523" xr:uid="{00000000-0005-0000-0000-0000B91C0000}"/>
    <cellStyle name="보통 2 14" xfId="7524" xr:uid="{00000000-0005-0000-0000-0000BA1C0000}"/>
    <cellStyle name="보통 2 15" xfId="7525" xr:uid="{00000000-0005-0000-0000-0000BB1C0000}"/>
    <cellStyle name="보통 2 16" xfId="7526" xr:uid="{00000000-0005-0000-0000-0000BC1C0000}"/>
    <cellStyle name="보통 2 17" xfId="7527" xr:uid="{00000000-0005-0000-0000-0000BD1C0000}"/>
    <cellStyle name="보통 2 18" xfId="7528" xr:uid="{00000000-0005-0000-0000-0000BE1C0000}"/>
    <cellStyle name="보통 2 19" xfId="7529" xr:uid="{00000000-0005-0000-0000-0000BF1C0000}"/>
    <cellStyle name="보통 2 2" xfId="7530" xr:uid="{00000000-0005-0000-0000-0000C01C0000}"/>
    <cellStyle name="보통 2 20" xfId="7531" xr:uid="{00000000-0005-0000-0000-0000C11C0000}"/>
    <cellStyle name="보통 2 21" xfId="7532" xr:uid="{00000000-0005-0000-0000-0000C21C0000}"/>
    <cellStyle name="보통 2 22" xfId="7533" xr:uid="{00000000-0005-0000-0000-0000C31C0000}"/>
    <cellStyle name="보통 2 23" xfId="7534" xr:uid="{00000000-0005-0000-0000-0000C41C0000}"/>
    <cellStyle name="보통 2 24" xfId="7535" xr:uid="{00000000-0005-0000-0000-0000C51C0000}"/>
    <cellStyle name="보통 2 25" xfId="7536" xr:uid="{00000000-0005-0000-0000-0000C61C0000}"/>
    <cellStyle name="보통 2 26" xfId="7537" xr:uid="{00000000-0005-0000-0000-0000C71C0000}"/>
    <cellStyle name="보통 2 27" xfId="7538" xr:uid="{00000000-0005-0000-0000-0000C81C0000}"/>
    <cellStyle name="보통 2 28" xfId="7539" xr:uid="{00000000-0005-0000-0000-0000C91C0000}"/>
    <cellStyle name="보통 2 29" xfId="7540" xr:uid="{00000000-0005-0000-0000-0000CA1C0000}"/>
    <cellStyle name="보통 2 3" xfId="7541" xr:uid="{00000000-0005-0000-0000-0000CB1C0000}"/>
    <cellStyle name="보통 2 30" xfId="7542" xr:uid="{00000000-0005-0000-0000-0000CC1C0000}"/>
    <cellStyle name="보통 2 31" xfId="7543" xr:uid="{00000000-0005-0000-0000-0000CD1C0000}"/>
    <cellStyle name="보통 2 32" xfId="7544" xr:uid="{00000000-0005-0000-0000-0000CE1C0000}"/>
    <cellStyle name="보통 2 33" xfId="7545" xr:uid="{00000000-0005-0000-0000-0000CF1C0000}"/>
    <cellStyle name="보통 2 34" xfId="7546" xr:uid="{00000000-0005-0000-0000-0000D01C0000}"/>
    <cellStyle name="보통 2 35" xfId="7547" xr:uid="{00000000-0005-0000-0000-0000D11C0000}"/>
    <cellStyle name="보통 2 36" xfId="7548" xr:uid="{00000000-0005-0000-0000-0000D21C0000}"/>
    <cellStyle name="보통 2 37" xfId="7549" xr:uid="{00000000-0005-0000-0000-0000D31C0000}"/>
    <cellStyle name="보통 2 38" xfId="7550" xr:uid="{00000000-0005-0000-0000-0000D41C0000}"/>
    <cellStyle name="보통 2 39" xfId="7551" xr:uid="{00000000-0005-0000-0000-0000D51C0000}"/>
    <cellStyle name="보통 2 4" xfId="7552" xr:uid="{00000000-0005-0000-0000-0000D61C0000}"/>
    <cellStyle name="보통 2 5" xfId="7553" xr:uid="{00000000-0005-0000-0000-0000D71C0000}"/>
    <cellStyle name="보통 2 6" xfId="7554" xr:uid="{00000000-0005-0000-0000-0000D81C0000}"/>
    <cellStyle name="보통 2 7" xfId="7555" xr:uid="{00000000-0005-0000-0000-0000D91C0000}"/>
    <cellStyle name="보통 2 8" xfId="7556" xr:uid="{00000000-0005-0000-0000-0000DA1C0000}"/>
    <cellStyle name="보통 2 9" xfId="7557" xr:uid="{00000000-0005-0000-0000-0000DB1C0000}"/>
    <cellStyle name="보통 20" xfId="7558" xr:uid="{00000000-0005-0000-0000-0000DC1C0000}"/>
    <cellStyle name="보통 21" xfId="7559" xr:uid="{00000000-0005-0000-0000-0000DD1C0000}"/>
    <cellStyle name="보통 22" xfId="7560" xr:uid="{00000000-0005-0000-0000-0000DE1C0000}"/>
    <cellStyle name="보통 23" xfId="7561" xr:uid="{00000000-0005-0000-0000-0000DF1C0000}"/>
    <cellStyle name="보통 24" xfId="7562" xr:uid="{00000000-0005-0000-0000-0000E01C0000}"/>
    <cellStyle name="보통 25" xfId="7563" xr:uid="{00000000-0005-0000-0000-0000E11C0000}"/>
    <cellStyle name="보통 26" xfId="7564" xr:uid="{00000000-0005-0000-0000-0000E21C0000}"/>
    <cellStyle name="보통 27" xfId="7565" xr:uid="{00000000-0005-0000-0000-0000E31C0000}"/>
    <cellStyle name="보통 27 2" xfId="7566" xr:uid="{00000000-0005-0000-0000-0000E41C0000}"/>
    <cellStyle name="보통 28" xfId="7567" xr:uid="{00000000-0005-0000-0000-0000E51C0000}"/>
    <cellStyle name="보통 29" xfId="7568" xr:uid="{00000000-0005-0000-0000-0000E61C0000}"/>
    <cellStyle name="보통 3" xfId="7569" xr:uid="{00000000-0005-0000-0000-0000E71C0000}"/>
    <cellStyle name="보통 3 2" xfId="7570" xr:uid="{00000000-0005-0000-0000-0000E81C0000}"/>
    <cellStyle name="보통 3 3" xfId="7571" xr:uid="{00000000-0005-0000-0000-0000E91C0000}"/>
    <cellStyle name="보통 3 4" xfId="7572" xr:uid="{00000000-0005-0000-0000-0000EA1C0000}"/>
    <cellStyle name="보통 30" xfId="7573" xr:uid="{00000000-0005-0000-0000-0000EB1C0000}"/>
    <cellStyle name="보통 31" xfId="7574" xr:uid="{00000000-0005-0000-0000-0000EC1C0000}"/>
    <cellStyle name="보통 32" xfId="7575" xr:uid="{00000000-0005-0000-0000-0000ED1C0000}"/>
    <cellStyle name="보통 33" xfId="7576" xr:uid="{00000000-0005-0000-0000-0000EE1C0000}"/>
    <cellStyle name="보통 34" xfId="7577" xr:uid="{00000000-0005-0000-0000-0000EF1C0000}"/>
    <cellStyle name="보통 35" xfId="7578" xr:uid="{00000000-0005-0000-0000-0000F01C0000}"/>
    <cellStyle name="보통 36" xfId="7579" xr:uid="{00000000-0005-0000-0000-0000F11C0000}"/>
    <cellStyle name="보통 37" xfId="7580" xr:uid="{00000000-0005-0000-0000-0000F21C0000}"/>
    <cellStyle name="보통 37 2" xfId="7581" xr:uid="{00000000-0005-0000-0000-0000F31C0000}"/>
    <cellStyle name="보통 38" xfId="7582" xr:uid="{00000000-0005-0000-0000-0000F41C0000}"/>
    <cellStyle name="보통 39" xfId="7583" xr:uid="{00000000-0005-0000-0000-0000F51C0000}"/>
    <cellStyle name="보통 4" xfId="7584" xr:uid="{00000000-0005-0000-0000-0000F61C0000}"/>
    <cellStyle name="보통 4 2" xfId="7585" xr:uid="{00000000-0005-0000-0000-0000F71C0000}"/>
    <cellStyle name="보통 4 3" xfId="7586" xr:uid="{00000000-0005-0000-0000-0000F81C0000}"/>
    <cellStyle name="보통 4 4" xfId="7587" xr:uid="{00000000-0005-0000-0000-0000F91C0000}"/>
    <cellStyle name="보통 40" xfId="7588" xr:uid="{00000000-0005-0000-0000-0000FA1C0000}"/>
    <cellStyle name="보통 41" xfId="7589" xr:uid="{00000000-0005-0000-0000-0000FB1C0000}"/>
    <cellStyle name="보통 42" xfId="7590" xr:uid="{00000000-0005-0000-0000-0000FC1C0000}"/>
    <cellStyle name="보통 43" xfId="7591" xr:uid="{00000000-0005-0000-0000-0000FD1C0000}"/>
    <cellStyle name="보통 44" xfId="7592" xr:uid="{00000000-0005-0000-0000-0000FE1C0000}"/>
    <cellStyle name="보통 45" xfId="7593" xr:uid="{00000000-0005-0000-0000-0000FF1C0000}"/>
    <cellStyle name="보통 45 2" xfId="7594" xr:uid="{00000000-0005-0000-0000-0000001D0000}"/>
    <cellStyle name="보통 45 3" xfId="7595" xr:uid="{00000000-0005-0000-0000-0000011D0000}"/>
    <cellStyle name="보통 46" xfId="7596" xr:uid="{00000000-0005-0000-0000-0000021D0000}"/>
    <cellStyle name="보통 47" xfId="7597" xr:uid="{00000000-0005-0000-0000-0000031D0000}"/>
    <cellStyle name="보통 48" xfId="7598" xr:uid="{00000000-0005-0000-0000-0000041D0000}"/>
    <cellStyle name="보통 49" xfId="7599" xr:uid="{00000000-0005-0000-0000-0000051D0000}"/>
    <cellStyle name="보통 5" xfId="7600" xr:uid="{00000000-0005-0000-0000-0000061D0000}"/>
    <cellStyle name="보통 5 2" xfId="7601" xr:uid="{00000000-0005-0000-0000-0000071D0000}"/>
    <cellStyle name="보통 5 3" xfId="7602" xr:uid="{00000000-0005-0000-0000-0000081D0000}"/>
    <cellStyle name="보통 5 4" xfId="7603" xr:uid="{00000000-0005-0000-0000-0000091D0000}"/>
    <cellStyle name="보통 50" xfId="7604" xr:uid="{00000000-0005-0000-0000-00000A1D0000}"/>
    <cellStyle name="보통 51" xfId="7605" xr:uid="{00000000-0005-0000-0000-00000B1D0000}"/>
    <cellStyle name="보통 52" xfId="7606" xr:uid="{00000000-0005-0000-0000-00000C1D0000}"/>
    <cellStyle name="보통 53" xfId="7607" xr:uid="{00000000-0005-0000-0000-00000D1D0000}"/>
    <cellStyle name="보통 54" xfId="7608" xr:uid="{00000000-0005-0000-0000-00000E1D0000}"/>
    <cellStyle name="보통 55" xfId="7609" xr:uid="{00000000-0005-0000-0000-00000F1D0000}"/>
    <cellStyle name="보통 6" xfId="7610" xr:uid="{00000000-0005-0000-0000-0000101D0000}"/>
    <cellStyle name="보통 6 2" xfId="7611" xr:uid="{00000000-0005-0000-0000-0000111D0000}"/>
    <cellStyle name="보통 6 3" xfId="7612" xr:uid="{00000000-0005-0000-0000-0000121D0000}"/>
    <cellStyle name="보통 6 4" xfId="7613" xr:uid="{00000000-0005-0000-0000-0000131D0000}"/>
    <cellStyle name="보통 7" xfId="7614" xr:uid="{00000000-0005-0000-0000-0000141D0000}"/>
    <cellStyle name="보통 7 2" xfId="7615" xr:uid="{00000000-0005-0000-0000-0000151D0000}"/>
    <cellStyle name="보통 7 3" xfId="7616" xr:uid="{00000000-0005-0000-0000-0000161D0000}"/>
    <cellStyle name="보통 7 4" xfId="7617" xr:uid="{00000000-0005-0000-0000-0000171D0000}"/>
    <cellStyle name="보통 8" xfId="7618" xr:uid="{00000000-0005-0000-0000-0000181D0000}"/>
    <cellStyle name="보통 9" xfId="7619" xr:uid="{00000000-0005-0000-0000-0000191D0000}"/>
    <cellStyle name="普通_格式 " xfId="7620" xr:uid="{00000000-0005-0000-0000-00001A1D0000}"/>
    <cellStyle name="뷭?" xfId="7621" xr:uid="{00000000-0005-0000-0000-00001B1D0000}"/>
    <cellStyle name="뷭? 2" xfId="7622" xr:uid="{00000000-0005-0000-0000-00001C1D0000}"/>
    <cellStyle name="뷭? 2 2" xfId="7623" xr:uid="{00000000-0005-0000-0000-00001D1D0000}"/>
    <cellStyle name="삼일-금지" xfId="7624" xr:uid="{00000000-0005-0000-0000-00001E1D0000}"/>
    <cellStyle name="삼일-금지 2" xfId="7625" xr:uid="{00000000-0005-0000-0000-00001F1D0000}"/>
    <cellStyle name="삼일-입력" xfId="7626" xr:uid="{00000000-0005-0000-0000-0000201D0000}"/>
    <cellStyle name="삼일-입력 2" xfId="7627" xr:uid="{00000000-0005-0000-0000-0000211D0000}"/>
    <cellStyle name="常?_investee status_alibaba" xfId="7628" xr:uid="{00000000-0005-0000-0000-0000221D0000}"/>
    <cellStyle name="常规_format" xfId="7629" xr:uid="{00000000-0005-0000-0000-0000231D0000}"/>
    <cellStyle name="새귑[0]_롤痰삠悧 " xfId="7630" xr:uid="{00000000-0005-0000-0000-0000241D0000}"/>
    <cellStyle name="새귑_롤痰삠悧 " xfId="7631" xr:uid="{00000000-0005-0000-0000-0000251D0000}"/>
    <cellStyle name="鱔 [0]_渠掘 " xfId="7632" xr:uid="{00000000-0005-0000-0000-0000261D0000}"/>
    <cellStyle name="鱔_渠掘 " xfId="7633" xr:uid="{00000000-0005-0000-0000-0000271D0000}"/>
    <cellStyle name="선택영역의 가운데로" xfId="7634" xr:uid="{00000000-0005-0000-0000-0000281D0000}"/>
    <cellStyle name="선택영역의 가운데로 2" xfId="7635" xr:uid="{00000000-0005-0000-0000-0000291D0000}"/>
    <cellStyle name="선택중앙" xfId="7636" xr:uid="{00000000-0005-0000-0000-00002A1D0000}"/>
    <cellStyle name="설계서-내용" xfId="7637" xr:uid="{00000000-0005-0000-0000-00002B1D0000}"/>
    <cellStyle name="설계서-내용-소수점" xfId="7638" xr:uid="{00000000-0005-0000-0000-00002C1D0000}"/>
    <cellStyle name="설계서-내용-우" xfId="7639" xr:uid="{00000000-0005-0000-0000-00002D1D0000}"/>
    <cellStyle name="설계서-내용-좌" xfId="7640" xr:uid="{00000000-0005-0000-0000-00002E1D0000}"/>
    <cellStyle name="설계서-소제목" xfId="7641" xr:uid="{00000000-0005-0000-0000-00002F1D0000}"/>
    <cellStyle name="설계서-타이틀" xfId="7642" xr:uid="{00000000-0005-0000-0000-0000301D0000}"/>
    <cellStyle name="설계서-항목" xfId="7643" xr:uid="{00000000-0005-0000-0000-0000311D0000}"/>
    <cellStyle name="설명 텍스트 10" xfId="7644" xr:uid="{00000000-0005-0000-0000-0000321D0000}"/>
    <cellStyle name="설명 텍스트 11" xfId="7645" xr:uid="{00000000-0005-0000-0000-0000331D0000}"/>
    <cellStyle name="설명 텍스트 12" xfId="7646" xr:uid="{00000000-0005-0000-0000-0000341D0000}"/>
    <cellStyle name="설명 텍스트 13" xfId="7647" xr:uid="{00000000-0005-0000-0000-0000351D0000}"/>
    <cellStyle name="설명 텍스트 14" xfId="7648" xr:uid="{00000000-0005-0000-0000-0000361D0000}"/>
    <cellStyle name="설명 텍스트 14 2" xfId="7649" xr:uid="{00000000-0005-0000-0000-0000371D0000}"/>
    <cellStyle name="설명 텍스트 14 3" xfId="7650" xr:uid="{00000000-0005-0000-0000-0000381D0000}"/>
    <cellStyle name="설명 텍스트 15" xfId="7651" xr:uid="{00000000-0005-0000-0000-0000391D0000}"/>
    <cellStyle name="설명 텍스트 15 2" xfId="7652" xr:uid="{00000000-0005-0000-0000-00003A1D0000}"/>
    <cellStyle name="설명 텍스트 15 3" xfId="7653" xr:uid="{00000000-0005-0000-0000-00003B1D0000}"/>
    <cellStyle name="설명 텍스트 16" xfId="7654" xr:uid="{00000000-0005-0000-0000-00003C1D0000}"/>
    <cellStyle name="설명 텍스트 16 2" xfId="7655" xr:uid="{00000000-0005-0000-0000-00003D1D0000}"/>
    <cellStyle name="설명 텍스트 16 3" xfId="7656" xr:uid="{00000000-0005-0000-0000-00003E1D0000}"/>
    <cellStyle name="설명 텍스트 17" xfId="7657" xr:uid="{00000000-0005-0000-0000-00003F1D0000}"/>
    <cellStyle name="설명 텍스트 17 2" xfId="7658" xr:uid="{00000000-0005-0000-0000-0000401D0000}"/>
    <cellStyle name="설명 텍스트 17 3" xfId="7659" xr:uid="{00000000-0005-0000-0000-0000411D0000}"/>
    <cellStyle name="설명 텍스트 18" xfId="7660" xr:uid="{00000000-0005-0000-0000-0000421D0000}"/>
    <cellStyle name="설명 텍스트 18 2" xfId="7661" xr:uid="{00000000-0005-0000-0000-0000431D0000}"/>
    <cellStyle name="설명 텍스트 18 3" xfId="7662" xr:uid="{00000000-0005-0000-0000-0000441D0000}"/>
    <cellStyle name="설명 텍스트 19" xfId="7663" xr:uid="{00000000-0005-0000-0000-0000451D0000}"/>
    <cellStyle name="설명 텍스트 19 2" xfId="7664" xr:uid="{00000000-0005-0000-0000-0000461D0000}"/>
    <cellStyle name="설명 텍스트 19 3" xfId="7665" xr:uid="{00000000-0005-0000-0000-0000471D0000}"/>
    <cellStyle name="설명 텍스트 2" xfId="7666" xr:uid="{00000000-0005-0000-0000-0000481D0000}"/>
    <cellStyle name="설명 텍스트 2 10" xfId="7667" xr:uid="{00000000-0005-0000-0000-0000491D0000}"/>
    <cellStyle name="설명 텍스트 2 11" xfId="7668" xr:uid="{00000000-0005-0000-0000-00004A1D0000}"/>
    <cellStyle name="설명 텍스트 2 12" xfId="7669" xr:uid="{00000000-0005-0000-0000-00004B1D0000}"/>
    <cellStyle name="설명 텍스트 2 13" xfId="7670" xr:uid="{00000000-0005-0000-0000-00004C1D0000}"/>
    <cellStyle name="설명 텍스트 2 14" xfId="7671" xr:uid="{00000000-0005-0000-0000-00004D1D0000}"/>
    <cellStyle name="설명 텍스트 2 15" xfId="7672" xr:uid="{00000000-0005-0000-0000-00004E1D0000}"/>
    <cellStyle name="설명 텍스트 2 16" xfId="7673" xr:uid="{00000000-0005-0000-0000-00004F1D0000}"/>
    <cellStyle name="설명 텍스트 2 17" xfId="7674" xr:uid="{00000000-0005-0000-0000-0000501D0000}"/>
    <cellStyle name="설명 텍스트 2 18" xfId="7675" xr:uid="{00000000-0005-0000-0000-0000511D0000}"/>
    <cellStyle name="설명 텍스트 2 19" xfId="7676" xr:uid="{00000000-0005-0000-0000-0000521D0000}"/>
    <cellStyle name="설명 텍스트 2 2" xfId="7677" xr:uid="{00000000-0005-0000-0000-0000531D0000}"/>
    <cellStyle name="설명 텍스트 2 20" xfId="7678" xr:uid="{00000000-0005-0000-0000-0000541D0000}"/>
    <cellStyle name="설명 텍스트 2 21" xfId="7679" xr:uid="{00000000-0005-0000-0000-0000551D0000}"/>
    <cellStyle name="설명 텍스트 2 22" xfId="7680" xr:uid="{00000000-0005-0000-0000-0000561D0000}"/>
    <cellStyle name="설명 텍스트 2 23" xfId="7681" xr:uid="{00000000-0005-0000-0000-0000571D0000}"/>
    <cellStyle name="설명 텍스트 2 24" xfId="7682" xr:uid="{00000000-0005-0000-0000-0000581D0000}"/>
    <cellStyle name="설명 텍스트 2 25" xfId="7683" xr:uid="{00000000-0005-0000-0000-0000591D0000}"/>
    <cellStyle name="설명 텍스트 2 26" xfId="7684" xr:uid="{00000000-0005-0000-0000-00005A1D0000}"/>
    <cellStyle name="설명 텍스트 2 27" xfId="7685" xr:uid="{00000000-0005-0000-0000-00005B1D0000}"/>
    <cellStyle name="설명 텍스트 2 28" xfId="7686" xr:uid="{00000000-0005-0000-0000-00005C1D0000}"/>
    <cellStyle name="설명 텍스트 2 29" xfId="7687" xr:uid="{00000000-0005-0000-0000-00005D1D0000}"/>
    <cellStyle name="설명 텍스트 2 3" xfId="7688" xr:uid="{00000000-0005-0000-0000-00005E1D0000}"/>
    <cellStyle name="설명 텍스트 2 30" xfId="7689" xr:uid="{00000000-0005-0000-0000-00005F1D0000}"/>
    <cellStyle name="설명 텍스트 2 31" xfId="7690" xr:uid="{00000000-0005-0000-0000-0000601D0000}"/>
    <cellStyle name="설명 텍스트 2 32" xfId="7691" xr:uid="{00000000-0005-0000-0000-0000611D0000}"/>
    <cellStyle name="설명 텍스트 2 33" xfId="7692" xr:uid="{00000000-0005-0000-0000-0000621D0000}"/>
    <cellStyle name="설명 텍스트 2 34" xfId="7693" xr:uid="{00000000-0005-0000-0000-0000631D0000}"/>
    <cellStyle name="설명 텍스트 2 35" xfId="7694" xr:uid="{00000000-0005-0000-0000-0000641D0000}"/>
    <cellStyle name="설명 텍스트 2 36" xfId="7695" xr:uid="{00000000-0005-0000-0000-0000651D0000}"/>
    <cellStyle name="설명 텍스트 2 37" xfId="7696" xr:uid="{00000000-0005-0000-0000-0000661D0000}"/>
    <cellStyle name="설명 텍스트 2 38" xfId="7697" xr:uid="{00000000-0005-0000-0000-0000671D0000}"/>
    <cellStyle name="설명 텍스트 2 39" xfId="7698" xr:uid="{00000000-0005-0000-0000-0000681D0000}"/>
    <cellStyle name="설명 텍스트 2 4" xfId="7699" xr:uid="{00000000-0005-0000-0000-0000691D0000}"/>
    <cellStyle name="설명 텍스트 2 5" xfId="7700" xr:uid="{00000000-0005-0000-0000-00006A1D0000}"/>
    <cellStyle name="설명 텍스트 2 6" xfId="7701" xr:uid="{00000000-0005-0000-0000-00006B1D0000}"/>
    <cellStyle name="설명 텍스트 2 7" xfId="7702" xr:uid="{00000000-0005-0000-0000-00006C1D0000}"/>
    <cellStyle name="설명 텍스트 2 8" xfId="7703" xr:uid="{00000000-0005-0000-0000-00006D1D0000}"/>
    <cellStyle name="설명 텍스트 2 9" xfId="7704" xr:uid="{00000000-0005-0000-0000-00006E1D0000}"/>
    <cellStyle name="설명 텍스트 20" xfId="7705" xr:uid="{00000000-0005-0000-0000-00006F1D0000}"/>
    <cellStyle name="설명 텍스트 21" xfId="7706" xr:uid="{00000000-0005-0000-0000-0000701D0000}"/>
    <cellStyle name="설명 텍스트 22" xfId="7707" xr:uid="{00000000-0005-0000-0000-0000711D0000}"/>
    <cellStyle name="설명 텍스트 23" xfId="7708" xr:uid="{00000000-0005-0000-0000-0000721D0000}"/>
    <cellStyle name="설명 텍스트 24" xfId="7709" xr:uid="{00000000-0005-0000-0000-0000731D0000}"/>
    <cellStyle name="설명 텍스트 25" xfId="7710" xr:uid="{00000000-0005-0000-0000-0000741D0000}"/>
    <cellStyle name="설명 텍스트 26" xfId="7711" xr:uid="{00000000-0005-0000-0000-0000751D0000}"/>
    <cellStyle name="설명 텍스트 27" xfId="7712" xr:uid="{00000000-0005-0000-0000-0000761D0000}"/>
    <cellStyle name="설명 텍스트 27 2" xfId="7713" xr:uid="{00000000-0005-0000-0000-0000771D0000}"/>
    <cellStyle name="설명 텍스트 28" xfId="7714" xr:uid="{00000000-0005-0000-0000-0000781D0000}"/>
    <cellStyle name="설명 텍스트 29" xfId="7715" xr:uid="{00000000-0005-0000-0000-0000791D0000}"/>
    <cellStyle name="설명 텍스트 3" xfId="7716" xr:uid="{00000000-0005-0000-0000-00007A1D0000}"/>
    <cellStyle name="설명 텍스트 3 2" xfId="7717" xr:uid="{00000000-0005-0000-0000-00007B1D0000}"/>
    <cellStyle name="설명 텍스트 3 3" xfId="7718" xr:uid="{00000000-0005-0000-0000-00007C1D0000}"/>
    <cellStyle name="설명 텍스트 3 4" xfId="7719" xr:uid="{00000000-0005-0000-0000-00007D1D0000}"/>
    <cellStyle name="설명 텍스트 30" xfId="7720" xr:uid="{00000000-0005-0000-0000-00007E1D0000}"/>
    <cellStyle name="설명 텍스트 31" xfId="7721" xr:uid="{00000000-0005-0000-0000-00007F1D0000}"/>
    <cellStyle name="설명 텍스트 32" xfId="7722" xr:uid="{00000000-0005-0000-0000-0000801D0000}"/>
    <cellStyle name="설명 텍스트 33" xfId="7723" xr:uid="{00000000-0005-0000-0000-0000811D0000}"/>
    <cellStyle name="설명 텍스트 34" xfId="7724" xr:uid="{00000000-0005-0000-0000-0000821D0000}"/>
    <cellStyle name="설명 텍스트 35" xfId="7725" xr:uid="{00000000-0005-0000-0000-0000831D0000}"/>
    <cellStyle name="설명 텍스트 36" xfId="7726" xr:uid="{00000000-0005-0000-0000-0000841D0000}"/>
    <cellStyle name="설명 텍스트 37" xfId="7727" xr:uid="{00000000-0005-0000-0000-0000851D0000}"/>
    <cellStyle name="설명 텍스트 37 2" xfId="7728" xr:uid="{00000000-0005-0000-0000-0000861D0000}"/>
    <cellStyle name="설명 텍스트 38" xfId="7729" xr:uid="{00000000-0005-0000-0000-0000871D0000}"/>
    <cellStyle name="설명 텍스트 39" xfId="7730" xr:uid="{00000000-0005-0000-0000-0000881D0000}"/>
    <cellStyle name="설명 텍스트 4" xfId="7731" xr:uid="{00000000-0005-0000-0000-0000891D0000}"/>
    <cellStyle name="설명 텍스트 4 2" xfId="7732" xr:uid="{00000000-0005-0000-0000-00008A1D0000}"/>
    <cellStyle name="설명 텍스트 4 3" xfId="7733" xr:uid="{00000000-0005-0000-0000-00008B1D0000}"/>
    <cellStyle name="설명 텍스트 4 4" xfId="7734" xr:uid="{00000000-0005-0000-0000-00008C1D0000}"/>
    <cellStyle name="설명 텍스트 40" xfId="7735" xr:uid="{00000000-0005-0000-0000-00008D1D0000}"/>
    <cellStyle name="설명 텍스트 41" xfId="7736" xr:uid="{00000000-0005-0000-0000-00008E1D0000}"/>
    <cellStyle name="설명 텍스트 42" xfId="7737" xr:uid="{00000000-0005-0000-0000-00008F1D0000}"/>
    <cellStyle name="설명 텍스트 43" xfId="7738" xr:uid="{00000000-0005-0000-0000-0000901D0000}"/>
    <cellStyle name="설명 텍스트 44" xfId="7739" xr:uid="{00000000-0005-0000-0000-0000911D0000}"/>
    <cellStyle name="설명 텍스트 45" xfId="7740" xr:uid="{00000000-0005-0000-0000-0000921D0000}"/>
    <cellStyle name="설명 텍스트 45 2" xfId="7741" xr:uid="{00000000-0005-0000-0000-0000931D0000}"/>
    <cellStyle name="설명 텍스트 45 3" xfId="7742" xr:uid="{00000000-0005-0000-0000-0000941D0000}"/>
    <cellStyle name="설명 텍스트 46" xfId="7743" xr:uid="{00000000-0005-0000-0000-0000951D0000}"/>
    <cellStyle name="설명 텍스트 47" xfId="7744" xr:uid="{00000000-0005-0000-0000-0000961D0000}"/>
    <cellStyle name="설명 텍스트 48" xfId="7745" xr:uid="{00000000-0005-0000-0000-0000971D0000}"/>
    <cellStyle name="설명 텍스트 49" xfId="7746" xr:uid="{00000000-0005-0000-0000-0000981D0000}"/>
    <cellStyle name="설명 텍스트 5" xfId="7747" xr:uid="{00000000-0005-0000-0000-0000991D0000}"/>
    <cellStyle name="설명 텍스트 5 2" xfId="7748" xr:uid="{00000000-0005-0000-0000-00009A1D0000}"/>
    <cellStyle name="설명 텍스트 5 3" xfId="7749" xr:uid="{00000000-0005-0000-0000-00009B1D0000}"/>
    <cellStyle name="설명 텍스트 5 4" xfId="7750" xr:uid="{00000000-0005-0000-0000-00009C1D0000}"/>
    <cellStyle name="설명 텍스트 50" xfId="7751" xr:uid="{00000000-0005-0000-0000-00009D1D0000}"/>
    <cellStyle name="설명 텍스트 51" xfId="7752" xr:uid="{00000000-0005-0000-0000-00009E1D0000}"/>
    <cellStyle name="설명 텍스트 52" xfId="7753" xr:uid="{00000000-0005-0000-0000-00009F1D0000}"/>
    <cellStyle name="설명 텍스트 53" xfId="7754" xr:uid="{00000000-0005-0000-0000-0000A01D0000}"/>
    <cellStyle name="설명 텍스트 54" xfId="7755" xr:uid="{00000000-0005-0000-0000-0000A11D0000}"/>
    <cellStyle name="설명 텍스트 55" xfId="7756" xr:uid="{00000000-0005-0000-0000-0000A21D0000}"/>
    <cellStyle name="설명 텍스트 6" xfId="7757" xr:uid="{00000000-0005-0000-0000-0000A31D0000}"/>
    <cellStyle name="설명 텍스트 6 2" xfId="7758" xr:uid="{00000000-0005-0000-0000-0000A41D0000}"/>
    <cellStyle name="설명 텍스트 6 3" xfId="7759" xr:uid="{00000000-0005-0000-0000-0000A51D0000}"/>
    <cellStyle name="설명 텍스트 6 4" xfId="7760" xr:uid="{00000000-0005-0000-0000-0000A61D0000}"/>
    <cellStyle name="설명 텍스트 7" xfId="7761" xr:uid="{00000000-0005-0000-0000-0000A71D0000}"/>
    <cellStyle name="설명 텍스트 7 2" xfId="7762" xr:uid="{00000000-0005-0000-0000-0000A81D0000}"/>
    <cellStyle name="설명 텍스트 7 3" xfId="7763" xr:uid="{00000000-0005-0000-0000-0000A91D0000}"/>
    <cellStyle name="설명 텍스트 7 4" xfId="7764" xr:uid="{00000000-0005-0000-0000-0000AA1D0000}"/>
    <cellStyle name="설명 텍스트 8" xfId="7765" xr:uid="{00000000-0005-0000-0000-0000AB1D0000}"/>
    <cellStyle name="설명 텍스트 9" xfId="7766" xr:uid="{00000000-0005-0000-0000-0000AC1D0000}"/>
    <cellStyle name="셀 확인 10" xfId="7767" xr:uid="{00000000-0005-0000-0000-0000AD1D0000}"/>
    <cellStyle name="셀 확인 11" xfId="7768" xr:uid="{00000000-0005-0000-0000-0000AE1D0000}"/>
    <cellStyle name="셀 확인 12" xfId="7769" xr:uid="{00000000-0005-0000-0000-0000AF1D0000}"/>
    <cellStyle name="셀 확인 13" xfId="7770" xr:uid="{00000000-0005-0000-0000-0000B01D0000}"/>
    <cellStyle name="셀 확인 14" xfId="7771" xr:uid="{00000000-0005-0000-0000-0000B11D0000}"/>
    <cellStyle name="셀 확인 14 2" xfId="7772" xr:uid="{00000000-0005-0000-0000-0000B21D0000}"/>
    <cellStyle name="셀 확인 14 3" xfId="7773" xr:uid="{00000000-0005-0000-0000-0000B31D0000}"/>
    <cellStyle name="셀 확인 15" xfId="7774" xr:uid="{00000000-0005-0000-0000-0000B41D0000}"/>
    <cellStyle name="셀 확인 15 2" xfId="7775" xr:uid="{00000000-0005-0000-0000-0000B51D0000}"/>
    <cellStyle name="셀 확인 15 3" xfId="7776" xr:uid="{00000000-0005-0000-0000-0000B61D0000}"/>
    <cellStyle name="셀 확인 16" xfId="7777" xr:uid="{00000000-0005-0000-0000-0000B71D0000}"/>
    <cellStyle name="셀 확인 16 2" xfId="7778" xr:uid="{00000000-0005-0000-0000-0000B81D0000}"/>
    <cellStyle name="셀 확인 16 3" xfId="7779" xr:uid="{00000000-0005-0000-0000-0000B91D0000}"/>
    <cellStyle name="셀 확인 17" xfId="7780" xr:uid="{00000000-0005-0000-0000-0000BA1D0000}"/>
    <cellStyle name="셀 확인 17 2" xfId="7781" xr:uid="{00000000-0005-0000-0000-0000BB1D0000}"/>
    <cellStyle name="셀 확인 17 3" xfId="7782" xr:uid="{00000000-0005-0000-0000-0000BC1D0000}"/>
    <cellStyle name="셀 확인 18" xfId="7783" xr:uid="{00000000-0005-0000-0000-0000BD1D0000}"/>
    <cellStyle name="셀 확인 18 2" xfId="7784" xr:uid="{00000000-0005-0000-0000-0000BE1D0000}"/>
    <cellStyle name="셀 확인 18 3" xfId="7785" xr:uid="{00000000-0005-0000-0000-0000BF1D0000}"/>
    <cellStyle name="셀 확인 19" xfId="7786" xr:uid="{00000000-0005-0000-0000-0000C01D0000}"/>
    <cellStyle name="셀 확인 19 2" xfId="7787" xr:uid="{00000000-0005-0000-0000-0000C11D0000}"/>
    <cellStyle name="셀 확인 19 3" xfId="7788" xr:uid="{00000000-0005-0000-0000-0000C21D0000}"/>
    <cellStyle name="셀 확인 2" xfId="7789" xr:uid="{00000000-0005-0000-0000-0000C31D0000}"/>
    <cellStyle name="셀 확인 2 10" xfId="7790" xr:uid="{00000000-0005-0000-0000-0000C41D0000}"/>
    <cellStyle name="셀 확인 2 11" xfId="7791" xr:uid="{00000000-0005-0000-0000-0000C51D0000}"/>
    <cellStyle name="셀 확인 2 12" xfId="7792" xr:uid="{00000000-0005-0000-0000-0000C61D0000}"/>
    <cellStyle name="셀 확인 2 13" xfId="7793" xr:uid="{00000000-0005-0000-0000-0000C71D0000}"/>
    <cellStyle name="셀 확인 2 14" xfId="7794" xr:uid="{00000000-0005-0000-0000-0000C81D0000}"/>
    <cellStyle name="셀 확인 2 15" xfId="7795" xr:uid="{00000000-0005-0000-0000-0000C91D0000}"/>
    <cellStyle name="셀 확인 2 16" xfId="7796" xr:uid="{00000000-0005-0000-0000-0000CA1D0000}"/>
    <cellStyle name="셀 확인 2 17" xfId="7797" xr:uid="{00000000-0005-0000-0000-0000CB1D0000}"/>
    <cellStyle name="셀 확인 2 18" xfId="7798" xr:uid="{00000000-0005-0000-0000-0000CC1D0000}"/>
    <cellStyle name="셀 확인 2 19" xfId="7799" xr:uid="{00000000-0005-0000-0000-0000CD1D0000}"/>
    <cellStyle name="셀 확인 2 2" xfId="7800" xr:uid="{00000000-0005-0000-0000-0000CE1D0000}"/>
    <cellStyle name="셀 확인 2 20" xfId="7801" xr:uid="{00000000-0005-0000-0000-0000CF1D0000}"/>
    <cellStyle name="셀 확인 2 21" xfId="7802" xr:uid="{00000000-0005-0000-0000-0000D01D0000}"/>
    <cellStyle name="셀 확인 2 22" xfId="7803" xr:uid="{00000000-0005-0000-0000-0000D11D0000}"/>
    <cellStyle name="셀 확인 2 23" xfId="7804" xr:uid="{00000000-0005-0000-0000-0000D21D0000}"/>
    <cellStyle name="셀 확인 2 24" xfId="7805" xr:uid="{00000000-0005-0000-0000-0000D31D0000}"/>
    <cellStyle name="셀 확인 2 25" xfId="7806" xr:uid="{00000000-0005-0000-0000-0000D41D0000}"/>
    <cellStyle name="셀 확인 2 26" xfId="7807" xr:uid="{00000000-0005-0000-0000-0000D51D0000}"/>
    <cellStyle name="셀 확인 2 27" xfId="7808" xr:uid="{00000000-0005-0000-0000-0000D61D0000}"/>
    <cellStyle name="셀 확인 2 28" xfId="7809" xr:uid="{00000000-0005-0000-0000-0000D71D0000}"/>
    <cellStyle name="셀 확인 2 29" xfId="7810" xr:uid="{00000000-0005-0000-0000-0000D81D0000}"/>
    <cellStyle name="셀 확인 2 3" xfId="7811" xr:uid="{00000000-0005-0000-0000-0000D91D0000}"/>
    <cellStyle name="셀 확인 2 30" xfId="7812" xr:uid="{00000000-0005-0000-0000-0000DA1D0000}"/>
    <cellStyle name="셀 확인 2 31" xfId="7813" xr:uid="{00000000-0005-0000-0000-0000DB1D0000}"/>
    <cellStyle name="셀 확인 2 32" xfId="7814" xr:uid="{00000000-0005-0000-0000-0000DC1D0000}"/>
    <cellStyle name="셀 확인 2 33" xfId="7815" xr:uid="{00000000-0005-0000-0000-0000DD1D0000}"/>
    <cellStyle name="셀 확인 2 34" xfId="7816" xr:uid="{00000000-0005-0000-0000-0000DE1D0000}"/>
    <cellStyle name="셀 확인 2 35" xfId="7817" xr:uid="{00000000-0005-0000-0000-0000DF1D0000}"/>
    <cellStyle name="셀 확인 2 36" xfId="7818" xr:uid="{00000000-0005-0000-0000-0000E01D0000}"/>
    <cellStyle name="셀 확인 2 37" xfId="7819" xr:uid="{00000000-0005-0000-0000-0000E11D0000}"/>
    <cellStyle name="셀 확인 2 38" xfId="7820" xr:uid="{00000000-0005-0000-0000-0000E21D0000}"/>
    <cellStyle name="셀 확인 2 39" xfId="7821" xr:uid="{00000000-0005-0000-0000-0000E31D0000}"/>
    <cellStyle name="셀 확인 2 4" xfId="7822" xr:uid="{00000000-0005-0000-0000-0000E41D0000}"/>
    <cellStyle name="셀 확인 2 5" xfId="7823" xr:uid="{00000000-0005-0000-0000-0000E51D0000}"/>
    <cellStyle name="셀 확인 2 6" xfId="7824" xr:uid="{00000000-0005-0000-0000-0000E61D0000}"/>
    <cellStyle name="셀 확인 2 7" xfId="7825" xr:uid="{00000000-0005-0000-0000-0000E71D0000}"/>
    <cellStyle name="셀 확인 2 8" xfId="7826" xr:uid="{00000000-0005-0000-0000-0000E81D0000}"/>
    <cellStyle name="셀 확인 2 9" xfId="7827" xr:uid="{00000000-0005-0000-0000-0000E91D0000}"/>
    <cellStyle name="셀 확인 20" xfId="7828" xr:uid="{00000000-0005-0000-0000-0000EA1D0000}"/>
    <cellStyle name="셀 확인 21" xfId="7829" xr:uid="{00000000-0005-0000-0000-0000EB1D0000}"/>
    <cellStyle name="셀 확인 22" xfId="7830" xr:uid="{00000000-0005-0000-0000-0000EC1D0000}"/>
    <cellStyle name="셀 확인 23" xfId="7831" xr:uid="{00000000-0005-0000-0000-0000ED1D0000}"/>
    <cellStyle name="셀 확인 24" xfId="7832" xr:uid="{00000000-0005-0000-0000-0000EE1D0000}"/>
    <cellStyle name="셀 확인 25" xfId="7833" xr:uid="{00000000-0005-0000-0000-0000EF1D0000}"/>
    <cellStyle name="셀 확인 26" xfId="7834" xr:uid="{00000000-0005-0000-0000-0000F01D0000}"/>
    <cellStyle name="셀 확인 27" xfId="7835" xr:uid="{00000000-0005-0000-0000-0000F11D0000}"/>
    <cellStyle name="셀 확인 27 2" xfId="7836" xr:uid="{00000000-0005-0000-0000-0000F21D0000}"/>
    <cellStyle name="셀 확인 28" xfId="7837" xr:uid="{00000000-0005-0000-0000-0000F31D0000}"/>
    <cellStyle name="셀 확인 29" xfId="7838" xr:uid="{00000000-0005-0000-0000-0000F41D0000}"/>
    <cellStyle name="셀 확인 3" xfId="7839" xr:uid="{00000000-0005-0000-0000-0000F51D0000}"/>
    <cellStyle name="셀 확인 3 2" xfId="7840" xr:uid="{00000000-0005-0000-0000-0000F61D0000}"/>
    <cellStyle name="셀 확인 3 3" xfId="7841" xr:uid="{00000000-0005-0000-0000-0000F71D0000}"/>
    <cellStyle name="셀 확인 3 4" xfId="7842" xr:uid="{00000000-0005-0000-0000-0000F81D0000}"/>
    <cellStyle name="셀 확인 30" xfId="7843" xr:uid="{00000000-0005-0000-0000-0000F91D0000}"/>
    <cellStyle name="셀 확인 31" xfId="7844" xr:uid="{00000000-0005-0000-0000-0000FA1D0000}"/>
    <cellStyle name="셀 확인 32" xfId="7845" xr:uid="{00000000-0005-0000-0000-0000FB1D0000}"/>
    <cellStyle name="셀 확인 33" xfId="7846" xr:uid="{00000000-0005-0000-0000-0000FC1D0000}"/>
    <cellStyle name="셀 확인 34" xfId="7847" xr:uid="{00000000-0005-0000-0000-0000FD1D0000}"/>
    <cellStyle name="셀 확인 35" xfId="7848" xr:uid="{00000000-0005-0000-0000-0000FE1D0000}"/>
    <cellStyle name="셀 확인 36" xfId="7849" xr:uid="{00000000-0005-0000-0000-0000FF1D0000}"/>
    <cellStyle name="셀 확인 37" xfId="7850" xr:uid="{00000000-0005-0000-0000-0000001E0000}"/>
    <cellStyle name="셀 확인 37 2" xfId="7851" xr:uid="{00000000-0005-0000-0000-0000011E0000}"/>
    <cellStyle name="셀 확인 38" xfId="7852" xr:uid="{00000000-0005-0000-0000-0000021E0000}"/>
    <cellStyle name="셀 확인 39" xfId="7853" xr:uid="{00000000-0005-0000-0000-0000031E0000}"/>
    <cellStyle name="셀 확인 4" xfId="7854" xr:uid="{00000000-0005-0000-0000-0000041E0000}"/>
    <cellStyle name="셀 확인 4 2" xfId="7855" xr:uid="{00000000-0005-0000-0000-0000051E0000}"/>
    <cellStyle name="셀 확인 4 3" xfId="7856" xr:uid="{00000000-0005-0000-0000-0000061E0000}"/>
    <cellStyle name="셀 확인 4 4" xfId="7857" xr:uid="{00000000-0005-0000-0000-0000071E0000}"/>
    <cellStyle name="셀 확인 40" xfId="7858" xr:uid="{00000000-0005-0000-0000-0000081E0000}"/>
    <cellStyle name="셀 확인 41" xfId="7859" xr:uid="{00000000-0005-0000-0000-0000091E0000}"/>
    <cellStyle name="셀 확인 42" xfId="7860" xr:uid="{00000000-0005-0000-0000-00000A1E0000}"/>
    <cellStyle name="셀 확인 43" xfId="7861" xr:uid="{00000000-0005-0000-0000-00000B1E0000}"/>
    <cellStyle name="셀 확인 44" xfId="7862" xr:uid="{00000000-0005-0000-0000-00000C1E0000}"/>
    <cellStyle name="셀 확인 45" xfId="7863" xr:uid="{00000000-0005-0000-0000-00000D1E0000}"/>
    <cellStyle name="셀 확인 45 2" xfId="7864" xr:uid="{00000000-0005-0000-0000-00000E1E0000}"/>
    <cellStyle name="셀 확인 45 3" xfId="7865" xr:uid="{00000000-0005-0000-0000-00000F1E0000}"/>
    <cellStyle name="셀 확인 46" xfId="7866" xr:uid="{00000000-0005-0000-0000-0000101E0000}"/>
    <cellStyle name="셀 확인 47" xfId="7867" xr:uid="{00000000-0005-0000-0000-0000111E0000}"/>
    <cellStyle name="셀 확인 48" xfId="7868" xr:uid="{00000000-0005-0000-0000-0000121E0000}"/>
    <cellStyle name="셀 확인 49" xfId="7869" xr:uid="{00000000-0005-0000-0000-0000131E0000}"/>
    <cellStyle name="셀 확인 5" xfId="7870" xr:uid="{00000000-0005-0000-0000-0000141E0000}"/>
    <cellStyle name="셀 확인 5 2" xfId="7871" xr:uid="{00000000-0005-0000-0000-0000151E0000}"/>
    <cellStyle name="셀 확인 5 3" xfId="7872" xr:uid="{00000000-0005-0000-0000-0000161E0000}"/>
    <cellStyle name="셀 확인 5 4" xfId="7873" xr:uid="{00000000-0005-0000-0000-0000171E0000}"/>
    <cellStyle name="셀 확인 50" xfId="7874" xr:uid="{00000000-0005-0000-0000-0000181E0000}"/>
    <cellStyle name="셀 확인 51" xfId="7875" xr:uid="{00000000-0005-0000-0000-0000191E0000}"/>
    <cellStyle name="셀 확인 52" xfId="7876" xr:uid="{00000000-0005-0000-0000-00001A1E0000}"/>
    <cellStyle name="셀 확인 53" xfId="7877" xr:uid="{00000000-0005-0000-0000-00001B1E0000}"/>
    <cellStyle name="셀 확인 54" xfId="7878" xr:uid="{00000000-0005-0000-0000-00001C1E0000}"/>
    <cellStyle name="셀 확인 55" xfId="7879" xr:uid="{00000000-0005-0000-0000-00001D1E0000}"/>
    <cellStyle name="셀 확인 6" xfId="7880" xr:uid="{00000000-0005-0000-0000-00001E1E0000}"/>
    <cellStyle name="셀 확인 6 2" xfId="7881" xr:uid="{00000000-0005-0000-0000-00001F1E0000}"/>
    <cellStyle name="셀 확인 6 3" xfId="7882" xr:uid="{00000000-0005-0000-0000-0000201E0000}"/>
    <cellStyle name="셀 확인 6 4" xfId="7883" xr:uid="{00000000-0005-0000-0000-0000211E0000}"/>
    <cellStyle name="셀 확인 7" xfId="7884" xr:uid="{00000000-0005-0000-0000-0000221E0000}"/>
    <cellStyle name="셀 확인 7 2" xfId="7885" xr:uid="{00000000-0005-0000-0000-0000231E0000}"/>
    <cellStyle name="셀 확인 7 3" xfId="7886" xr:uid="{00000000-0005-0000-0000-0000241E0000}"/>
    <cellStyle name="셀 확인 7 4" xfId="7887" xr:uid="{00000000-0005-0000-0000-0000251E0000}"/>
    <cellStyle name="셀 확인 8" xfId="7888" xr:uid="{00000000-0005-0000-0000-0000261E0000}"/>
    <cellStyle name="셀 확인 9" xfId="7889" xr:uid="{00000000-0005-0000-0000-0000271E0000}"/>
    <cellStyle name="셈迷?XLS!check_filesche|_x0005_" xfId="7890" xr:uid="{00000000-0005-0000-0000-0000281E0000}"/>
    <cellStyle name="솟" xfId="7891" xr:uid="{00000000-0005-0000-0000-0000291E0000}"/>
    <cellStyle name="숫자" xfId="7892" xr:uid="{00000000-0005-0000-0000-00002A1E0000}"/>
    <cellStyle name="숫자(R)" xfId="7893" xr:uid="{00000000-0005-0000-0000-00002B1E0000}"/>
    <cellStyle name="숫자_전환사채" xfId="7894" xr:uid="{00000000-0005-0000-0000-00002C1E0000}"/>
    <cellStyle name="쉼표 [-]" xfId="7895" xr:uid="{00000000-0005-0000-0000-00002D1E0000}"/>
    <cellStyle name="쉼표 [0]" xfId="1" builtinId="6"/>
    <cellStyle name="쉼표 [0] 10" xfId="7896" xr:uid="{00000000-0005-0000-0000-00002F1E0000}"/>
    <cellStyle name="쉼표 [0] 10 2" xfId="7897" xr:uid="{00000000-0005-0000-0000-0000301E0000}"/>
    <cellStyle name="쉼표 [0] 10 3" xfId="7898" xr:uid="{00000000-0005-0000-0000-0000311E0000}"/>
    <cellStyle name="쉼표 [0] 10 4" xfId="7899" xr:uid="{00000000-0005-0000-0000-0000321E0000}"/>
    <cellStyle name="쉼표 [0] 11" xfId="7900" xr:uid="{00000000-0005-0000-0000-0000331E0000}"/>
    <cellStyle name="쉼표 [0] 11 2" xfId="7901" xr:uid="{00000000-0005-0000-0000-0000341E0000}"/>
    <cellStyle name="쉼표 [0] 11 3" xfId="7902" xr:uid="{00000000-0005-0000-0000-0000351E0000}"/>
    <cellStyle name="쉼표 [0] 11 4" xfId="7903" xr:uid="{00000000-0005-0000-0000-0000361E0000}"/>
    <cellStyle name="쉼표 [0] 12" xfId="7904" xr:uid="{00000000-0005-0000-0000-0000371E0000}"/>
    <cellStyle name="쉼표 [0] 12 2" xfId="7905" xr:uid="{00000000-0005-0000-0000-0000381E0000}"/>
    <cellStyle name="쉼표 [0] 12 2 2" xfId="7906" xr:uid="{00000000-0005-0000-0000-0000391E0000}"/>
    <cellStyle name="쉼표 [0] 12 2 3" xfId="7907" xr:uid="{00000000-0005-0000-0000-00003A1E0000}"/>
    <cellStyle name="쉼표 [0] 12 2 4" xfId="7908" xr:uid="{00000000-0005-0000-0000-00003B1E0000}"/>
    <cellStyle name="쉼표 [0] 12 3" xfId="7909" xr:uid="{00000000-0005-0000-0000-00003C1E0000}"/>
    <cellStyle name="쉼표 [0] 12 3 2" xfId="7910" xr:uid="{00000000-0005-0000-0000-00003D1E0000}"/>
    <cellStyle name="쉼표 [0] 12 3 3" xfId="7911" xr:uid="{00000000-0005-0000-0000-00003E1E0000}"/>
    <cellStyle name="쉼표 [0] 12 3 4" xfId="7912" xr:uid="{00000000-0005-0000-0000-00003F1E0000}"/>
    <cellStyle name="쉼표 [0] 12 4" xfId="7913" xr:uid="{00000000-0005-0000-0000-0000401E0000}"/>
    <cellStyle name="쉼표 [0] 12 5" xfId="7914" xr:uid="{00000000-0005-0000-0000-0000411E0000}"/>
    <cellStyle name="쉼표 [0] 12 6" xfId="7915" xr:uid="{00000000-0005-0000-0000-0000421E0000}"/>
    <cellStyle name="쉼표 [0] 12 7" xfId="7916" xr:uid="{00000000-0005-0000-0000-0000431E0000}"/>
    <cellStyle name="쉼표 [0] 13" xfId="7917" xr:uid="{00000000-0005-0000-0000-0000441E0000}"/>
    <cellStyle name="쉼표 [0] 13 2" xfId="7918" xr:uid="{00000000-0005-0000-0000-0000451E0000}"/>
    <cellStyle name="쉼표 [0] 13 2 2" xfId="7919" xr:uid="{00000000-0005-0000-0000-0000461E0000}"/>
    <cellStyle name="쉼표 [0] 13 2 3" xfId="7920" xr:uid="{00000000-0005-0000-0000-0000471E0000}"/>
    <cellStyle name="쉼표 [0] 13 2 4" xfId="7921" xr:uid="{00000000-0005-0000-0000-0000481E0000}"/>
    <cellStyle name="쉼표 [0] 13 3" xfId="7922" xr:uid="{00000000-0005-0000-0000-0000491E0000}"/>
    <cellStyle name="쉼표 [0] 13 3 2" xfId="7923" xr:uid="{00000000-0005-0000-0000-00004A1E0000}"/>
    <cellStyle name="쉼표 [0] 13 3 3" xfId="7924" xr:uid="{00000000-0005-0000-0000-00004B1E0000}"/>
    <cellStyle name="쉼표 [0] 13 3 4" xfId="7925" xr:uid="{00000000-0005-0000-0000-00004C1E0000}"/>
    <cellStyle name="쉼표 [0] 13 4" xfId="7926" xr:uid="{00000000-0005-0000-0000-00004D1E0000}"/>
    <cellStyle name="쉼표 [0] 13 4 2" xfId="7927" xr:uid="{00000000-0005-0000-0000-00004E1E0000}"/>
    <cellStyle name="쉼표 [0] 13 4 3" xfId="7928" xr:uid="{00000000-0005-0000-0000-00004F1E0000}"/>
    <cellStyle name="쉼표 [0] 13 4 4" xfId="7929" xr:uid="{00000000-0005-0000-0000-0000501E0000}"/>
    <cellStyle name="쉼표 [0] 13 5" xfId="7930" xr:uid="{00000000-0005-0000-0000-0000511E0000}"/>
    <cellStyle name="쉼표 [0] 13 6" xfId="7931" xr:uid="{00000000-0005-0000-0000-0000521E0000}"/>
    <cellStyle name="쉼표 [0] 13 7" xfId="7932" xr:uid="{00000000-0005-0000-0000-0000531E0000}"/>
    <cellStyle name="쉼표 [0] 13 8" xfId="7933" xr:uid="{00000000-0005-0000-0000-0000541E0000}"/>
    <cellStyle name="쉼표 [0] 14" xfId="7934" xr:uid="{00000000-0005-0000-0000-0000551E0000}"/>
    <cellStyle name="쉼표 [0] 14 2" xfId="7935" xr:uid="{00000000-0005-0000-0000-0000561E0000}"/>
    <cellStyle name="쉼표 [0] 14 2 2" xfId="7936" xr:uid="{00000000-0005-0000-0000-0000571E0000}"/>
    <cellStyle name="쉼표 [0] 14 2 3" xfId="7937" xr:uid="{00000000-0005-0000-0000-0000581E0000}"/>
    <cellStyle name="쉼표 [0] 14 2 4" xfId="7938" xr:uid="{00000000-0005-0000-0000-0000591E0000}"/>
    <cellStyle name="쉼표 [0] 14 3" xfId="7939" xr:uid="{00000000-0005-0000-0000-00005A1E0000}"/>
    <cellStyle name="쉼표 [0] 14 3 2" xfId="7940" xr:uid="{00000000-0005-0000-0000-00005B1E0000}"/>
    <cellStyle name="쉼표 [0] 14 3 3" xfId="7941" xr:uid="{00000000-0005-0000-0000-00005C1E0000}"/>
    <cellStyle name="쉼표 [0] 14 3 4" xfId="7942" xr:uid="{00000000-0005-0000-0000-00005D1E0000}"/>
    <cellStyle name="쉼표 [0] 14 4" xfId="7943" xr:uid="{00000000-0005-0000-0000-00005E1E0000}"/>
    <cellStyle name="쉼표 [0] 14 5" xfId="7944" xr:uid="{00000000-0005-0000-0000-00005F1E0000}"/>
    <cellStyle name="쉼표 [0] 14 6" xfId="7945" xr:uid="{00000000-0005-0000-0000-0000601E0000}"/>
    <cellStyle name="쉼표 [0] 14 7" xfId="10050" xr:uid="{00000000-0005-0000-0000-0000611E0000}"/>
    <cellStyle name="쉼표 [0] 15" xfId="7946" xr:uid="{00000000-0005-0000-0000-0000621E0000}"/>
    <cellStyle name="쉼표 [0] 16" xfId="7947" xr:uid="{00000000-0005-0000-0000-0000631E0000}"/>
    <cellStyle name="쉼표 [0] 16 2" xfId="7948" xr:uid="{00000000-0005-0000-0000-0000641E0000}"/>
    <cellStyle name="쉼표 [0] 16 2 2" xfId="7949" xr:uid="{00000000-0005-0000-0000-0000651E0000}"/>
    <cellStyle name="쉼표 [0] 16 2 3" xfId="7950" xr:uid="{00000000-0005-0000-0000-0000661E0000}"/>
    <cellStyle name="쉼표 [0] 16 2 4" xfId="7951" xr:uid="{00000000-0005-0000-0000-0000671E0000}"/>
    <cellStyle name="쉼표 [0] 16 3" xfId="7952" xr:uid="{00000000-0005-0000-0000-0000681E0000}"/>
    <cellStyle name="쉼표 [0] 16 3 2" xfId="7953" xr:uid="{00000000-0005-0000-0000-0000691E0000}"/>
    <cellStyle name="쉼표 [0] 16 3 3" xfId="7954" xr:uid="{00000000-0005-0000-0000-00006A1E0000}"/>
    <cellStyle name="쉼표 [0] 16 3 4" xfId="7955" xr:uid="{00000000-0005-0000-0000-00006B1E0000}"/>
    <cellStyle name="쉼표 [0] 16 4" xfId="7956" xr:uid="{00000000-0005-0000-0000-00006C1E0000}"/>
    <cellStyle name="쉼표 [0] 16 5" xfId="7957" xr:uid="{00000000-0005-0000-0000-00006D1E0000}"/>
    <cellStyle name="쉼표 [0] 16 6" xfId="7958" xr:uid="{00000000-0005-0000-0000-00006E1E0000}"/>
    <cellStyle name="쉼표 [0] 17" xfId="7959" xr:uid="{00000000-0005-0000-0000-00006F1E0000}"/>
    <cellStyle name="쉼표 [0] 17 2" xfId="7960" xr:uid="{00000000-0005-0000-0000-0000701E0000}"/>
    <cellStyle name="쉼표 [0] 17 2 2" xfId="7961" xr:uid="{00000000-0005-0000-0000-0000711E0000}"/>
    <cellStyle name="쉼표 [0] 17 2 3" xfId="7962" xr:uid="{00000000-0005-0000-0000-0000721E0000}"/>
    <cellStyle name="쉼표 [0] 17 2 4" xfId="7963" xr:uid="{00000000-0005-0000-0000-0000731E0000}"/>
    <cellStyle name="쉼표 [0] 17 3" xfId="7964" xr:uid="{00000000-0005-0000-0000-0000741E0000}"/>
    <cellStyle name="쉼표 [0] 17 4" xfId="7965" xr:uid="{00000000-0005-0000-0000-0000751E0000}"/>
    <cellStyle name="쉼표 [0] 17 4 2" xfId="10056" xr:uid="{00000000-0005-0000-0000-0000761E0000}"/>
    <cellStyle name="쉼표 [0] 17 5" xfId="7966" xr:uid="{00000000-0005-0000-0000-0000771E0000}"/>
    <cellStyle name="쉼표 [0] 18" xfId="7967" xr:uid="{00000000-0005-0000-0000-0000781E0000}"/>
    <cellStyle name="쉼표 [0] 19" xfId="7968" xr:uid="{00000000-0005-0000-0000-0000791E0000}"/>
    <cellStyle name="쉼표 [0] 2" xfId="9" xr:uid="{00000000-0005-0000-0000-00007A1E0000}"/>
    <cellStyle name="쉼표 [0] 2 10" xfId="7970" xr:uid="{00000000-0005-0000-0000-00007B1E0000}"/>
    <cellStyle name="쉼표 [0] 2 11" xfId="7971" xr:uid="{00000000-0005-0000-0000-00007C1E0000}"/>
    <cellStyle name="쉼표 [0] 2 12" xfId="7972" xr:uid="{00000000-0005-0000-0000-00007D1E0000}"/>
    <cellStyle name="쉼표 [0] 2 13" xfId="7973" xr:uid="{00000000-0005-0000-0000-00007E1E0000}"/>
    <cellStyle name="쉼표 [0] 2 14" xfId="7974" xr:uid="{00000000-0005-0000-0000-00007F1E0000}"/>
    <cellStyle name="쉼표 [0] 2 15" xfId="7975" xr:uid="{00000000-0005-0000-0000-0000801E0000}"/>
    <cellStyle name="쉼표 [0] 2 16" xfId="7976" xr:uid="{00000000-0005-0000-0000-0000811E0000}"/>
    <cellStyle name="쉼표 [0] 2 17" xfId="7977" xr:uid="{00000000-0005-0000-0000-0000821E0000}"/>
    <cellStyle name="쉼표 [0] 2 18" xfId="7969" xr:uid="{00000000-0005-0000-0000-0000831E0000}"/>
    <cellStyle name="쉼표 [0] 2 19" xfId="10037" xr:uid="{00000000-0005-0000-0000-0000841E0000}"/>
    <cellStyle name="쉼표 [0] 2 2" xfId="57" xr:uid="{00000000-0005-0000-0000-0000851E0000}"/>
    <cellStyle name="쉼표 [0] 2 2 10" xfId="7979" xr:uid="{00000000-0005-0000-0000-0000861E0000}"/>
    <cellStyle name="쉼표 [0] 2 2 11" xfId="7980" xr:uid="{00000000-0005-0000-0000-0000871E0000}"/>
    <cellStyle name="쉼표 [0] 2 2 12" xfId="7978" xr:uid="{00000000-0005-0000-0000-0000881E0000}"/>
    <cellStyle name="쉼표 [0] 2 2 2" xfId="112" xr:uid="{00000000-0005-0000-0000-0000891E0000}"/>
    <cellStyle name="쉼표 [0] 2 2 2 2" xfId="7981" xr:uid="{00000000-0005-0000-0000-00008A1E0000}"/>
    <cellStyle name="쉼표 [0] 2 2 3" xfId="163" xr:uid="{00000000-0005-0000-0000-00008B1E0000}"/>
    <cellStyle name="쉼표 [0] 2 2 3 2" xfId="7983" xr:uid="{00000000-0005-0000-0000-00008C1E0000}"/>
    <cellStyle name="쉼표 [0] 2 2 3 3" xfId="7984" xr:uid="{00000000-0005-0000-0000-00008D1E0000}"/>
    <cellStyle name="쉼표 [0] 2 2 3 4" xfId="7982" xr:uid="{00000000-0005-0000-0000-00008E1E0000}"/>
    <cellStyle name="쉼표 [0] 2 2 4" xfId="7985" xr:uid="{00000000-0005-0000-0000-00008F1E0000}"/>
    <cellStyle name="쉼표 [0] 2 2 5" xfId="7986" xr:uid="{00000000-0005-0000-0000-0000901E0000}"/>
    <cellStyle name="쉼표 [0] 2 2 6" xfId="7987" xr:uid="{00000000-0005-0000-0000-0000911E0000}"/>
    <cellStyle name="쉼표 [0] 2 2 7" xfId="7988" xr:uid="{00000000-0005-0000-0000-0000921E0000}"/>
    <cellStyle name="쉼표 [0] 2 2 8" xfId="7989" xr:uid="{00000000-0005-0000-0000-0000931E0000}"/>
    <cellStyle name="쉼표 [0] 2 2 9" xfId="7990" xr:uid="{00000000-0005-0000-0000-0000941E0000}"/>
    <cellStyle name="쉼표 [0] 2 20" xfId="10066" xr:uid="{A4997831-7D0C-4B27-A78F-8E798034BADA}"/>
    <cellStyle name="쉼표 [0] 2 3" xfId="70" xr:uid="{00000000-0005-0000-0000-0000951E0000}"/>
    <cellStyle name="쉼표 [0] 2 3 2" xfId="7992" xr:uid="{00000000-0005-0000-0000-0000961E0000}"/>
    <cellStyle name="쉼표 [0] 2 3 3" xfId="7993" xr:uid="{00000000-0005-0000-0000-0000971E0000}"/>
    <cellStyle name="쉼표 [0] 2 3 4" xfId="7994" xr:uid="{00000000-0005-0000-0000-0000981E0000}"/>
    <cellStyle name="쉼표 [0] 2 3 5" xfId="7991" xr:uid="{00000000-0005-0000-0000-0000991E0000}"/>
    <cellStyle name="쉼표 [0] 2 4" xfId="121" xr:uid="{00000000-0005-0000-0000-00009A1E0000}"/>
    <cellStyle name="쉼표 [0] 2 4 2" xfId="7996" xr:uid="{00000000-0005-0000-0000-00009B1E0000}"/>
    <cellStyle name="쉼표 [0] 2 4 3" xfId="7997" xr:uid="{00000000-0005-0000-0000-00009C1E0000}"/>
    <cellStyle name="쉼표 [0] 2 4 4" xfId="7998" xr:uid="{00000000-0005-0000-0000-00009D1E0000}"/>
    <cellStyle name="쉼표 [0] 2 4 5" xfId="7995" xr:uid="{00000000-0005-0000-0000-00009E1E0000}"/>
    <cellStyle name="쉼표 [0] 2 4 6" xfId="10047" xr:uid="{00000000-0005-0000-0000-00009F1E0000}"/>
    <cellStyle name="쉼표 [0] 2 5" xfId="7999" xr:uid="{00000000-0005-0000-0000-0000A01E0000}"/>
    <cellStyle name="쉼표 [0] 2 5 2" xfId="8000" xr:uid="{00000000-0005-0000-0000-0000A11E0000}"/>
    <cellStyle name="쉼표 [0] 2 5 3" xfId="8001" xr:uid="{00000000-0005-0000-0000-0000A21E0000}"/>
    <cellStyle name="쉼표 [0] 2 5 4" xfId="8002" xr:uid="{00000000-0005-0000-0000-0000A31E0000}"/>
    <cellStyle name="쉼표 [0] 2 6" xfId="8003" xr:uid="{00000000-0005-0000-0000-0000A41E0000}"/>
    <cellStyle name="쉼표 [0] 2 6 2" xfId="8004" xr:uid="{00000000-0005-0000-0000-0000A51E0000}"/>
    <cellStyle name="쉼표 [0] 2 6 3" xfId="8005" xr:uid="{00000000-0005-0000-0000-0000A61E0000}"/>
    <cellStyle name="쉼표 [0] 2 6 4" xfId="8006" xr:uid="{00000000-0005-0000-0000-0000A71E0000}"/>
    <cellStyle name="쉼표 [0] 2 7" xfId="8007" xr:uid="{00000000-0005-0000-0000-0000A81E0000}"/>
    <cellStyle name="쉼표 [0] 2 7 2" xfId="8008" xr:uid="{00000000-0005-0000-0000-0000A91E0000}"/>
    <cellStyle name="쉼표 [0] 2 7 3" xfId="8009" xr:uid="{00000000-0005-0000-0000-0000AA1E0000}"/>
    <cellStyle name="쉼표 [0] 2 7 4" xfId="8010" xr:uid="{00000000-0005-0000-0000-0000AB1E0000}"/>
    <cellStyle name="쉼표 [0] 2 7 5" xfId="8011" xr:uid="{00000000-0005-0000-0000-0000AC1E0000}"/>
    <cellStyle name="쉼표 [0] 2 8" xfId="8012" xr:uid="{00000000-0005-0000-0000-0000AD1E0000}"/>
    <cellStyle name="쉼표 [0] 2 8 2" xfId="8013" xr:uid="{00000000-0005-0000-0000-0000AE1E0000}"/>
    <cellStyle name="쉼표 [0] 2 8 3" xfId="8014" xr:uid="{00000000-0005-0000-0000-0000AF1E0000}"/>
    <cellStyle name="쉼표 [0] 2 8 4" xfId="8015" xr:uid="{00000000-0005-0000-0000-0000B01E0000}"/>
    <cellStyle name="쉼표 [0] 2 9" xfId="8016" xr:uid="{00000000-0005-0000-0000-0000B11E0000}"/>
    <cellStyle name="쉼표 [0] 2 9 2" xfId="8017" xr:uid="{00000000-0005-0000-0000-0000B21E0000}"/>
    <cellStyle name="쉼표 [0] 2 9 3" xfId="8018" xr:uid="{00000000-0005-0000-0000-0000B31E0000}"/>
    <cellStyle name="쉼표 [0] 2 9 4" xfId="8019" xr:uid="{00000000-0005-0000-0000-0000B41E0000}"/>
    <cellStyle name="쉼표 [0] 20" xfId="180" xr:uid="{00000000-0005-0000-0000-0000B51E0000}"/>
    <cellStyle name="쉼표 [0] 21" xfId="8020" xr:uid="{00000000-0005-0000-0000-0000B61E0000}"/>
    <cellStyle name="쉼표 [0] 22" xfId="8021" xr:uid="{00000000-0005-0000-0000-0000B71E0000}"/>
    <cellStyle name="쉼표 [0] 22 2" xfId="8022" xr:uid="{00000000-0005-0000-0000-0000B81E0000}"/>
    <cellStyle name="쉼표 [0] 22 2 2" xfId="8023" xr:uid="{00000000-0005-0000-0000-0000B91E0000}"/>
    <cellStyle name="쉼표 [0] 22 2 3" xfId="8024" xr:uid="{00000000-0005-0000-0000-0000BA1E0000}"/>
    <cellStyle name="쉼표 [0] 22 3" xfId="8025" xr:uid="{00000000-0005-0000-0000-0000BB1E0000}"/>
    <cellStyle name="쉼표 [0] 22 4" xfId="8026" xr:uid="{00000000-0005-0000-0000-0000BC1E0000}"/>
    <cellStyle name="쉼표 [0] 23" xfId="175" xr:uid="{00000000-0005-0000-0000-0000BD1E0000}"/>
    <cellStyle name="쉼표 [0] 24" xfId="10036" xr:uid="{00000000-0005-0000-0000-0000BE1E0000}"/>
    <cellStyle name="쉼표 [0] 3" xfId="16" xr:uid="{00000000-0005-0000-0000-0000BF1E0000}"/>
    <cellStyle name="쉼표 [0] 3 2" xfId="59" xr:uid="{00000000-0005-0000-0000-0000C01E0000}"/>
    <cellStyle name="쉼표 [0] 3 2 2" xfId="113" xr:uid="{00000000-0005-0000-0000-0000C11E0000}"/>
    <cellStyle name="쉼표 [0] 3 2 2 2" xfId="8029" xr:uid="{00000000-0005-0000-0000-0000C21E0000}"/>
    <cellStyle name="쉼표 [0] 3 2 3" xfId="164" xr:uid="{00000000-0005-0000-0000-0000C31E0000}"/>
    <cellStyle name="쉼표 [0] 3 2 3 2" xfId="8030" xr:uid="{00000000-0005-0000-0000-0000C41E0000}"/>
    <cellStyle name="쉼표 [0] 3 2 4" xfId="8031" xr:uid="{00000000-0005-0000-0000-0000C51E0000}"/>
    <cellStyle name="쉼표 [0] 3 2 5" xfId="8028" xr:uid="{00000000-0005-0000-0000-0000C61E0000}"/>
    <cellStyle name="쉼표 [0] 3 3" xfId="73" xr:uid="{00000000-0005-0000-0000-0000C71E0000}"/>
    <cellStyle name="쉼표 [0] 3 3 2" xfId="8033" xr:uid="{00000000-0005-0000-0000-0000C81E0000}"/>
    <cellStyle name="쉼표 [0] 3 3 3" xfId="8032" xr:uid="{00000000-0005-0000-0000-0000C91E0000}"/>
    <cellStyle name="쉼표 [0] 3 4" xfId="124" xr:uid="{00000000-0005-0000-0000-0000CA1E0000}"/>
    <cellStyle name="쉼표 [0] 3 4 2" xfId="8034" xr:uid="{00000000-0005-0000-0000-0000CB1E0000}"/>
    <cellStyle name="쉼표 [0] 3 5" xfId="8035" xr:uid="{00000000-0005-0000-0000-0000CC1E0000}"/>
    <cellStyle name="쉼표 [0] 3 6" xfId="8027" xr:uid="{00000000-0005-0000-0000-0000CD1E0000}"/>
    <cellStyle name="쉼표 [0] 3 7" xfId="10039" xr:uid="{00000000-0005-0000-0000-0000CE1E0000}"/>
    <cellStyle name="쉼표 [0] 31" xfId="8036" xr:uid="{00000000-0005-0000-0000-0000CF1E0000}"/>
    <cellStyle name="쉼표 [0] 37" xfId="176" xr:uid="{00000000-0005-0000-0000-0000D01E0000}"/>
    <cellStyle name="쉼표 [0] 4" xfId="55" xr:uid="{00000000-0005-0000-0000-0000D11E0000}"/>
    <cellStyle name="쉼표 [0] 4 2" xfId="61" xr:uid="{00000000-0005-0000-0000-0000D21E0000}"/>
    <cellStyle name="쉼표 [0] 4 2 2" xfId="114" xr:uid="{00000000-0005-0000-0000-0000D31E0000}"/>
    <cellStyle name="쉼표 [0] 4 2 2 2" xfId="8039" xr:uid="{00000000-0005-0000-0000-0000D41E0000}"/>
    <cellStyle name="쉼표 [0] 4 2 3" xfId="165" xr:uid="{00000000-0005-0000-0000-0000D51E0000}"/>
    <cellStyle name="쉼표 [0] 4 2 3 2" xfId="8040" xr:uid="{00000000-0005-0000-0000-0000D61E0000}"/>
    <cellStyle name="쉼표 [0] 4 2 4" xfId="8041" xr:uid="{00000000-0005-0000-0000-0000D71E0000}"/>
    <cellStyle name="쉼표 [0] 4 2 5" xfId="8038" xr:uid="{00000000-0005-0000-0000-0000D81E0000}"/>
    <cellStyle name="쉼표 [0] 4 3" xfId="110" xr:uid="{00000000-0005-0000-0000-0000D91E0000}"/>
    <cellStyle name="쉼표 [0] 4 3 2" xfId="8042" xr:uid="{00000000-0005-0000-0000-0000DA1E0000}"/>
    <cellStyle name="쉼표 [0] 4 4" xfId="161" xr:uid="{00000000-0005-0000-0000-0000DB1E0000}"/>
    <cellStyle name="쉼표 [0] 4 4 2" xfId="8043" xr:uid="{00000000-0005-0000-0000-0000DC1E0000}"/>
    <cellStyle name="쉼표 [0] 4 5" xfId="8037" xr:uid="{00000000-0005-0000-0000-0000DD1E0000}"/>
    <cellStyle name="쉼표 [0] 4 6" xfId="10042" xr:uid="{00000000-0005-0000-0000-0000DE1E0000}"/>
    <cellStyle name="쉼표 [0] 4 7" xfId="10068" xr:uid="{DA47829F-A9C4-4C6E-81E7-9755BD919BA5}"/>
    <cellStyle name="쉼표 [0] 4_leadsheet_07" xfId="8044" xr:uid="{00000000-0005-0000-0000-0000DF1E0000}"/>
    <cellStyle name="쉼표 [0] 5" xfId="56" xr:uid="{00000000-0005-0000-0000-0000E01E0000}"/>
    <cellStyle name="쉼표 [0] 5 18" xfId="10058" xr:uid="{00000000-0005-0000-0000-0000E11E0000}"/>
    <cellStyle name="쉼표 [0] 5 2" xfId="111" xr:uid="{00000000-0005-0000-0000-0000E21E0000}"/>
    <cellStyle name="쉼표 [0] 5 2 2" xfId="8047" xr:uid="{00000000-0005-0000-0000-0000E31E0000}"/>
    <cellStyle name="쉼표 [0] 5 2 3" xfId="8048" xr:uid="{00000000-0005-0000-0000-0000E41E0000}"/>
    <cellStyle name="쉼표 [0] 5 2 4" xfId="8049" xr:uid="{00000000-0005-0000-0000-0000E51E0000}"/>
    <cellStyle name="쉼표 [0] 5 2 5" xfId="8050" xr:uid="{00000000-0005-0000-0000-0000E61E0000}"/>
    <cellStyle name="쉼표 [0] 5 2 6" xfId="8046" xr:uid="{00000000-0005-0000-0000-0000E71E0000}"/>
    <cellStyle name="쉼표 [0] 5 3" xfId="162" xr:uid="{00000000-0005-0000-0000-0000E81E0000}"/>
    <cellStyle name="쉼표 [0] 5 3 2" xfId="8051" xr:uid="{00000000-0005-0000-0000-0000E91E0000}"/>
    <cellStyle name="쉼표 [0] 5 4" xfId="8045" xr:uid="{00000000-0005-0000-0000-0000EA1E0000}"/>
    <cellStyle name="쉼표 [0] 5 5" xfId="10053" xr:uid="{00000000-0005-0000-0000-0000EB1E0000}"/>
    <cellStyle name="쉼표 [0] 6" xfId="7" xr:uid="{00000000-0005-0000-0000-0000EC1E0000}"/>
    <cellStyle name="쉼표 [0] 6 2" xfId="68" xr:uid="{00000000-0005-0000-0000-0000ED1E0000}"/>
    <cellStyle name="쉼표 [0] 6 2 2" xfId="8054" xr:uid="{00000000-0005-0000-0000-0000EE1E0000}"/>
    <cellStyle name="쉼표 [0] 6 2 3" xfId="8053" xr:uid="{00000000-0005-0000-0000-0000EF1E0000}"/>
    <cellStyle name="쉼표 [0] 6 3" xfId="8055" xr:uid="{00000000-0005-0000-0000-0000F01E0000}"/>
    <cellStyle name="쉼표 [0] 6 4" xfId="8056" xr:uid="{00000000-0005-0000-0000-0000F11E0000}"/>
    <cellStyle name="쉼표 [0] 6 5" xfId="8052" xr:uid="{00000000-0005-0000-0000-0000F21E0000}"/>
    <cellStyle name="쉼표 [0] 6 6" xfId="10064" xr:uid="{00000000-0005-0000-0000-0000F31E0000}"/>
    <cellStyle name="쉼표 [0] 7" xfId="64" xr:uid="{00000000-0005-0000-0000-0000F41E0000}"/>
    <cellStyle name="쉼표 [0] 7 2" xfId="8058" xr:uid="{00000000-0005-0000-0000-0000F51E0000}"/>
    <cellStyle name="쉼표 [0] 7 2 2" xfId="8059" xr:uid="{00000000-0005-0000-0000-0000F61E0000}"/>
    <cellStyle name="쉼표 [0] 7 3" xfId="8060" xr:uid="{00000000-0005-0000-0000-0000F71E0000}"/>
    <cellStyle name="쉼표 [0] 7 4" xfId="8061" xr:uid="{00000000-0005-0000-0000-0000F81E0000}"/>
    <cellStyle name="쉼표 [0] 7 5" xfId="8057" xr:uid="{00000000-0005-0000-0000-0000F91E0000}"/>
    <cellStyle name="쉼표 [0] 7 6" xfId="10062" xr:uid="{00000000-0005-0000-0000-0000FA1E0000}"/>
    <cellStyle name="쉼표 [0] 8" xfId="119" xr:uid="{00000000-0005-0000-0000-0000FB1E0000}"/>
    <cellStyle name="쉼표 [0] 8 2" xfId="8063" xr:uid="{00000000-0005-0000-0000-0000FC1E0000}"/>
    <cellStyle name="쉼표 [0] 8 3" xfId="8064" xr:uid="{00000000-0005-0000-0000-0000FD1E0000}"/>
    <cellStyle name="쉼표 [0] 8 4" xfId="8065" xr:uid="{00000000-0005-0000-0000-0000FE1E0000}"/>
    <cellStyle name="쉼표 [0] 8 5" xfId="8066" xr:uid="{00000000-0005-0000-0000-0000FF1E0000}"/>
    <cellStyle name="쉼표 [0] 8 6" xfId="8062" xr:uid="{00000000-0005-0000-0000-0000001F0000}"/>
    <cellStyle name="쉼표 [0] 9" xfId="8067" xr:uid="{00000000-0005-0000-0000-0000011F0000}"/>
    <cellStyle name="쉼표 [0] 9 2" xfId="8068" xr:uid="{00000000-0005-0000-0000-0000021F0000}"/>
    <cellStyle name="쉼표 [0] 9 3" xfId="8069" xr:uid="{00000000-0005-0000-0000-0000031F0000}"/>
    <cellStyle name="쉼표 [0] 9 4" xfId="8070" xr:uid="{00000000-0005-0000-0000-0000041F0000}"/>
    <cellStyle name="쉼표 [0] 9 5" xfId="8071" xr:uid="{00000000-0005-0000-0000-0000051F0000}"/>
    <cellStyle name="쉼표 [0] 9 6" xfId="8072" xr:uid="{00000000-0005-0000-0000-0000061F0000}"/>
    <cellStyle name="쉼표 [0] 9 7" xfId="8073" xr:uid="{00000000-0005-0000-0000-0000071F0000}"/>
    <cellStyle name="쉼표 2" xfId="8074" xr:uid="{00000000-0005-0000-0000-0000081F0000}"/>
    <cellStyle name="쉼표 2 10" xfId="8075" xr:uid="{00000000-0005-0000-0000-0000091F0000}"/>
    <cellStyle name="쉼표 2 2" xfId="8076" xr:uid="{00000000-0005-0000-0000-00000A1F0000}"/>
    <cellStyle name="쉼표 2 3" xfId="8077" xr:uid="{00000000-0005-0000-0000-00000B1F0000}"/>
    <cellStyle name="쉼표 2 4" xfId="8078" xr:uid="{00000000-0005-0000-0000-00000C1F0000}"/>
    <cellStyle name="쉼표 2 5" xfId="8079" xr:uid="{00000000-0005-0000-0000-00000D1F0000}"/>
    <cellStyle name="쉼표 2 6" xfId="10040" xr:uid="{00000000-0005-0000-0000-00000E1F0000}"/>
    <cellStyle name="쉼표 23" xfId="10060" xr:uid="{00000000-0005-0000-0000-00000F1F0000}"/>
    <cellStyle name="쉼표 3" xfId="8080" xr:uid="{00000000-0005-0000-0000-0000101F0000}"/>
    <cellStyle name="쉼표 3 2" xfId="8081" xr:uid="{00000000-0005-0000-0000-0000111F0000}"/>
    <cellStyle name="스타일 1" xfId="8082" xr:uid="{00000000-0005-0000-0000-0000121F0000}"/>
    <cellStyle name="스타일 1 2" xfId="8083" xr:uid="{00000000-0005-0000-0000-0000131F0000}"/>
    <cellStyle name="스타일 1 3" xfId="8084" xr:uid="{00000000-0005-0000-0000-0000141F0000}"/>
    <cellStyle name="스타일 10" xfId="8085" xr:uid="{00000000-0005-0000-0000-0000151F0000}"/>
    <cellStyle name="스타일 10 2" xfId="8086" xr:uid="{00000000-0005-0000-0000-0000161F0000}"/>
    <cellStyle name="스타일 100" xfId="8087" xr:uid="{00000000-0005-0000-0000-0000171F0000}"/>
    <cellStyle name="스타일 101" xfId="8088" xr:uid="{00000000-0005-0000-0000-0000181F0000}"/>
    <cellStyle name="스타일 102" xfId="8089" xr:uid="{00000000-0005-0000-0000-0000191F0000}"/>
    <cellStyle name="스타일 103" xfId="8090" xr:uid="{00000000-0005-0000-0000-00001A1F0000}"/>
    <cellStyle name="스타일 104" xfId="8091" xr:uid="{00000000-0005-0000-0000-00001B1F0000}"/>
    <cellStyle name="스타일 105" xfId="8092" xr:uid="{00000000-0005-0000-0000-00001C1F0000}"/>
    <cellStyle name="스타일 106" xfId="8093" xr:uid="{00000000-0005-0000-0000-00001D1F0000}"/>
    <cellStyle name="스타일 107" xfId="8094" xr:uid="{00000000-0005-0000-0000-00001E1F0000}"/>
    <cellStyle name="스타일 108" xfId="8095" xr:uid="{00000000-0005-0000-0000-00001F1F0000}"/>
    <cellStyle name="스타일 109" xfId="8096" xr:uid="{00000000-0005-0000-0000-0000201F0000}"/>
    <cellStyle name="스타일 11" xfId="8097" xr:uid="{00000000-0005-0000-0000-0000211F0000}"/>
    <cellStyle name="스타일 11 2" xfId="8098" xr:uid="{00000000-0005-0000-0000-0000221F0000}"/>
    <cellStyle name="스타일 110" xfId="8099" xr:uid="{00000000-0005-0000-0000-0000231F0000}"/>
    <cellStyle name="스타일 111" xfId="8100" xr:uid="{00000000-0005-0000-0000-0000241F0000}"/>
    <cellStyle name="스타일 112" xfId="8101" xr:uid="{00000000-0005-0000-0000-0000251F0000}"/>
    <cellStyle name="스타일 113" xfId="8102" xr:uid="{00000000-0005-0000-0000-0000261F0000}"/>
    <cellStyle name="스타일 114" xfId="8103" xr:uid="{00000000-0005-0000-0000-0000271F0000}"/>
    <cellStyle name="스타일 115" xfId="8104" xr:uid="{00000000-0005-0000-0000-0000281F0000}"/>
    <cellStyle name="스타일 12" xfId="8105" xr:uid="{00000000-0005-0000-0000-0000291F0000}"/>
    <cellStyle name="스타일 12 2" xfId="8106" xr:uid="{00000000-0005-0000-0000-00002A1F0000}"/>
    <cellStyle name="스타일 13" xfId="8107" xr:uid="{00000000-0005-0000-0000-00002B1F0000}"/>
    <cellStyle name="스타일 13 2" xfId="8108" xr:uid="{00000000-0005-0000-0000-00002C1F0000}"/>
    <cellStyle name="스타일 14" xfId="8109" xr:uid="{00000000-0005-0000-0000-00002D1F0000}"/>
    <cellStyle name="스타일 14 2" xfId="8110" xr:uid="{00000000-0005-0000-0000-00002E1F0000}"/>
    <cellStyle name="스타일 15" xfId="8111" xr:uid="{00000000-0005-0000-0000-00002F1F0000}"/>
    <cellStyle name="스타일 15 2" xfId="8112" xr:uid="{00000000-0005-0000-0000-0000301F0000}"/>
    <cellStyle name="스타일 16" xfId="8113" xr:uid="{00000000-0005-0000-0000-0000311F0000}"/>
    <cellStyle name="스타일 16 2" xfId="8114" xr:uid="{00000000-0005-0000-0000-0000321F0000}"/>
    <cellStyle name="스타일 17" xfId="8115" xr:uid="{00000000-0005-0000-0000-0000331F0000}"/>
    <cellStyle name="스타일 17 2" xfId="8116" xr:uid="{00000000-0005-0000-0000-0000341F0000}"/>
    <cellStyle name="스타일 18" xfId="8117" xr:uid="{00000000-0005-0000-0000-0000351F0000}"/>
    <cellStyle name="스타일 18 2" xfId="8118" xr:uid="{00000000-0005-0000-0000-0000361F0000}"/>
    <cellStyle name="스타일 19" xfId="8119" xr:uid="{00000000-0005-0000-0000-0000371F0000}"/>
    <cellStyle name="스타일 19 2" xfId="8120" xr:uid="{00000000-0005-0000-0000-0000381F0000}"/>
    <cellStyle name="스타일 2" xfId="8121" xr:uid="{00000000-0005-0000-0000-0000391F0000}"/>
    <cellStyle name="스타일 2 2" xfId="8122" xr:uid="{00000000-0005-0000-0000-00003A1F0000}"/>
    <cellStyle name="스타일 2 3" xfId="8123" xr:uid="{00000000-0005-0000-0000-00003B1F0000}"/>
    <cellStyle name="스타일 20" xfId="8124" xr:uid="{00000000-0005-0000-0000-00003C1F0000}"/>
    <cellStyle name="스타일 20 2" xfId="8125" xr:uid="{00000000-0005-0000-0000-00003D1F0000}"/>
    <cellStyle name="스타일 21" xfId="8126" xr:uid="{00000000-0005-0000-0000-00003E1F0000}"/>
    <cellStyle name="스타일 21 2" xfId="8127" xr:uid="{00000000-0005-0000-0000-00003F1F0000}"/>
    <cellStyle name="스타일 22" xfId="8128" xr:uid="{00000000-0005-0000-0000-0000401F0000}"/>
    <cellStyle name="스타일 23" xfId="8129" xr:uid="{00000000-0005-0000-0000-0000411F0000}"/>
    <cellStyle name="스타일 24" xfId="8130" xr:uid="{00000000-0005-0000-0000-0000421F0000}"/>
    <cellStyle name="스타일 25" xfId="8131" xr:uid="{00000000-0005-0000-0000-0000431F0000}"/>
    <cellStyle name="스타일 26" xfId="8132" xr:uid="{00000000-0005-0000-0000-0000441F0000}"/>
    <cellStyle name="스타일 27" xfId="8133" xr:uid="{00000000-0005-0000-0000-0000451F0000}"/>
    <cellStyle name="스타일 28" xfId="8134" xr:uid="{00000000-0005-0000-0000-0000461F0000}"/>
    <cellStyle name="스타일 29" xfId="8135" xr:uid="{00000000-0005-0000-0000-0000471F0000}"/>
    <cellStyle name="스타일 3" xfId="8136" xr:uid="{00000000-0005-0000-0000-0000481F0000}"/>
    <cellStyle name="스타일 3 2" xfId="8137" xr:uid="{00000000-0005-0000-0000-0000491F0000}"/>
    <cellStyle name="스타일 3 3" xfId="8138" xr:uid="{00000000-0005-0000-0000-00004A1F0000}"/>
    <cellStyle name="스타일 30" xfId="8139" xr:uid="{00000000-0005-0000-0000-00004B1F0000}"/>
    <cellStyle name="스타일 31" xfId="8140" xr:uid="{00000000-0005-0000-0000-00004C1F0000}"/>
    <cellStyle name="스타일 32" xfId="8141" xr:uid="{00000000-0005-0000-0000-00004D1F0000}"/>
    <cellStyle name="스타일 33" xfId="8142" xr:uid="{00000000-0005-0000-0000-00004E1F0000}"/>
    <cellStyle name="스타일 34" xfId="8143" xr:uid="{00000000-0005-0000-0000-00004F1F0000}"/>
    <cellStyle name="스타일 35" xfId="8144" xr:uid="{00000000-0005-0000-0000-0000501F0000}"/>
    <cellStyle name="스타일 36" xfId="8145" xr:uid="{00000000-0005-0000-0000-0000511F0000}"/>
    <cellStyle name="스타일 37" xfId="8146" xr:uid="{00000000-0005-0000-0000-0000521F0000}"/>
    <cellStyle name="스타일 38" xfId="8147" xr:uid="{00000000-0005-0000-0000-0000531F0000}"/>
    <cellStyle name="스타일 39" xfId="8148" xr:uid="{00000000-0005-0000-0000-0000541F0000}"/>
    <cellStyle name="스타일 4" xfId="8149" xr:uid="{00000000-0005-0000-0000-0000551F0000}"/>
    <cellStyle name="스타일 4 2" xfId="8150" xr:uid="{00000000-0005-0000-0000-0000561F0000}"/>
    <cellStyle name="스타일 4 3" xfId="8151" xr:uid="{00000000-0005-0000-0000-0000571F0000}"/>
    <cellStyle name="스타일 40" xfId="8152" xr:uid="{00000000-0005-0000-0000-0000581F0000}"/>
    <cellStyle name="스타일 41" xfId="8153" xr:uid="{00000000-0005-0000-0000-0000591F0000}"/>
    <cellStyle name="스타일 42" xfId="8154" xr:uid="{00000000-0005-0000-0000-00005A1F0000}"/>
    <cellStyle name="스타일 43" xfId="8155" xr:uid="{00000000-0005-0000-0000-00005B1F0000}"/>
    <cellStyle name="스타일 44" xfId="8156" xr:uid="{00000000-0005-0000-0000-00005C1F0000}"/>
    <cellStyle name="스타일 45" xfId="8157" xr:uid="{00000000-0005-0000-0000-00005D1F0000}"/>
    <cellStyle name="스타일 46" xfId="8158" xr:uid="{00000000-0005-0000-0000-00005E1F0000}"/>
    <cellStyle name="스타일 47" xfId="8159" xr:uid="{00000000-0005-0000-0000-00005F1F0000}"/>
    <cellStyle name="스타일 48" xfId="8160" xr:uid="{00000000-0005-0000-0000-0000601F0000}"/>
    <cellStyle name="스타일 49" xfId="8161" xr:uid="{00000000-0005-0000-0000-0000611F0000}"/>
    <cellStyle name="스타일 5" xfId="8162" xr:uid="{00000000-0005-0000-0000-0000621F0000}"/>
    <cellStyle name="스타일 5 2" xfId="8163" xr:uid="{00000000-0005-0000-0000-0000631F0000}"/>
    <cellStyle name="스타일 50" xfId="8164" xr:uid="{00000000-0005-0000-0000-0000641F0000}"/>
    <cellStyle name="스타일 51" xfId="8165" xr:uid="{00000000-0005-0000-0000-0000651F0000}"/>
    <cellStyle name="스타일 52" xfId="8166" xr:uid="{00000000-0005-0000-0000-0000661F0000}"/>
    <cellStyle name="스타일 53" xfId="8167" xr:uid="{00000000-0005-0000-0000-0000671F0000}"/>
    <cellStyle name="스타일 54" xfId="8168" xr:uid="{00000000-0005-0000-0000-0000681F0000}"/>
    <cellStyle name="스타일 55" xfId="8169" xr:uid="{00000000-0005-0000-0000-0000691F0000}"/>
    <cellStyle name="스타일 56" xfId="8170" xr:uid="{00000000-0005-0000-0000-00006A1F0000}"/>
    <cellStyle name="스타일 57" xfId="8171" xr:uid="{00000000-0005-0000-0000-00006B1F0000}"/>
    <cellStyle name="스타일 58" xfId="8172" xr:uid="{00000000-0005-0000-0000-00006C1F0000}"/>
    <cellStyle name="스타일 59" xfId="8173" xr:uid="{00000000-0005-0000-0000-00006D1F0000}"/>
    <cellStyle name="스타일 6" xfId="8174" xr:uid="{00000000-0005-0000-0000-00006E1F0000}"/>
    <cellStyle name="스타일 60" xfId="8175" xr:uid="{00000000-0005-0000-0000-00006F1F0000}"/>
    <cellStyle name="스타일 61" xfId="8176" xr:uid="{00000000-0005-0000-0000-0000701F0000}"/>
    <cellStyle name="스타일 62" xfId="8177" xr:uid="{00000000-0005-0000-0000-0000711F0000}"/>
    <cellStyle name="스타일 63" xfId="8178" xr:uid="{00000000-0005-0000-0000-0000721F0000}"/>
    <cellStyle name="스타일 64" xfId="8179" xr:uid="{00000000-0005-0000-0000-0000731F0000}"/>
    <cellStyle name="스타일 65" xfId="8180" xr:uid="{00000000-0005-0000-0000-0000741F0000}"/>
    <cellStyle name="스타일 66" xfId="8181" xr:uid="{00000000-0005-0000-0000-0000751F0000}"/>
    <cellStyle name="스타일 67" xfId="8182" xr:uid="{00000000-0005-0000-0000-0000761F0000}"/>
    <cellStyle name="스타일 68" xfId="8183" xr:uid="{00000000-0005-0000-0000-0000771F0000}"/>
    <cellStyle name="스타일 69" xfId="8184" xr:uid="{00000000-0005-0000-0000-0000781F0000}"/>
    <cellStyle name="스타일 7" xfId="8185" xr:uid="{00000000-0005-0000-0000-0000791F0000}"/>
    <cellStyle name="스타일 70" xfId="8186" xr:uid="{00000000-0005-0000-0000-00007A1F0000}"/>
    <cellStyle name="스타일 71" xfId="8187" xr:uid="{00000000-0005-0000-0000-00007B1F0000}"/>
    <cellStyle name="스타일 72" xfId="8188" xr:uid="{00000000-0005-0000-0000-00007C1F0000}"/>
    <cellStyle name="스타일 73" xfId="8189" xr:uid="{00000000-0005-0000-0000-00007D1F0000}"/>
    <cellStyle name="스타일 74" xfId="8190" xr:uid="{00000000-0005-0000-0000-00007E1F0000}"/>
    <cellStyle name="스타일 75" xfId="8191" xr:uid="{00000000-0005-0000-0000-00007F1F0000}"/>
    <cellStyle name="스타일 76" xfId="8192" xr:uid="{00000000-0005-0000-0000-0000801F0000}"/>
    <cellStyle name="스타일 77" xfId="8193" xr:uid="{00000000-0005-0000-0000-0000811F0000}"/>
    <cellStyle name="스타일 78" xfId="8194" xr:uid="{00000000-0005-0000-0000-0000821F0000}"/>
    <cellStyle name="스타일 79" xfId="8195" xr:uid="{00000000-0005-0000-0000-0000831F0000}"/>
    <cellStyle name="스타일 8" xfId="8196" xr:uid="{00000000-0005-0000-0000-0000841F0000}"/>
    <cellStyle name="스타일 8 2" xfId="8197" xr:uid="{00000000-0005-0000-0000-0000851F0000}"/>
    <cellStyle name="스타일 80" xfId="8198" xr:uid="{00000000-0005-0000-0000-0000861F0000}"/>
    <cellStyle name="스타일 81" xfId="8199" xr:uid="{00000000-0005-0000-0000-0000871F0000}"/>
    <cellStyle name="스타일 82" xfId="8200" xr:uid="{00000000-0005-0000-0000-0000881F0000}"/>
    <cellStyle name="스타일 83" xfId="8201" xr:uid="{00000000-0005-0000-0000-0000891F0000}"/>
    <cellStyle name="스타일 84" xfId="8202" xr:uid="{00000000-0005-0000-0000-00008A1F0000}"/>
    <cellStyle name="스타일 85" xfId="8203" xr:uid="{00000000-0005-0000-0000-00008B1F0000}"/>
    <cellStyle name="스타일 86" xfId="8204" xr:uid="{00000000-0005-0000-0000-00008C1F0000}"/>
    <cellStyle name="스타일 87" xfId="8205" xr:uid="{00000000-0005-0000-0000-00008D1F0000}"/>
    <cellStyle name="스타일 88" xfId="8206" xr:uid="{00000000-0005-0000-0000-00008E1F0000}"/>
    <cellStyle name="스타일 89" xfId="8207" xr:uid="{00000000-0005-0000-0000-00008F1F0000}"/>
    <cellStyle name="스타일 9" xfId="8208" xr:uid="{00000000-0005-0000-0000-0000901F0000}"/>
    <cellStyle name="스타일 9 2" xfId="8209" xr:uid="{00000000-0005-0000-0000-0000911F0000}"/>
    <cellStyle name="스타일 90" xfId="8210" xr:uid="{00000000-0005-0000-0000-0000921F0000}"/>
    <cellStyle name="스타일 91" xfId="8211" xr:uid="{00000000-0005-0000-0000-0000931F0000}"/>
    <cellStyle name="스타일 92" xfId="8212" xr:uid="{00000000-0005-0000-0000-0000941F0000}"/>
    <cellStyle name="스타일 93" xfId="8213" xr:uid="{00000000-0005-0000-0000-0000951F0000}"/>
    <cellStyle name="스타일 94" xfId="8214" xr:uid="{00000000-0005-0000-0000-0000961F0000}"/>
    <cellStyle name="스타일 95" xfId="8215" xr:uid="{00000000-0005-0000-0000-0000971F0000}"/>
    <cellStyle name="스타일 96" xfId="8216" xr:uid="{00000000-0005-0000-0000-0000981F0000}"/>
    <cellStyle name="스타일 97" xfId="8217" xr:uid="{00000000-0005-0000-0000-0000991F0000}"/>
    <cellStyle name="스타일 98" xfId="8218" xr:uid="{00000000-0005-0000-0000-00009A1F0000}"/>
    <cellStyle name="스타일 99" xfId="8219" xr:uid="{00000000-0005-0000-0000-00009B1F0000}"/>
    <cellStyle name="신진수" xfId="8220" xr:uid="{00000000-0005-0000-0000-00009C1F0000}"/>
    <cellStyle name="쌘" xfId="8221" xr:uid="{00000000-0005-0000-0000-00009D1F0000}"/>
    <cellStyle name="안건회계법인" xfId="8222" xr:uid="{00000000-0005-0000-0000-00009E1F0000}"/>
    <cellStyle name="액제" xfId="8223" xr:uid="{00000000-0005-0000-0000-00009F1F0000}"/>
    <cellStyle name="앰플" xfId="8224" xr:uid="{00000000-0005-0000-0000-0000A01F0000}"/>
    <cellStyle name="연결된 셀 10" xfId="8225" xr:uid="{00000000-0005-0000-0000-0000A11F0000}"/>
    <cellStyle name="연결된 셀 11" xfId="8226" xr:uid="{00000000-0005-0000-0000-0000A21F0000}"/>
    <cellStyle name="연결된 셀 12" xfId="8227" xr:uid="{00000000-0005-0000-0000-0000A31F0000}"/>
    <cellStyle name="연결된 셀 13" xfId="8228" xr:uid="{00000000-0005-0000-0000-0000A41F0000}"/>
    <cellStyle name="연결된 셀 14" xfId="8229" xr:uid="{00000000-0005-0000-0000-0000A51F0000}"/>
    <cellStyle name="연결된 셀 14 2" xfId="8230" xr:uid="{00000000-0005-0000-0000-0000A61F0000}"/>
    <cellStyle name="연결된 셀 14 3" xfId="8231" xr:uid="{00000000-0005-0000-0000-0000A71F0000}"/>
    <cellStyle name="연결된 셀 15" xfId="8232" xr:uid="{00000000-0005-0000-0000-0000A81F0000}"/>
    <cellStyle name="연결된 셀 15 2" xfId="8233" xr:uid="{00000000-0005-0000-0000-0000A91F0000}"/>
    <cellStyle name="연결된 셀 15 3" xfId="8234" xr:uid="{00000000-0005-0000-0000-0000AA1F0000}"/>
    <cellStyle name="연결된 셀 16" xfId="8235" xr:uid="{00000000-0005-0000-0000-0000AB1F0000}"/>
    <cellStyle name="연결된 셀 16 2" xfId="8236" xr:uid="{00000000-0005-0000-0000-0000AC1F0000}"/>
    <cellStyle name="연결된 셀 16 3" xfId="8237" xr:uid="{00000000-0005-0000-0000-0000AD1F0000}"/>
    <cellStyle name="연결된 셀 17" xfId="8238" xr:uid="{00000000-0005-0000-0000-0000AE1F0000}"/>
    <cellStyle name="연결된 셀 17 2" xfId="8239" xr:uid="{00000000-0005-0000-0000-0000AF1F0000}"/>
    <cellStyle name="연결된 셀 17 3" xfId="8240" xr:uid="{00000000-0005-0000-0000-0000B01F0000}"/>
    <cellStyle name="연결된 셀 18" xfId="8241" xr:uid="{00000000-0005-0000-0000-0000B11F0000}"/>
    <cellStyle name="연결된 셀 18 2" xfId="8242" xr:uid="{00000000-0005-0000-0000-0000B21F0000}"/>
    <cellStyle name="연결된 셀 18 3" xfId="8243" xr:uid="{00000000-0005-0000-0000-0000B31F0000}"/>
    <cellStyle name="연결된 셀 19" xfId="8244" xr:uid="{00000000-0005-0000-0000-0000B41F0000}"/>
    <cellStyle name="연결된 셀 19 2" xfId="8245" xr:uid="{00000000-0005-0000-0000-0000B51F0000}"/>
    <cellStyle name="연결된 셀 19 3" xfId="8246" xr:uid="{00000000-0005-0000-0000-0000B61F0000}"/>
    <cellStyle name="연결된 셀 2" xfId="8247" xr:uid="{00000000-0005-0000-0000-0000B71F0000}"/>
    <cellStyle name="연결된 셀 2 10" xfId="8248" xr:uid="{00000000-0005-0000-0000-0000B81F0000}"/>
    <cellStyle name="연결된 셀 2 11" xfId="8249" xr:uid="{00000000-0005-0000-0000-0000B91F0000}"/>
    <cellStyle name="연결된 셀 2 12" xfId="8250" xr:uid="{00000000-0005-0000-0000-0000BA1F0000}"/>
    <cellStyle name="연결된 셀 2 13" xfId="8251" xr:uid="{00000000-0005-0000-0000-0000BB1F0000}"/>
    <cellStyle name="연결된 셀 2 14" xfId="8252" xr:uid="{00000000-0005-0000-0000-0000BC1F0000}"/>
    <cellStyle name="연결된 셀 2 15" xfId="8253" xr:uid="{00000000-0005-0000-0000-0000BD1F0000}"/>
    <cellStyle name="연결된 셀 2 16" xfId="8254" xr:uid="{00000000-0005-0000-0000-0000BE1F0000}"/>
    <cellStyle name="연결된 셀 2 17" xfId="8255" xr:uid="{00000000-0005-0000-0000-0000BF1F0000}"/>
    <cellStyle name="연결된 셀 2 18" xfId="8256" xr:uid="{00000000-0005-0000-0000-0000C01F0000}"/>
    <cellStyle name="연결된 셀 2 19" xfId="8257" xr:uid="{00000000-0005-0000-0000-0000C11F0000}"/>
    <cellStyle name="연결된 셀 2 2" xfId="8258" xr:uid="{00000000-0005-0000-0000-0000C21F0000}"/>
    <cellStyle name="연결된 셀 2 20" xfId="8259" xr:uid="{00000000-0005-0000-0000-0000C31F0000}"/>
    <cellStyle name="연결된 셀 2 21" xfId="8260" xr:uid="{00000000-0005-0000-0000-0000C41F0000}"/>
    <cellStyle name="연결된 셀 2 22" xfId="8261" xr:uid="{00000000-0005-0000-0000-0000C51F0000}"/>
    <cellStyle name="연결된 셀 2 23" xfId="8262" xr:uid="{00000000-0005-0000-0000-0000C61F0000}"/>
    <cellStyle name="연결된 셀 2 24" xfId="8263" xr:uid="{00000000-0005-0000-0000-0000C71F0000}"/>
    <cellStyle name="연결된 셀 2 25" xfId="8264" xr:uid="{00000000-0005-0000-0000-0000C81F0000}"/>
    <cellStyle name="연결된 셀 2 26" xfId="8265" xr:uid="{00000000-0005-0000-0000-0000C91F0000}"/>
    <cellStyle name="연결된 셀 2 27" xfId="8266" xr:uid="{00000000-0005-0000-0000-0000CA1F0000}"/>
    <cellStyle name="연결된 셀 2 28" xfId="8267" xr:uid="{00000000-0005-0000-0000-0000CB1F0000}"/>
    <cellStyle name="연결된 셀 2 29" xfId="8268" xr:uid="{00000000-0005-0000-0000-0000CC1F0000}"/>
    <cellStyle name="연결된 셀 2 3" xfId="8269" xr:uid="{00000000-0005-0000-0000-0000CD1F0000}"/>
    <cellStyle name="연결된 셀 2 30" xfId="8270" xr:uid="{00000000-0005-0000-0000-0000CE1F0000}"/>
    <cellStyle name="연결된 셀 2 31" xfId="8271" xr:uid="{00000000-0005-0000-0000-0000CF1F0000}"/>
    <cellStyle name="연결된 셀 2 32" xfId="8272" xr:uid="{00000000-0005-0000-0000-0000D01F0000}"/>
    <cellStyle name="연결된 셀 2 33" xfId="8273" xr:uid="{00000000-0005-0000-0000-0000D11F0000}"/>
    <cellStyle name="연결된 셀 2 34" xfId="8274" xr:uid="{00000000-0005-0000-0000-0000D21F0000}"/>
    <cellStyle name="연결된 셀 2 35" xfId="8275" xr:uid="{00000000-0005-0000-0000-0000D31F0000}"/>
    <cellStyle name="연결된 셀 2 36" xfId="8276" xr:uid="{00000000-0005-0000-0000-0000D41F0000}"/>
    <cellStyle name="연결된 셀 2 37" xfId="8277" xr:uid="{00000000-0005-0000-0000-0000D51F0000}"/>
    <cellStyle name="연결된 셀 2 38" xfId="8278" xr:uid="{00000000-0005-0000-0000-0000D61F0000}"/>
    <cellStyle name="연결된 셀 2 39" xfId="8279" xr:uid="{00000000-0005-0000-0000-0000D71F0000}"/>
    <cellStyle name="연결된 셀 2 4" xfId="8280" xr:uid="{00000000-0005-0000-0000-0000D81F0000}"/>
    <cellStyle name="연결된 셀 2 5" xfId="8281" xr:uid="{00000000-0005-0000-0000-0000D91F0000}"/>
    <cellStyle name="연결된 셀 2 6" xfId="8282" xr:uid="{00000000-0005-0000-0000-0000DA1F0000}"/>
    <cellStyle name="연결된 셀 2 7" xfId="8283" xr:uid="{00000000-0005-0000-0000-0000DB1F0000}"/>
    <cellStyle name="연결된 셀 2 8" xfId="8284" xr:uid="{00000000-0005-0000-0000-0000DC1F0000}"/>
    <cellStyle name="연결된 셀 2 9" xfId="8285" xr:uid="{00000000-0005-0000-0000-0000DD1F0000}"/>
    <cellStyle name="연결된 셀 20" xfId="8286" xr:uid="{00000000-0005-0000-0000-0000DE1F0000}"/>
    <cellStyle name="연결된 셀 21" xfId="8287" xr:uid="{00000000-0005-0000-0000-0000DF1F0000}"/>
    <cellStyle name="연결된 셀 22" xfId="8288" xr:uid="{00000000-0005-0000-0000-0000E01F0000}"/>
    <cellStyle name="연결된 셀 23" xfId="8289" xr:uid="{00000000-0005-0000-0000-0000E11F0000}"/>
    <cellStyle name="연결된 셀 24" xfId="8290" xr:uid="{00000000-0005-0000-0000-0000E21F0000}"/>
    <cellStyle name="연결된 셀 25" xfId="8291" xr:uid="{00000000-0005-0000-0000-0000E31F0000}"/>
    <cellStyle name="연결된 셀 26" xfId="8292" xr:uid="{00000000-0005-0000-0000-0000E41F0000}"/>
    <cellStyle name="연결된 셀 27" xfId="8293" xr:uid="{00000000-0005-0000-0000-0000E51F0000}"/>
    <cellStyle name="연결된 셀 27 2" xfId="8294" xr:uid="{00000000-0005-0000-0000-0000E61F0000}"/>
    <cellStyle name="연결된 셀 28" xfId="8295" xr:uid="{00000000-0005-0000-0000-0000E71F0000}"/>
    <cellStyle name="연결된 셀 29" xfId="8296" xr:uid="{00000000-0005-0000-0000-0000E81F0000}"/>
    <cellStyle name="연결된 셀 3" xfId="8297" xr:uid="{00000000-0005-0000-0000-0000E91F0000}"/>
    <cellStyle name="연결된 셀 3 2" xfId="8298" xr:uid="{00000000-0005-0000-0000-0000EA1F0000}"/>
    <cellStyle name="연결된 셀 3 3" xfId="8299" xr:uid="{00000000-0005-0000-0000-0000EB1F0000}"/>
    <cellStyle name="연결된 셀 3 4" xfId="8300" xr:uid="{00000000-0005-0000-0000-0000EC1F0000}"/>
    <cellStyle name="연결된 셀 30" xfId="8301" xr:uid="{00000000-0005-0000-0000-0000ED1F0000}"/>
    <cellStyle name="연결된 셀 31" xfId="8302" xr:uid="{00000000-0005-0000-0000-0000EE1F0000}"/>
    <cellStyle name="연결된 셀 32" xfId="8303" xr:uid="{00000000-0005-0000-0000-0000EF1F0000}"/>
    <cellStyle name="연결된 셀 33" xfId="8304" xr:uid="{00000000-0005-0000-0000-0000F01F0000}"/>
    <cellStyle name="연결된 셀 34" xfId="8305" xr:uid="{00000000-0005-0000-0000-0000F11F0000}"/>
    <cellStyle name="연결된 셀 35" xfId="8306" xr:uid="{00000000-0005-0000-0000-0000F21F0000}"/>
    <cellStyle name="연결된 셀 36" xfId="8307" xr:uid="{00000000-0005-0000-0000-0000F31F0000}"/>
    <cellStyle name="연결된 셀 37" xfId="8308" xr:uid="{00000000-0005-0000-0000-0000F41F0000}"/>
    <cellStyle name="연결된 셀 37 2" xfId="8309" xr:uid="{00000000-0005-0000-0000-0000F51F0000}"/>
    <cellStyle name="연결된 셀 38" xfId="8310" xr:uid="{00000000-0005-0000-0000-0000F61F0000}"/>
    <cellStyle name="연결된 셀 39" xfId="8311" xr:uid="{00000000-0005-0000-0000-0000F71F0000}"/>
    <cellStyle name="연결된 셀 4" xfId="8312" xr:uid="{00000000-0005-0000-0000-0000F81F0000}"/>
    <cellStyle name="연결된 셀 4 2" xfId="8313" xr:uid="{00000000-0005-0000-0000-0000F91F0000}"/>
    <cellStyle name="연결된 셀 4 3" xfId="8314" xr:uid="{00000000-0005-0000-0000-0000FA1F0000}"/>
    <cellStyle name="연결된 셀 4 4" xfId="8315" xr:uid="{00000000-0005-0000-0000-0000FB1F0000}"/>
    <cellStyle name="연결된 셀 40" xfId="8316" xr:uid="{00000000-0005-0000-0000-0000FC1F0000}"/>
    <cellStyle name="연결된 셀 41" xfId="8317" xr:uid="{00000000-0005-0000-0000-0000FD1F0000}"/>
    <cellStyle name="연결된 셀 42" xfId="8318" xr:uid="{00000000-0005-0000-0000-0000FE1F0000}"/>
    <cellStyle name="연결된 셀 43" xfId="8319" xr:uid="{00000000-0005-0000-0000-0000FF1F0000}"/>
    <cellStyle name="연결된 셀 44" xfId="8320" xr:uid="{00000000-0005-0000-0000-000000200000}"/>
    <cellStyle name="연결된 셀 45" xfId="8321" xr:uid="{00000000-0005-0000-0000-000001200000}"/>
    <cellStyle name="연결된 셀 45 2" xfId="8322" xr:uid="{00000000-0005-0000-0000-000002200000}"/>
    <cellStyle name="연결된 셀 45 3" xfId="8323" xr:uid="{00000000-0005-0000-0000-000003200000}"/>
    <cellStyle name="연결된 셀 46" xfId="8324" xr:uid="{00000000-0005-0000-0000-000004200000}"/>
    <cellStyle name="연결된 셀 47" xfId="8325" xr:uid="{00000000-0005-0000-0000-000005200000}"/>
    <cellStyle name="연결된 셀 48" xfId="8326" xr:uid="{00000000-0005-0000-0000-000006200000}"/>
    <cellStyle name="연결된 셀 49" xfId="8327" xr:uid="{00000000-0005-0000-0000-000007200000}"/>
    <cellStyle name="연결된 셀 5" xfId="8328" xr:uid="{00000000-0005-0000-0000-000008200000}"/>
    <cellStyle name="연결된 셀 5 2" xfId="8329" xr:uid="{00000000-0005-0000-0000-000009200000}"/>
    <cellStyle name="연결된 셀 5 3" xfId="8330" xr:uid="{00000000-0005-0000-0000-00000A200000}"/>
    <cellStyle name="연결된 셀 5 4" xfId="8331" xr:uid="{00000000-0005-0000-0000-00000B200000}"/>
    <cellStyle name="연결된 셀 50" xfId="8332" xr:uid="{00000000-0005-0000-0000-00000C200000}"/>
    <cellStyle name="연결된 셀 51" xfId="8333" xr:uid="{00000000-0005-0000-0000-00000D200000}"/>
    <cellStyle name="연결된 셀 52" xfId="8334" xr:uid="{00000000-0005-0000-0000-00000E200000}"/>
    <cellStyle name="연결된 셀 53" xfId="8335" xr:uid="{00000000-0005-0000-0000-00000F200000}"/>
    <cellStyle name="연결된 셀 54" xfId="8336" xr:uid="{00000000-0005-0000-0000-000010200000}"/>
    <cellStyle name="연결된 셀 55" xfId="8337" xr:uid="{00000000-0005-0000-0000-000011200000}"/>
    <cellStyle name="연결된 셀 6" xfId="8338" xr:uid="{00000000-0005-0000-0000-000012200000}"/>
    <cellStyle name="연결된 셀 6 2" xfId="8339" xr:uid="{00000000-0005-0000-0000-000013200000}"/>
    <cellStyle name="연결된 셀 6 3" xfId="8340" xr:uid="{00000000-0005-0000-0000-000014200000}"/>
    <cellStyle name="연결된 셀 6 4" xfId="8341" xr:uid="{00000000-0005-0000-0000-000015200000}"/>
    <cellStyle name="연결된 셀 7" xfId="8342" xr:uid="{00000000-0005-0000-0000-000016200000}"/>
    <cellStyle name="연결된 셀 7 2" xfId="8343" xr:uid="{00000000-0005-0000-0000-000017200000}"/>
    <cellStyle name="연결된 셀 7 3" xfId="8344" xr:uid="{00000000-0005-0000-0000-000018200000}"/>
    <cellStyle name="연결된 셀 7 4" xfId="8345" xr:uid="{00000000-0005-0000-0000-000019200000}"/>
    <cellStyle name="연결된 셀 8" xfId="8346" xr:uid="{00000000-0005-0000-0000-00001A200000}"/>
    <cellStyle name="연결된 셀 9" xfId="8347" xr:uid="{00000000-0005-0000-0000-00001B200000}"/>
    <cellStyle name="연고" xfId="8348" xr:uid="{00000000-0005-0000-0000-00001C200000}"/>
    <cellStyle name="열어본 하이퍼링크" xfId="8349" xr:uid="{00000000-0005-0000-0000-00001D200000}"/>
    <cellStyle name="霓付 [0]_  辆  钦  " xfId="8350" xr:uid="{00000000-0005-0000-0000-00001E200000}"/>
    <cellStyle name="霓付_  辆  钦  " xfId="8351" xr:uid="{00000000-0005-0000-0000-00001F200000}"/>
    <cellStyle name="吾睇?report-2 " xfId="8352" xr:uid="{00000000-0005-0000-0000-000020200000}"/>
    <cellStyle name="옴니" xfId="8353" xr:uid="{00000000-0005-0000-0000-000021200000}"/>
    <cellStyle name="巍葆 [0]_渠掘 " xfId="8354" xr:uid="{00000000-0005-0000-0000-000022200000}"/>
    <cellStyle name="巍葆_渠掘 " xfId="8355" xr:uid="{00000000-0005-0000-0000-000023200000}"/>
    <cellStyle name="요약" xfId="172" builtinId="25"/>
    <cellStyle name="요약 10" xfId="8356" xr:uid="{00000000-0005-0000-0000-000025200000}"/>
    <cellStyle name="요약 11" xfId="8357" xr:uid="{00000000-0005-0000-0000-000026200000}"/>
    <cellStyle name="요약 12" xfId="8358" xr:uid="{00000000-0005-0000-0000-000027200000}"/>
    <cellStyle name="요약 13" xfId="8359" xr:uid="{00000000-0005-0000-0000-000028200000}"/>
    <cellStyle name="요약 14" xfId="8360" xr:uid="{00000000-0005-0000-0000-000029200000}"/>
    <cellStyle name="요약 14 2" xfId="8361" xr:uid="{00000000-0005-0000-0000-00002A200000}"/>
    <cellStyle name="요약 14 3" xfId="8362" xr:uid="{00000000-0005-0000-0000-00002B200000}"/>
    <cellStyle name="요약 15" xfId="8363" xr:uid="{00000000-0005-0000-0000-00002C200000}"/>
    <cellStyle name="요약 15 2" xfId="8364" xr:uid="{00000000-0005-0000-0000-00002D200000}"/>
    <cellStyle name="요약 15 3" xfId="8365" xr:uid="{00000000-0005-0000-0000-00002E200000}"/>
    <cellStyle name="요약 16" xfId="8366" xr:uid="{00000000-0005-0000-0000-00002F200000}"/>
    <cellStyle name="요약 16 2" xfId="8367" xr:uid="{00000000-0005-0000-0000-000030200000}"/>
    <cellStyle name="요약 16 3" xfId="8368" xr:uid="{00000000-0005-0000-0000-000031200000}"/>
    <cellStyle name="요약 17" xfId="8369" xr:uid="{00000000-0005-0000-0000-000032200000}"/>
    <cellStyle name="요약 17 2" xfId="8370" xr:uid="{00000000-0005-0000-0000-000033200000}"/>
    <cellStyle name="요약 17 3" xfId="8371" xr:uid="{00000000-0005-0000-0000-000034200000}"/>
    <cellStyle name="요약 18" xfId="8372" xr:uid="{00000000-0005-0000-0000-000035200000}"/>
    <cellStyle name="요약 18 2" xfId="8373" xr:uid="{00000000-0005-0000-0000-000036200000}"/>
    <cellStyle name="요약 18 3" xfId="8374" xr:uid="{00000000-0005-0000-0000-000037200000}"/>
    <cellStyle name="요약 19" xfId="8375" xr:uid="{00000000-0005-0000-0000-000038200000}"/>
    <cellStyle name="요약 19 2" xfId="8376" xr:uid="{00000000-0005-0000-0000-000039200000}"/>
    <cellStyle name="요약 19 3" xfId="8377" xr:uid="{00000000-0005-0000-0000-00003A200000}"/>
    <cellStyle name="요약 2" xfId="8378" xr:uid="{00000000-0005-0000-0000-00003B200000}"/>
    <cellStyle name="요약 2 10" xfId="8379" xr:uid="{00000000-0005-0000-0000-00003C200000}"/>
    <cellStyle name="요약 2 11" xfId="8380" xr:uid="{00000000-0005-0000-0000-00003D200000}"/>
    <cellStyle name="요약 2 12" xfId="8381" xr:uid="{00000000-0005-0000-0000-00003E200000}"/>
    <cellStyle name="요약 2 13" xfId="8382" xr:uid="{00000000-0005-0000-0000-00003F200000}"/>
    <cellStyle name="요약 2 14" xfId="8383" xr:uid="{00000000-0005-0000-0000-000040200000}"/>
    <cellStyle name="요약 2 15" xfId="8384" xr:uid="{00000000-0005-0000-0000-000041200000}"/>
    <cellStyle name="요약 2 16" xfId="8385" xr:uid="{00000000-0005-0000-0000-000042200000}"/>
    <cellStyle name="요약 2 17" xfId="8386" xr:uid="{00000000-0005-0000-0000-000043200000}"/>
    <cellStyle name="요약 2 18" xfId="8387" xr:uid="{00000000-0005-0000-0000-000044200000}"/>
    <cellStyle name="요약 2 19" xfId="8388" xr:uid="{00000000-0005-0000-0000-000045200000}"/>
    <cellStyle name="요약 2 2" xfId="8389" xr:uid="{00000000-0005-0000-0000-000046200000}"/>
    <cellStyle name="요약 2 20" xfId="8390" xr:uid="{00000000-0005-0000-0000-000047200000}"/>
    <cellStyle name="요약 2 21" xfId="8391" xr:uid="{00000000-0005-0000-0000-000048200000}"/>
    <cellStyle name="요약 2 22" xfId="8392" xr:uid="{00000000-0005-0000-0000-000049200000}"/>
    <cellStyle name="요약 2 23" xfId="8393" xr:uid="{00000000-0005-0000-0000-00004A200000}"/>
    <cellStyle name="요약 2 24" xfId="8394" xr:uid="{00000000-0005-0000-0000-00004B200000}"/>
    <cellStyle name="요약 2 25" xfId="8395" xr:uid="{00000000-0005-0000-0000-00004C200000}"/>
    <cellStyle name="요약 2 26" xfId="8396" xr:uid="{00000000-0005-0000-0000-00004D200000}"/>
    <cellStyle name="요약 2 27" xfId="8397" xr:uid="{00000000-0005-0000-0000-00004E200000}"/>
    <cellStyle name="요약 2 28" xfId="8398" xr:uid="{00000000-0005-0000-0000-00004F200000}"/>
    <cellStyle name="요약 2 29" xfId="8399" xr:uid="{00000000-0005-0000-0000-000050200000}"/>
    <cellStyle name="요약 2 3" xfId="8400" xr:uid="{00000000-0005-0000-0000-000051200000}"/>
    <cellStyle name="요약 2 30" xfId="8401" xr:uid="{00000000-0005-0000-0000-000052200000}"/>
    <cellStyle name="요약 2 31" xfId="8402" xr:uid="{00000000-0005-0000-0000-000053200000}"/>
    <cellStyle name="요약 2 32" xfId="8403" xr:uid="{00000000-0005-0000-0000-000054200000}"/>
    <cellStyle name="요약 2 33" xfId="8404" xr:uid="{00000000-0005-0000-0000-000055200000}"/>
    <cellStyle name="요약 2 34" xfId="8405" xr:uid="{00000000-0005-0000-0000-000056200000}"/>
    <cellStyle name="요약 2 35" xfId="8406" xr:uid="{00000000-0005-0000-0000-000057200000}"/>
    <cellStyle name="요약 2 36" xfId="8407" xr:uid="{00000000-0005-0000-0000-000058200000}"/>
    <cellStyle name="요약 2 37" xfId="8408" xr:uid="{00000000-0005-0000-0000-000059200000}"/>
    <cellStyle name="요약 2 38" xfId="8409" xr:uid="{00000000-0005-0000-0000-00005A200000}"/>
    <cellStyle name="요약 2 39" xfId="8410" xr:uid="{00000000-0005-0000-0000-00005B200000}"/>
    <cellStyle name="요약 2 4" xfId="8411" xr:uid="{00000000-0005-0000-0000-00005C200000}"/>
    <cellStyle name="요약 2 5" xfId="8412" xr:uid="{00000000-0005-0000-0000-00005D200000}"/>
    <cellStyle name="요약 2 6" xfId="8413" xr:uid="{00000000-0005-0000-0000-00005E200000}"/>
    <cellStyle name="요약 2 7" xfId="8414" xr:uid="{00000000-0005-0000-0000-00005F200000}"/>
    <cellStyle name="요약 2 8" xfId="8415" xr:uid="{00000000-0005-0000-0000-000060200000}"/>
    <cellStyle name="요약 2 9" xfId="8416" xr:uid="{00000000-0005-0000-0000-000061200000}"/>
    <cellStyle name="요약 20" xfId="8417" xr:uid="{00000000-0005-0000-0000-000062200000}"/>
    <cellStyle name="요약 21" xfId="8418" xr:uid="{00000000-0005-0000-0000-000063200000}"/>
    <cellStyle name="요약 22" xfId="8419" xr:uid="{00000000-0005-0000-0000-000064200000}"/>
    <cellStyle name="요약 23" xfId="8420" xr:uid="{00000000-0005-0000-0000-000065200000}"/>
    <cellStyle name="요약 24" xfId="8421" xr:uid="{00000000-0005-0000-0000-000066200000}"/>
    <cellStyle name="요약 25" xfId="8422" xr:uid="{00000000-0005-0000-0000-000067200000}"/>
    <cellStyle name="요약 26" xfId="8423" xr:uid="{00000000-0005-0000-0000-000068200000}"/>
    <cellStyle name="요약 27" xfId="8424" xr:uid="{00000000-0005-0000-0000-000069200000}"/>
    <cellStyle name="요약 27 2" xfId="8425" xr:uid="{00000000-0005-0000-0000-00006A200000}"/>
    <cellStyle name="요약 28" xfId="8426" xr:uid="{00000000-0005-0000-0000-00006B200000}"/>
    <cellStyle name="요약 29" xfId="8427" xr:uid="{00000000-0005-0000-0000-00006C200000}"/>
    <cellStyle name="요약 3" xfId="8428" xr:uid="{00000000-0005-0000-0000-00006D200000}"/>
    <cellStyle name="요약 3 2" xfId="8429" xr:uid="{00000000-0005-0000-0000-00006E200000}"/>
    <cellStyle name="요약 3 3" xfId="8430" xr:uid="{00000000-0005-0000-0000-00006F200000}"/>
    <cellStyle name="요약 3 4" xfId="8431" xr:uid="{00000000-0005-0000-0000-000070200000}"/>
    <cellStyle name="요약 30" xfId="8432" xr:uid="{00000000-0005-0000-0000-000071200000}"/>
    <cellStyle name="요약 31" xfId="8433" xr:uid="{00000000-0005-0000-0000-000072200000}"/>
    <cellStyle name="요약 32" xfId="8434" xr:uid="{00000000-0005-0000-0000-000073200000}"/>
    <cellStyle name="요약 33" xfId="8435" xr:uid="{00000000-0005-0000-0000-000074200000}"/>
    <cellStyle name="요약 34" xfId="8436" xr:uid="{00000000-0005-0000-0000-000075200000}"/>
    <cellStyle name="요약 35" xfId="8437" xr:uid="{00000000-0005-0000-0000-000076200000}"/>
    <cellStyle name="요약 36" xfId="8438" xr:uid="{00000000-0005-0000-0000-000077200000}"/>
    <cellStyle name="요약 37" xfId="8439" xr:uid="{00000000-0005-0000-0000-000078200000}"/>
    <cellStyle name="요약 37 2" xfId="8440" xr:uid="{00000000-0005-0000-0000-000079200000}"/>
    <cellStyle name="요약 38" xfId="8441" xr:uid="{00000000-0005-0000-0000-00007A200000}"/>
    <cellStyle name="요약 39" xfId="8442" xr:uid="{00000000-0005-0000-0000-00007B200000}"/>
    <cellStyle name="요약 4" xfId="8443" xr:uid="{00000000-0005-0000-0000-00007C200000}"/>
    <cellStyle name="요약 4 2" xfId="8444" xr:uid="{00000000-0005-0000-0000-00007D200000}"/>
    <cellStyle name="요약 4 3" xfId="8445" xr:uid="{00000000-0005-0000-0000-00007E200000}"/>
    <cellStyle name="요약 4 4" xfId="8446" xr:uid="{00000000-0005-0000-0000-00007F200000}"/>
    <cellStyle name="요약 40" xfId="8447" xr:uid="{00000000-0005-0000-0000-000080200000}"/>
    <cellStyle name="요약 41" xfId="8448" xr:uid="{00000000-0005-0000-0000-000081200000}"/>
    <cellStyle name="요약 42" xfId="8449" xr:uid="{00000000-0005-0000-0000-000082200000}"/>
    <cellStyle name="요약 43" xfId="8450" xr:uid="{00000000-0005-0000-0000-000083200000}"/>
    <cellStyle name="요약 44" xfId="8451" xr:uid="{00000000-0005-0000-0000-000084200000}"/>
    <cellStyle name="요약 45" xfId="8452" xr:uid="{00000000-0005-0000-0000-000085200000}"/>
    <cellStyle name="요약 45 2" xfId="8453" xr:uid="{00000000-0005-0000-0000-000086200000}"/>
    <cellStyle name="요약 45 3" xfId="8454" xr:uid="{00000000-0005-0000-0000-000087200000}"/>
    <cellStyle name="요약 46" xfId="8455" xr:uid="{00000000-0005-0000-0000-000088200000}"/>
    <cellStyle name="요약 47" xfId="8456" xr:uid="{00000000-0005-0000-0000-000089200000}"/>
    <cellStyle name="요약 48" xfId="8457" xr:uid="{00000000-0005-0000-0000-00008A200000}"/>
    <cellStyle name="요약 49" xfId="8458" xr:uid="{00000000-0005-0000-0000-00008B200000}"/>
    <cellStyle name="요약 5" xfId="8459" xr:uid="{00000000-0005-0000-0000-00008C200000}"/>
    <cellStyle name="요약 5 2" xfId="8460" xr:uid="{00000000-0005-0000-0000-00008D200000}"/>
    <cellStyle name="요약 5 3" xfId="8461" xr:uid="{00000000-0005-0000-0000-00008E200000}"/>
    <cellStyle name="요약 5 4" xfId="8462" xr:uid="{00000000-0005-0000-0000-00008F200000}"/>
    <cellStyle name="요약 50" xfId="8463" xr:uid="{00000000-0005-0000-0000-000090200000}"/>
    <cellStyle name="요약 51" xfId="8464" xr:uid="{00000000-0005-0000-0000-000091200000}"/>
    <cellStyle name="요약 52" xfId="8465" xr:uid="{00000000-0005-0000-0000-000092200000}"/>
    <cellStyle name="요약 53" xfId="8466" xr:uid="{00000000-0005-0000-0000-000093200000}"/>
    <cellStyle name="요약 54" xfId="8467" xr:uid="{00000000-0005-0000-0000-000094200000}"/>
    <cellStyle name="요약 55" xfId="8468" xr:uid="{00000000-0005-0000-0000-000095200000}"/>
    <cellStyle name="요약 6" xfId="8469" xr:uid="{00000000-0005-0000-0000-000096200000}"/>
    <cellStyle name="요약 6 2" xfId="8470" xr:uid="{00000000-0005-0000-0000-000097200000}"/>
    <cellStyle name="요약 6 3" xfId="8471" xr:uid="{00000000-0005-0000-0000-000098200000}"/>
    <cellStyle name="요약 6 4" xfId="8472" xr:uid="{00000000-0005-0000-0000-000099200000}"/>
    <cellStyle name="요약 7" xfId="8473" xr:uid="{00000000-0005-0000-0000-00009A200000}"/>
    <cellStyle name="요약 7 2" xfId="8474" xr:uid="{00000000-0005-0000-0000-00009B200000}"/>
    <cellStyle name="요약 7 3" xfId="8475" xr:uid="{00000000-0005-0000-0000-00009C200000}"/>
    <cellStyle name="요약 7 4" xfId="8476" xr:uid="{00000000-0005-0000-0000-00009D200000}"/>
    <cellStyle name="요약 8" xfId="8477" xr:uid="{00000000-0005-0000-0000-00009E200000}"/>
    <cellStyle name="요약 9" xfId="8478" xr:uid="{00000000-0005-0000-0000-00009F200000}"/>
    <cellStyle name="원" xfId="8479" xr:uid="{00000000-0005-0000-0000-0000A0200000}"/>
    <cellStyle name="원 2" xfId="8480" xr:uid="{00000000-0005-0000-0000-0000A1200000}"/>
    <cellStyle name="원_09성남" xfId="8481" xr:uid="{00000000-0005-0000-0000-0000A2200000}"/>
    <cellStyle name="원_dimon" xfId="8482" xr:uid="{00000000-0005-0000-0000-0000A3200000}"/>
    <cellStyle name="원_Final AR_그레이스08_수정후" xfId="8483" xr:uid="{00000000-0005-0000-0000-0000A4200000}"/>
    <cellStyle name="원_Grace정산표_08_0303" xfId="8484" xr:uid="{00000000-0005-0000-0000-0000A5200000}"/>
    <cellStyle name="원_HUKUL재무제표" xfId="8485" xr:uid="{00000000-0005-0000-0000-0000A6200000}"/>
    <cellStyle name="원_Lover" xfId="8486" xr:uid="{00000000-0005-0000-0000-0000A7200000}"/>
    <cellStyle name="원_Sheet10" xfId="8487" xr:uid="{00000000-0005-0000-0000-0000A8200000}"/>
    <cellStyle name="원_Sheet11" xfId="8488" xr:uid="{00000000-0005-0000-0000-0000A9200000}"/>
    <cellStyle name="원_Sheet12" xfId="8489" xr:uid="{00000000-0005-0000-0000-0000AA200000}"/>
    <cellStyle name="원_구상채권" xfId="8490" xr:uid="{00000000-0005-0000-0000-0000AB200000}"/>
    <cellStyle name="원_정리-V2" xfId="8491" xr:uid="{00000000-0005-0000-0000-0000AC200000}"/>
    <cellStyle name="원_정산표(디지털미디어)-V10(20041213)(조병현-최종)" xfId="8492" xr:uid="{00000000-0005-0000-0000-0000AD200000}"/>
    <cellStyle name="원_정산표-현대선물_200906_ver5.3" xfId="8493" xr:uid="{00000000-0005-0000-0000-0000AE200000}"/>
    <cellStyle name="원_지오텔정산표_06YE_0228" xfId="8494" xr:uid="{00000000-0005-0000-0000-0000AF200000}"/>
    <cellStyle name="원_현대자산운용 201003_중요성기준_최종" xfId="8495" xr:uid="{00000000-0005-0000-0000-0000B0200000}"/>
    <cellStyle name="원통화" xfId="8496" xr:uid="{00000000-0005-0000-0000-0000B1200000}"/>
    <cellStyle name="원화" xfId="8497" xr:uid="{00000000-0005-0000-0000-0000B2200000}"/>
    <cellStyle name="유입" xfId="8498" xr:uid="{00000000-0005-0000-0000-0000B3200000}"/>
    <cellStyle name="유입 2" xfId="8499" xr:uid="{00000000-0005-0000-0000-0000B4200000}"/>
    <cellStyle name="유입 3" xfId="8500" xr:uid="{00000000-0005-0000-0000-0000B5200000}"/>
    <cellStyle name="유형" xfId="8501" xr:uid="{00000000-0005-0000-0000-0000B6200000}"/>
    <cellStyle name="一般_aprbal" xfId="8502" xr:uid="{00000000-0005-0000-0000-0000B7200000}"/>
    <cellStyle name="일반숫자" xfId="8503" xr:uid="{00000000-0005-0000-0000-0000B8200000}"/>
    <cellStyle name="일반콤마 [△]" xfId="8504" xr:uid="{00000000-0005-0000-0000-0000B9200000}"/>
    <cellStyle name="입력 10" xfId="8505" xr:uid="{00000000-0005-0000-0000-0000BA200000}"/>
    <cellStyle name="입력 11" xfId="8506" xr:uid="{00000000-0005-0000-0000-0000BB200000}"/>
    <cellStyle name="입력 12" xfId="8507" xr:uid="{00000000-0005-0000-0000-0000BC200000}"/>
    <cellStyle name="입력 13" xfId="8508" xr:uid="{00000000-0005-0000-0000-0000BD200000}"/>
    <cellStyle name="입력 14" xfId="8509" xr:uid="{00000000-0005-0000-0000-0000BE200000}"/>
    <cellStyle name="입력 14 2" xfId="8510" xr:uid="{00000000-0005-0000-0000-0000BF200000}"/>
    <cellStyle name="입력 14 3" xfId="8511" xr:uid="{00000000-0005-0000-0000-0000C0200000}"/>
    <cellStyle name="입력 15" xfId="8512" xr:uid="{00000000-0005-0000-0000-0000C1200000}"/>
    <cellStyle name="입력 15 2" xfId="8513" xr:uid="{00000000-0005-0000-0000-0000C2200000}"/>
    <cellStyle name="입력 15 3" xfId="8514" xr:uid="{00000000-0005-0000-0000-0000C3200000}"/>
    <cellStyle name="입력 16" xfId="8515" xr:uid="{00000000-0005-0000-0000-0000C4200000}"/>
    <cellStyle name="입력 16 2" xfId="8516" xr:uid="{00000000-0005-0000-0000-0000C5200000}"/>
    <cellStyle name="입력 16 3" xfId="8517" xr:uid="{00000000-0005-0000-0000-0000C6200000}"/>
    <cellStyle name="입력 17" xfId="8518" xr:uid="{00000000-0005-0000-0000-0000C7200000}"/>
    <cellStyle name="입력 17 2" xfId="8519" xr:uid="{00000000-0005-0000-0000-0000C8200000}"/>
    <cellStyle name="입력 17 3" xfId="8520" xr:uid="{00000000-0005-0000-0000-0000C9200000}"/>
    <cellStyle name="입력 18" xfId="8521" xr:uid="{00000000-0005-0000-0000-0000CA200000}"/>
    <cellStyle name="입력 18 2" xfId="8522" xr:uid="{00000000-0005-0000-0000-0000CB200000}"/>
    <cellStyle name="입력 18 3" xfId="8523" xr:uid="{00000000-0005-0000-0000-0000CC200000}"/>
    <cellStyle name="입력 19" xfId="8524" xr:uid="{00000000-0005-0000-0000-0000CD200000}"/>
    <cellStyle name="입력 19 2" xfId="8525" xr:uid="{00000000-0005-0000-0000-0000CE200000}"/>
    <cellStyle name="입력 19 3" xfId="8526" xr:uid="{00000000-0005-0000-0000-0000CF200000}"/>
    <cellStyle name="입력 2" xfId="8527" xr:uid="{00000000-0005-0000-0000-0000D0200000}"/>
    <cellStyle name="입력 2 10" xfId="8528" xr:uid="{00000000-0005-0000-0000-0000D1200000}"/>
    <cellStyle name="입력 2 11" xfId="8529" xr:uid="{00000000-0005-0000-0000-0000D2200000}"/>
    <cellStyle name="입력 2 12" xfId="8530" xr:uid="{00000000-0005-0000-0000-0000D3200000}"/>
    <cellStyle name="입력 2 13" xfId="8531" xr:uid="{00000000-0005-0000-0000-0000D4200000}"/>
    <cellStyle name="입력 2 14" xfId="8532" xr:uid="{00000000-0005-0000-0000-0000D5200000}"/>
    <cellStyle name="입력 2 15" xfId="8533" xr:uid="{00000000-0005-0000-0000-0000D6200000}"/>
    <cellStyle name="입력 2 16" xfId="8534" xr:uid="{00000000-0005-0000-0000-0000D7200000}"/>
    <cellStyle name="입력 2 17" xfId="8535" xr:uid="{00000000-0005-0000-0000-0000D8200000}"/>
    <cellStyle name="입력 2 18" xfId="8536" xr:uid="{00000000-0005-0000-0000-0000D9200000}"/>
    <cellStyle name="입력 2 19" xfId="8537" xr:uid="{00000000-0005-0000-0000-0000DA200000}"/>
    <cellStyle name="입력 2 2" xfId="8538" xr:uid="{00000000-0005-0000-0000-0000DB200000}"/>
    <cellStyle name="입력 2 20" xfId="8539" xr:uid="{00000000-0005-0000-0000-0000DC200000}"/>
    <cellStyle name="입력 2 21" xfId="8540" xr:uid="{00000000-0005-0000-0000-0000DD200000}"/>
    <cellStyle name="입력 2 22" xfId="8541" xr:uid="{00000000-0005-0000-0000-0000DE200000}"/>
    <cellStyle name="입력 2 23" xfId="8542" xr:uid="{00000000-0005-0000-0000-0000DF200000}"/>
    <cellStyle name="입력 2 24" xfId="8543" xr:uid="{00000000-0005-0000-0000-0000E0200000}"/>
    <cellStyle name="입력 2 25" xfId="8544" xr:uid="{00000000-0005-0000-0000-0000E1200000}"/>
    <cellStyle name="입력 2 26" xfId="8545" xr:uid="{00000000-0005-0000-0000-0000E2200000}"/>
    <cellStyle name="입력 2 27" xfId="8546" xr:uid="{00000000-0005-0000-0000-0000E3200000}"/>
    <cellStyle name="입력 2 28" xfId="8547" xr:uid="{00000000-0005-0000-0000-0000E4200000}"/>
    <cellStyle name="입력 2 29" xfId="8548" xr:uid="{00000000-0005-0000-0000-0000E5200000}"/>
    <cellStyle name="입력 2 3" xfId="8549" xr:uid="{00000000-0005-0000-0000-0000E6200000}"/>
    <cellStyle name="입력 2 30" xfId="8550" xr:uid="{00000000-0005-0000-0000-0000E7200000}"/>
    <cellStyle name="입력 2 31" xfId="8551" xr:uid="{00000000-0005-0000-0000-0000E8200000}"/>
    <cellStyle name="입력 2 32" xfId="8552" xr:uid="{00000000-0005-0000-0000-0000E9200000}"/>
    <cellStyle name="입력 2 33" xfId="8553" xr:uid="{00000000-0005-0000-0000-0000EA200000}"/>
    <cellStyle name="입력 2 34" xfId="8554" xr:uid="{00000000-0005-0000-0000-0000EB200000}"/>
    <cellStyle name="입력 2 35" xfId="8555" xr:uid="{00000000-0005-0000-0000-0000EC200000}"/>
    <cellStyle name="입력 2 36" xfId="8556" xr:uid="{00000000-0005-0000-0000-0000ED200000}"/>
    <cellStyle name="입력 2 37" xfId="8557" xr:uid="{00000000-0005-0000-0000-0000EE200000}"/>
    <cellStyle name="입력 2 38" xfId="8558" xr:uid="{00000000-0005-0000-0000-0000EF200000}"/>
    <cellStyle name="입력 2 39" xfId="8559" xr:uid="{00000000-0005-0000-0000-0000F0200000}"/>
    <cellStyle name="입력 2 4" xfId="8560" xr:uid="{00000000-0005-0000-0000-0000F1200000}"/>
    <cellStyle name="입력 2 5" xfId="8561" xr:uid="{00000000-0005-0000-0000-0000F2200000}"/>
    <cellStyle name="입력 2 6" xfId="8562" xr:uid="{00000000-0005-0000-0000-0000F3200000}"/>
    <cellStyle name="입력 2 7" xfId="8563" xr:uid="{00000000-0005-0000-0000-0000F4200000}"/>
    <cellStyle name="입력 2 8" xfId="8564" xr:uid="{00000000-0005-0000-0000-0000F5200000}"/>
    <cellStyle name="입력 2 9" xfId="8565" xr:uid="{00000000-0005-0000-0000-0000F6200000}"/>
    <cellStyle name="입력 20" xfId="8566" xr:uid="{00000000-0005-0000-0000-0000F7200000}"/>
    <cellStyle name="입력 21" xfId="8567" xr:uid="{00000000-0005-0000-0000-0000F8200000}"/>
    <cellStyle name="입력 22" xfId="8568" xr:uid="{00000000-0005-0000-0000-0000F9200000}"/>
    <cellStyle name="입력 23" xfId="8569" xr:uid="{00000000-0005-0000-0000-0000FA200000}"/>
    <cellStyle name="입력 24" xfId="8570" xr:uid="{00000000-0005-0000-0000-0000FB200000}"/>
    <cellStyle name="입력 25" xfId="8571" xr:uid="{00000000-0005-0000-0000-0000FC200000}"/>
    <cellStyle name="입력 26" xfId="8572" xr:uid="{00000000-0005-0000-0000-0000FD200000}"/>
    <cellStyle name="입력 27" xfId="8573" xr:uid="{00000000-0005-0000-0000-0000FE200000}"/>
    <cellStyle name="입력 27 2" xfId="8574" xr:uid="{00000000-0005-0000-0000-0000FF200000}"/>
    <cellStyle name="입력 28" xfId="8575" xr:uid="{00000000-0005-0000-0000-000000210000}"/>
    <cellStyle name="입력 29" xfId="8576" xr:uid="{00000000-0005-0000-0000-000001210000}"/>
    <cellStyle name="입력 3" xfId="8577" xr:uid="{00000000-0005-0000-0000-000002210000}"/>
    <cellStyle name="입력 3 2" xfId="8578" xr:uid="{00000000-0005-0000-0000-000003210000}"/>
    <cellStyle name="입력 3 3" xfId="8579" xr:uid="{00000000-0005-0000-0000-000004210000}"/>
    <cellStyle name="입력 3 4" xfId="8580" xr:uid="{00000000-0005-0000-0000-000005210000}"/>
    <cellStyle name="입력 30" xfId="8581" xr:uid="{00000000-0005-0000-0000-000006210000}"/>
    <cellStyle name="입력 31" xfId="8582" xr:uid="{00000000-0005-0000-0000-000007210000}"/>
    <cellStyle name="입력 32" xfId="8583" xr:uid="{00000000-0005-0000-0000-000008210000}"/>
    <cellStyle name="입력 33" xfId="8584" xr:uid="{00000000-0005-0000-0000-000009210000}"/>
    <cellStyle name="입력 34" xfId="8585" xr:uid="{00000000-0005-0000-0000-00000A210000}"/>
    <cellStyle name="입력 35" xfId="8586" xr:uid="{00000000-0005-0000-0000-00000B210000}"/>
    <cellStyle name="입력 36" xfId="8587" xr:uid="{00000000-0005-0000-0000-00000C210000}"/>
    <cellStyle name="입력 37" xfId="8588" xr:uid="{00000000-0005-0000-0000-00000D210000}"/>
    <cellStyle name="입력 37 2" xfId="8589" xr:uid="{00000000-0005-0000-0000-00000E210000}"/>
    <cellStyle name="입력 38" xfId="8590" xr:uid="{00000000-0005-0000-0000-00000F210000}"/>
    <cellStyle name="입력 39" xfId="8591" xr:uid="{00000000-0005-0000-0000-000010210000}"/>
    <cellStyle name="입력 4" xfId="8592" xr:uid="{00000000-0005-0000-0000-000011210000}"/>
    <cellStyle name="입력 4 2" xfId="8593" xr:uid="{00000000-0005-0000-0000-000012210000}"/>
    <cellStyle name="입력 4 3" xfId="8594" xr:uid="{00000000-0005-0000-0000-000013210000}"/>
    <cellStyle name="입력 4 4" xfId="8595" xr:uid="{00000000-0005-0000-0000-000014210000}"/>
    <cellStyle name="입력 40" xfId="8596" xr:uid="{00000000-0005-0000-0000-000015210000}"/>
    <cellStyle name="입력 41" xfId="8597" xr:uid="{00000000-0005-0000-0000-000016210000}"/>
    <cellStyle name="입력 42" xfId="8598" xr:uid="{00000000-0005-0000-0000-000017210000}"/>
    <cellStyle name="입력 43" xfId="8599" xr:uid="{00000000-0005-0000-0000-000018210000}"/>
    <cellStyle name="입력 44" xfId="8600" xr:uid="{00000000-0005-0000-0000-000019210000}"/>
    <cellStyle name="입력 45" xfId="8601" xr:uid="{00000000-0005-0000-0000-00001A210000}"/>
    <cellStyle name="입력 45 2" xfId="8602" xr:uid="{00000000-0005-0000-0000-00001B210000}"/>
    <cellStyle name="입력 45 3" xfId="8603" xr:uid="{00000000-0005-0000-0000-00001C210000}"/>
    <cellStyle name="입력 46" xfId="8604" xr:uid="{00000000-0005-0000-0000-00001D210000}"/>
    <cellStyle name="입력 47" xfId="8605" xr:uid="{00000000-0005-0000-0000-00001E210000}"/>
    <cellStyle name="입력 48" xfId="8606" xr:uid="{00000000-0005-0000-0000-00001F210000}"/>
    <cellStyle name="입력 49" xfId="8607" xr:uid="{00000000-0005-0000-0000-000020210000}"/>
    <cellStyle name="입력 5" xfId="8608" xr:uid="{00000000-0005-0000-0000-000021210000}"/>
    <cellStyle name="입력 5 2" xfId="8609" xr:uid="{00000000-0005-0000-0000-000022210000}"/>
    <cellStyle name="입력 5 3" xfId="8610" xr:uid="{00000000-0005-0000-0000-000023210000}"/>
    <cellStyle name="입력 5 4" xfId="8611" xr:uid="{00000000-0005-0000-0000-000024210000}"/>
    <cellStyle name="입력 50" xfId="8612" xr:uid="{00000000-0005-0000-0000-000025210000}"/>
    <cellStyle name="입력 51" xfId="8613" xr:uid="{00000000-0005-0000-0000-000026210000}"/>
    <cellStyle name="입력 52" xfId="8614" xr:uid="{00000000-0005-0000-0000-000027210000}"/>
    <cellStyle name="입력 53" xfId="8615" xr:uid="{00000000-0005-0000-0000-000028210000}"/>
    <cellStyle name="입력 54" xfId="8616" xr:uid="{00000000-0005-0000-0000-000029210000}"/>
    <cellStyle name="입력 55" xfId="8617" xr:uid="{00000000-0005-0000-0000-00002A210000}"/>
    <cellStyle name="입력 6" xfId="8618" xr:uid="{00000000-0005-0000-0000-00002B210000}"/>
    <cellStyle name="입력 6 2" xfId="8619" xr:uid="{00000000-0005-0000-0000-00002C210000}"/>
    <cellStyle name="입력 6 3" xfId="8620" xr:uid="{00000000-0005-0000-0000-00002D210000}"/>
    <cellStyle name="입력 6 4" xfId="8621" xr:uid="{00000000-0005-0000-0000-00002E210000}"/>
    <cellStyle name="입력 7" xfId="8622" xr:uid="{00000000-0005-0000-0000-00002F210000}"/>
    <cellStyle name="입력 7 2" xfId="8623" xr:uid="{00000000-0005-0000-0000-000030210000}"/>
    <cellStyle name="입력 7 3" xfId="8624" xr:uid="{00000000-0005-0000-0000-000031210000}"/>
    <cellStyle name="입력 7 4" xfId="8625" xr:uid="{00000000-0005-0000-0000-000032210000}"/>
    <cellStyle name="입력 8" xfId="8626" xr:uid="{00000000-0005-0000-0000-000033210000}"/>
    <cellStyle name="입력 9" xfId="8627" xr:uid="{00000000-0005-0000-0000-000034210000}"/>
    <cellStyle name="자리수" xfId="8628" xr:uid="{00000000-0005-0000-0000-000035210000}"/>
    <cellStyle name="자리수 2" xfId="8629" xr:uid="{00000000-0005-0000-0000-000036210000}"/>
    <cellStyle name="자리수0" xfId="8630" xr:uid="{00000000-0005-0000-0000-000037210000}"/>
    <cellStyle name="자리수0 2" xfId="8631" xr:uid="{00000000-0005-0000-0000-000038210000}"/>
    <cellStyle name="작업일수" xfId="8632" xr:uid="{00000000-0005-0000-0000-000039210000}"/>
    <cellStyle name="정" xfId="8633" xr:uid="{00000000-0005-0000-0000-00003A210000}"/>
    <cellStyle name="제놀" xfId="8634" xr:uid="{00000000-0005-0000-0000-00003B210000}"/>
    <cellStyle name="제목 1 10" xfId="8635" xr:uid="{00000000-0005-0000-0000-00003C210000}"/>
    <cellStyle name="제목 1 11" xfId="8636" xr:uid="{00000000-0005-0000-0000-00003D210000}"/>
    <cellStyle name="제목 1 12" xfId="8637" xr:uid="{00000000-0005-0000-0000-00003E210000}"/>
    <cellStyle name="제목 1 13" xfId="8638" xr:uid="{00000000-0005-0000-0000-00003F210000}"/>
    <cellStyle name="제목 1 14" xfId="8639" xr:uid="{00000000-0005-0000-0000-000040210000}"/>
    <cellStyle name="제목 1 14 2" xfId="8640" xr:uid="{00000000-0005-0000-0000-000041210000}"/>
    <cellStyle name="제목 1 14 3" xfId="8641" xr:uid="{00000000-0005-0000-0000-000042210000}"/>
    <cellStyle name="제목 1 15" xfId="8642" xr:uid="{00000000-0005-0000-0000-000043210000}"/>
    <cellStyle name="제목 1 15 2" xfId="8643" xr:uid="{00000000-0005-0000-0000-000044210000}"/>
    <cellStyle name="제목 1 15 3" xfId="8644" xr:uid="{00000000-0005-0000-0000-000045210000}"/>
    <cellStyle name="제목 1 16" xfId="8645" xr:uid="{00000000-0005-0000-0000-000046210000}"/>
    <cellStyle name="제목 1 16 2" xfId="8646" xr:uid="{00000000-0005-0000-0000-000047210000}"/>
    <cellStyle name="제목 1 16 3" xfId="8647" xr:uid="{00000000-0005-0000-0000-000048210000}"/>
    <cellStyle name="제목 1 17" xfId="8648" xr:uid="{00000000-0005-0000-0000-000049210000}"/>
    <cellStyle name="제목 1 17 2" xfId="8649" xr:uid="{00000000-0005-0000-0000-00004A210000}"/>
    <cellStyle name="제목 1 17 3" xfId="8650" xr:uid="{00000000-0005-0000-0000-00004B210000}"/>
    <cellStyle name="제목 1 18" xfId="8651" xr:uid="{00000000-0005-0000-0000-00004C210000}"/>
    <cellStyle name="제목 1 18 2" xfId="8652" xr:uid="{00000000-0005-0000-0000-00004D210000}"/>
    <cellStyle name="제목 1 18 3" xfId="8653" xr:uid="{00000000-0005-0000-0000-00004E210000}"/>
    <cellStyle name="제목 1 19" xfId="8654" xr:uid="{00000000-0005-0000-0000-00004F210000}"/>
    <cellStyle name="제목 1 19 2" xfId="8655" xr:uid="{00000000-0005-0000-0000-000050210000}"/>
    <cellStyle name="제목 1 19 3" xfId="8656" xr:uid="{00000000-0005-0000-0000-000051210000}"/>
    <cellStyle name="제목 1 2" xfId="8657" xr:uid="{00000000-0005-0000-0000-000052210000}"/>
    <cellStyle name="제목 1 2 10" xfId="8658" xr:uid="{00000000-0005-0000-0000-000053210000}"/>
    <cellStyle name="제목 1 2 11" xfId="8659" xr:uid="{00000000-0005-0000-0000-000054210000}"/>
    <cellStyle name="제목 1 2 12" xfId="8660" xr:uid="{00000000-0005-0000-0000-000055210000}"/>
    <cellStyle name="제목 1 2 13" xfId="8661" xr:uid="{00000000-0005-0000-0000-000056210000}"/>
    <cellStyle name="제목 1 2 14" xfId="8662" xr:uid="{00000000-0005-0000-0000-000057210000}"/>
    <cellStyle name="제목 1 2 15" xfId="8663" xr:uid="{00000000-0005-0000-0000-000058210000}"/>
    <cellStyle name="제목 1 2 16" xfId="8664" xr:uid="{00000000-0005-0000-0000-000059210000}"/>
    <cellStyle name="제목 1 2 17" xfId="8665" xr:uid="{00000000-0005-0000-0000-00005A210000}"/>
    <cellStyle name="제목 1 2 18" xfId="8666" xr:uid="{00000000-0005-0000-0000-00005B210000}"/>
    <cellStyle name="제목 1 2 19" xfId="8667" xr:uid="{00000000-0005-0000-0000-00005C210000}"/>
    <cellStyle name="제목 1 2 2" xfId="8668" xr:uid="{00000000-0005-0000-0000-00005D210000}"/>
    <cellStyle name="제목 1 2 20" xfId="8669" xr:uid="{00000000-0005-0000-0000-00005E210000}"/>
    <cellStyle name="제목 1 2 21" xfId="8670" xr:uid="{00000000-0005-0000-0000-00005F210000}"/>
    <cellStyle name="제목 1 2 22" xfId="8671" xr:uid="{00000000-0005-0000-0000-000060210000}"/>
    <cellStyle name="제목 1 2 23" xfId="8672" xr:uid="{00000000-0005-0000-0000-000061210000}"/>
    <cellStyle name="제목 1 2 24" xfId="8673" xr:uid="{00000000-0005-0000-0000-000062210000}"/>
    <cellStyle name="제목 1 2 25" xfId="8674" xr:uid="{00000000-0005-0000-0000-000063210000}"/>
    <cellStyle name="제목 1 2 26" xfId="8675" xr:uid="{00000000-0005-0000-0000-000064210000}"/>
    <cellStyle name="제목 1 2 27" xfId="8676" xr:uid="{00000000-0005-0000-0000-000065210000}"/>
    <cellStyle name="제목 1 2 28" xfId="8677" xr:uid="{00000000-0005-0000-0000-000066210000}"/>
    <cellStyle name="제목 1 2 29" xfId="8678" xr:uid="{00000000-0005-0000-0000-000067210000}"/>
    <cellStyle name="제목 1 2 3" xfId="8679" xr:uid="{00000000-0005-0000-0000-000068210000}"/>
    <cellStyle name="제목 1 2 30" xfId="8680" xr:uid="{00000000-0005-0000-0000-000069210000}"/>
    <cellStyle name="제목 1 2 31" xfId="8681" xr:uid="{00000000-0005-0000-0000-00006A210000}"/>
    <cellStyle name="제목 1 2 32" xfId="8682" xr:uid="{00000000-0005-0000-0000-00006B210000}"/>
    <cellStyle name="제목 1 2 33" xfId="8683" xr:uid="{00000000-0005-0000-0000-00006C210000}"/>
    <cellStyle name="제목 1 2 34" xfId="8684" xr:uid="{00000000-0005-0000-0000-00006D210000}"/>
    <cellStyle name="제목 1 2 35" xfId="8685" xr:uid="{00000000-0005-0000-0000-00006E210000}"/>
    <cellStyle name="제목 1 2 36" xfId="8686" xr:uid="{00000000-0005-0000-0000-00006F210000}"/>
    <cellStyle name="제목 1 2 37" xfId="8687" xr:uid="{00000000-0005-0000-0000-000070210000}"/>
    <cellStyle name="제목 1 2 38" xfId="8688" xr:uid="{00000000-0005-0000-0000-000071210000}"/>
    <cellStyle name="제목 1 2 39" xfId="8689" xr:uid="{00000000-0005-0000-0000-000072210000}"/>
    <cellStyle name="제목 1 2 4" xfId="8690" xr:uid="{00000000-0005-0000-0000-000073210000}"/>
    <cellStyle name="제목 1 2 5" xfId="8691" xr:uid="{00000000-0005-0000-0000-000074210000}"/>
    <cellStyle name="제목 1 2 6" xfId="8692" xr:uid="{00000000-0005-0000-0000-000075210000}"/>
    <cellStyle name="제목 1 2 7" xfId="8693" xr:uid="{00000000-0005-0000-0000-000076210000}"/>
    <cellStyle name="제목 1 2 8" xfId="8694" xr:uid="{00000000-0005-0000-0000-000077210000}"/>
    <cellStyle name="제목 1 2 9" xfId="8695" xr:uid="{00000000-0005-0000-0000-000078210000}"/>
    <cellStyle name="제목 1 20" xfId="8696" xr:uid="{00000000-0005-0000-0000-000079210000}"/>
    <cellStyle name="제목 1 21" xfId="8697" xr:uid="{00000000-0005-0000-0000-00007A210000}"/>
    <cellStyle name="제목 1 22" xfId="8698" xr:uid="{00000000-0005-0000-0000-00007B210000}"/>
    <cellStyle name="제목 1 23" xfId="8699" xr:uid="{00000000-0005-0000-0000-00007C210000}"/>
    <cellStyle name="제목 1 24" xfId="8700" xr:uid="{00000000-0005-0000-0000-00007D210000}"/>
    <cellStyle name="제목 1 25" xfId="8701" xr:uid="{00000000-0005-0000-0000-00007E210000}"/>
    <cellStyle name="제목 1 26" xfId="8702" xr:uid="{00000000-0005-0000-0000-00007F210000}"/>
    <cellStyle name="제목 1 27" xfId="8703" xr:uid="{00000000-0005-0000-0000-000080210000}"/>
    <cellStyle name="제목 1 27 2" xfId="8704" xr:uid="{00000000-0005-0000-0000-000081210000}"/>
    <cellStyle name="제목 1 28" xfId="8705" xr:uid="{00000000-0005-0000-0000-000082210000}"/>
    <cellStyle name="제목 1 29" xfId="8706" xr:uid="{00000000-0005-0000-0000-000083210000}"/>
    <cellStyle name="제목 1 3" xfId="8707" xr:uid="{00000000-0005-0000-0000-000084210000}"/>
    <cellStyle name="제목 1 3 2" xfId="8708" xr:uid="{00000000-0005-0000-0000-000085210000}"/>
    <cellStyle name="제목 1 3 3" xfId="8709" xr:uid="{00000000-0005-0000-0000-000086210000}"/>
    <cellStyle name="제목 1 3 4" xfId="8710" xr:uid="{00000000-0005-0000-0000-000087210000}"/>
    <cellStyle name="제목 1 30" xfId="8711" xr:uid="{00000000-0005-0000-0000-000088210000}"/>
    <cellStyle name="제목 1 31" xfId="8712" xr:uid="{00000000-0005-0000-0000-000089210000}"/>
    <cellStyle name="제목 1 32" xfId="8713" xr:uid="{00000000-0005-0000-0000-00008A210000}"/>
    <cellStyle name="제목 1 33" xfId="8714" xr:uid="{00000000-0005-0000-0000-00008B210000}"/>
    <cellStyle name="제목 1 34" xfId="8715" xr:uid="{00000000-0005-0000-0000-00008C210000}"/>
    <cellStyle name="제목 1 35" xfId="8716" xr:uid="{00000000-0005-0000-0000-00008D210000}"/>
    <cellStyle name="제목 1 36" xfId="8717" xr:uid="{00000000-0005-0000-0000-00008E210000}"/>
    <cellStyle name="제목 1 37" xfId="8718" xr:uid="{00000000-0005-0000-0000-00008F210000}"/>
    <cellStyle name="제목 1 37 2" xfId="8719" xr:uid="{00000000-0005-0000-0000-000090210000}"/>
    <cellStyle name="제목 1 38" xfId="8720" xr:uid="{00000000-0005-0000-0000-000091210000}"/>
    <cellStyle name="제목 1 39" xfId="8721" xr:uid="{00000000-0005-0000-0000-000092210000}"/>
    <cellStyle name="제목 1 4" xfId="8722" xr:uid="{00000000-0005-0000-0000-000093210000}"/>
    <cellStyle name="제목 1 4 2" xfId="8723" xr:uid="{00000000-0005-0000-0000-000094210000}"/>
    <cellStyle name="제목 1 4 3" xfId="8724" xr:uid="{00000000-0005-0000-0000-000095210000}"/>
    <cellStyle name="제목 1 4 4" xfId="8725" xr:uid="{00000000-0005-0000-0000-000096210000}"/>
    <cellStyle name="제목 1 40" xfId="8726" xr:uid="{00000000-0005-0000-0000-000097210000}"/>
    <cellStyle name="제목 1 41" xfId="8727" xr:uid="{00000000-0005-0000-0000-000098210000}"/>
    <cellStyle name="제목 1 42" xfId="8728" xr:uid="{00000000-0005-0000-0000-000099210000}"/>
    <cellStyle name="제목 1 43" xfId="8729" xr:uid="{00000000-0005-0000-0000-00009A210000}"/>
    <cellStyle name="제목 1 44" xfId="8730" xr:uid="{00000000-0005-0000-0000-00009B210000}"/>
    <cellStyle name="제목 1 45" xfId="8731" xr:uid="{00000000-0005-0000-0000-00009C210000}"/>
    <cellStyle name="제목 1 45 2" xfId="8732" xr:uid="{00000000-0005-0000-0000-00009D210000}"/>
    <cellStyle name="제목 1 45 3" xfId="8733" xr:uid="{00000000-0005-0000-0000-00009E210000}"/>
    <cellStyle name="제목 1 46" xfId="8734" xr:uid="{00000000-0005-0000-0000-00009F210000}"/>
    <cellStyle name="제목 1 47" xfId="8735" xr:uid="{00000000-0005-0000-0000-0000A0210000}"/>
    <cellStyle name="제목 1 48" xfId="8736" xr:uid="{00000000-0005-0000-0000-0000A1210000}"/>
    <cellStyle name="제목 1 49" xfId="8737" xr:uid="{00000000-0005-0000-0000-0000A2210000}"/>
    <cellStyle name="제목 1 5" xfId="8738" xr:uid="{00000000-0005-0000-0000-0000A3210000}"/>
    <cellStyle name="제목 1 5 2" xfId="8739" xr:uid="{00000000-0005-0000-0000-0000A4210000}"/>
    <cellStyle name="제목 1 5 3" xfId="8740" xr:uid="{00000000-0005-0000-0000-0000A5210000}"/>
    <cellStyle name="제목 1 5 4" xfId="8741" xr:uid="{00000000-0005-0000-0000-0000A6210000}"/>
    <cellStyle name="제목 1 50" xfId="8742" xr:uid="{00000000-0005-0000-0000-0000A7210000}"/>
    <cellStyle name="제목 1 51" xfId="8743" xr:uid="{00000000-0005-0000-0000-0000A8210000}"/>
    <cellStyle name="제목 1 52" xfId="8744" xr:uid="{00000000-0005-0000-0000-0000A9210000}"/>
    <cellStyle name="제목 1 53" xfId="8745" xr:uid="{00000000-0005-0000-0000-0000AA210000}"/>
    <cellStyle name="제목 1 54" xfId="8746" xr:uid="{00000000-0005-0000-0000-0000AB210000}"/>
    <cellStyle name="제목 1 55" xfId="8747" xr:uid="{00000000-0005-0000-0000-0000AC210000}"/>
    <cellStyle name="제목 1 6" xfId="8748" xr:uid="{00000000-0005-0000-0000-0000AD210000}"/>
    <cellStyle name="제목 1 6 2" xfId="8749" xr:uid="{00000000-0005-0000-0000-0000AE210000}"/>
    <cellStyle name="제목 1 6 3" xfId="8750" xr:uid="{00000000-0005-0000-0000-0000AF210000}"/>
    <cellStyle name="제목 1 6 4" xfId="8751" xr:uid="{00000000-0005-0000-0000-0000B0210000}"/>
    <cellStyle name="제목 1 7" xfId="8752" xr:uid="{00000000-0005-0000-0000-0000B1210000}"/>
    <cellStyle name="제목 1 7 2" xfId="8753" xr:uid="{00000000-0005-0000-0000-0000B2210000}"/>
    <cellStyle name="제목 1 7 3" xfId="8754" xr:uid="{00000000-0005-0000-0000-0000B3210000}"/>
    <cellStyle name="제목 1 7 4" xfId="8755" xr:uid="{00000000-0005-0000-0000-0000B4210000}"/>
    <cellStyle name="제목 1 8" xfId="8756" xr:uid="{00000000-0005-0000-0000-0000B5210000}"/>
    <cellStyle name="제목 1 9" xfId="8757" xr:uid="{00000000-0005-0000-0000-0000B6210000}"/>
    <cellStyle name="제목 10" xfId="8758" xr:uid="{00000000-0005-0000-0000-0000B7210000}"/>
    <cellStyle name="제목 10 2" xfId="8759" xr:uid="{00000000-0005-0000-0000-0000B8210000}"/>
    <cellStyle name="제목 10 3" xfId="8760" xr:uid="{00000000-0005-0000-0000-0000B9210000}"/>
    <cellStyle name="제목 10 4" xfId="8761" xr:uid="{00000000-0005-0000-0000-0000BA210000}"/>
    <cellStyle name="제목 11" xfId="8762" xr:uid="{00000000-0005-0000-0000-0000BB210000}"/>
    <cellStyle name="제목 12" xfId="8763" xr:uid="{00000000-0005-0000-0000-0000BC210000}"/>
    <cellStyle name="제목 13" xfId="8764" xr:uid="{00000000-0005-0000-0000-0000BD210000}"/>
    <cellStyle name="제목 14" xfId="8765" xr:uid="{00000000-0005-0000-0000-0000BE210000}"/>
    <cellStyle name="제목 15" xfId="8766" xr:uid="{00000000-0005-0000-0000-0000BF210000}"/>
    <cellStyle name="제목 16" xfId="8767" xr:uid="{00000000-0005-0000-0000-0000C0210000}"/>
    <cellStyle name="제목 17" xfId="8768" xr:uid="{00000000-0005-0000-0000-0000C1210000}"/>
    <cellStyle name="제목 17 2" xfId="8769" xr:uid="{00000000-0005-0000-0000-0000C2210000}"/>
    <cellStyle name="제목 17 3" xfId="8770" xr:uid="{00000000-0005-0000-0000-0000C3210000}"/>
    <cellStyle name="제목 18" xfId="8771" xr:uid="{00000000-0005-0000-0000-0000C4210000}"/>
    <cellStyle name="제목 18 2" xfId="8772" xr:uid="{00000000-0005-0000-0000-0000C5210000}"/>
    <cellStyle name="제목 18 3" xfId="8773" xr:uid="{00000000-0005-0000-0000-0000C6210000}"/>
    <cellStyle name="제목 19" xfId="8774" xr:uid="{00000000-0005-0000-0000-0000C7210000}"/>
    <cellStyle name="제목 19 2" xfId="8775" xr:uid="{00000000-0005-0000-0000-0000C8210000}"/>
    <cellStyle name="제목 19 3" xfId="8776" xr:uid="{00000000-0005-0000-0000-0000C9210000}"/>
    <cellStyle name="제목 2 10" xfId="8777" xr:uid="{00000000-0005-0000-0000-0000CA210000}"/>
    <cellStyle name="제목 2 11" xfId="8778" xr:uid="{00000000-0005-0000-0000-0000CB210000}"/>
    <cellStyle name="제목 2 12" xfId="8779" xr:uid="{00000000-0005-0000-0000-0000CC210000}"/>
    <cellStyle name="제목 2 13" xfId="8780" xr:uid="{00000000-0005-0000-0000-0000CD210000}"/>
    <cellStyle name="제목 2 14" xfId="8781" xr:uid="{00000000-0005-0000-0000-0000CE210000}"/>
    <cellStyle name="제목 2 14 2" xfId="8782" xr:uid="{00000000-0005-0000-0000-0000CF210000}"/>
    <cellStyle name="제목 2 14 3" xfId="8783" xr:uid="{00000000-0005-0000-0000-0000D0210000}"/>
    <cellStyle name="제목 2 15" xfId="8784" xr:uid="{00000000-0005-0000-0000-0000D1210000}"/>
    <cellStyle name="제목 2 15 2" xfId="8785" xr:uid="{00000000-0005-0000-0000-0000D2210000}"/>
    <cellStyle name="제목 2 15 3" xfId="8786" xr:uid="{00000000-0005-0000-0000-0000D3210000}"/>
    <cellStyle name="제목 2 16" xfId="8787" xr:uid="{00000000-0005-0000-0000-0000D4210000}"/>
    <cellStyle name="제목 2 16 2" xfId="8788" xr:uid="{00000000-0005-0000-0000-0000D5210000}"/>
    <cellStyle name="제목 2 16 3" xfId="8789" xr:uid="{00000000-0005-0000-0000-0000D6210000}"/>
    <cellStyle name="제목 2 17" xfId="8790" xr:uid="{00000000-0005-0000-0000-0000D7210000}"/>
    <cellStyle name="제목 2 17 2" xfId="8791" xr:uid="{00000000-0005-0000-0000-0000D8210000}"/>
    <cellStyle name="제목 2 17 3" xfId="8792" xr:uid="{00000000-0005-0000-0000-0000D9210000}"/>
    <cellStyle name="제목 2 18" xfId="8793" xr:uid="{00000000-0005-0000-0000-0000DA210000}"/>
    <cellStyle name="제목 2 18 2" xfId="8794" xr:uid="{00000000-0005-0000-0000-0000DB210000}"/>
    <cellStyle name="제목 2 18 3" xfId="8795" xr:uid="{00000000-0005-0000-0000-0000DC210000}"/>
    <cellStyle name="제목 2 19" xfId="8796" xr:uid="{00000000-0005-0000-0000-0000DD210000}"/>
    <cellStyle name="제목 2 19 2" xfId="8797" xr:uid="{00000000-0005-0000-0000-0000DE210000}"/>
    <cellStyle name="제목 2 19 3" xfId="8798" xr:uid="{00000000-0005-0000-0000-0000DF210000}"/>
    <cellStyle name="제목 2 2" xfId="8799" xr:uid="{00000000-0005-0000-0000-0000E0210000}"/>
    <cellStyle name="제목 2 2 10" xfId="8800" xr:uid="{00000000-0005-0000-0000-0000E1210000}"/>
    <cellStyle name="제목 2 2 11" xfId="8801" xr:uid="{00000000-0005-0000-0000-0000E2210000}"/>
    <cellStyle name="제목 2 2 12" xfId="8802" xr:uid="{00000000-0005-0000-0000-0000E3210000}"/>
    <cellStyle name="제목 2 2 13" xfId="8803" xr:uid="{00000000-0005-0000-0000-0000E4210000}"/>
    <cellStyle name="제목 2 2 14" xfId="8804" xr:uid="{00000000-0005-0000-0000-0000E5210000}"/>
    <cellStyle name="제목 2 2 15" xfId="8805" xr:uid="{00000000-0005-0000-0000-0000E6210000}"/>
    <cellStyle name="제목 2 2 16" xfId="8806" xr:uid="{00000000-0005-0000-0000-0000E7210000}"/>
    <cellStyle name="제목 2 2 17" xfId="8807" xr:uid="{00000000-0005-0000-0000-0000E8210000}"/>
    <cellStyle name="제목 2 2 18" xfId="8808" xr:uid="{00000000-0005-0000-0000-0000E9210000}"/>
    <cellStyle name="제목 2 2 19" xfId="8809" xr:uid="{00000000-0005-0000-0000-0000EA210000}"/>
    <cellStyle name="제목 2 2 2" xfId="8810" xr:uid="{00000000-0005-0000-0000-0000EB210000}"/>
    <cellStyle name="제목 2 2 20" xfId="8811" xr:uid="{00000000-0005-0000-0000-0000EC210000}"/>
    <cellStyle name="제목 2 2 21" xfId="8812" xr:uid="{00000000-0005-0000-0000-0000ED210000}"/>
    <cellStyle name="제목 2 2 22" xfId="8813" xr:uid="{00000000-0005-0000-0000-0000EE210000}"/>
    <cellStyle name="제목 2 2 23" xfId="8814" xr:uid="{00000000-0005-0000-0000-0000EF210000}"/>
    <cellStyle name="제목 2 2 24" xfId="8815" xr:uid="{00000000-0005-0000-0000-0000F0210000}"/>
    <cellStyle name="제목 2 2 25" xfId="8816" xr:uid="{00000000-0005-0000-0000-0000F1210000}"/>
    <cellStyle name="제목 2 2 26" xfId="8817" xr:uid="{00000000-0005-0000-0000-0000F2210000}"/>
    <cellStyle name="제목 2 2 27" xfId="8818" xr:uid="{00000000-0005-0000-0000-0000F3210000}"/>
    <cellStyle name="제목 2 2 28" xfId="8819" xr:uid="{00000000-0005-0000-0000-0000F4210000}"/>
    <cellStyle name="제목 2 2 29" xfId="8820" xr:uid="{00000000-0005-0000-0000-0000F5210000}"/>
    <cellStyle name="제목 2 2 3" xfId="8821" xr:uid="{00000000-0005-0000-0000-0000F6210000}"/>
    <cellStyle name="제목 2 2 30" xfId="8822" xr:uid="{00000000-0005-0000-0000-0000F7210000}"/>
    <cellStyle name="제목 2 2 31" xfId="8823" xr:uid="{00000000-0005-0000-0000-0000F8210000}"/>
    <cellStyle name="제목 2 2 32" xfId="8824" xr:uid="{00000000-0005-0000-0000-0000F9210000}"/>
    <cellStyle name="제목 2 2 33" xfId="8825" xr:uid="{00000000-0005-0000-0000-0000FA210000}"/>
    <cellStyle name="제목 2 2 34" xfId="8826" xr:uid="{00000000-0005-0000-0000-0000FB210000}"/>
    <cellStyle name="제목 2 2 35" xfId="8827" xr:uid="{00000000-0005-0000-0000-0000FC210000}"/>
    <cellStyle name="제목 2 2 36" xfId="8828" xr:uid="{00000000-0005-0000-0000-0000FD210000}"/>
    <cellStyle name="제목 2 2 37" xfId="8829" xr:uid="{00000000-0005-0000-0000-0000FE210000}"/>
    <cellStyle name="제목 2 2 38" xfId="8830" xr:uid="{00000000-0005-0000-0000-0000FF210000}"/>
    <cellStyle name="제목 2 2 39" xfId="8831" xr:uid="{00000000-0005-0000-0000-000000220000}"/>
    <cellStyle name="제목 2 2 4" xfId="8832" xr:uid="{00000000-0005-0000-0000-000001220000}"/>
    <cellStyle name="제목 2 2 5" xfId="8833" xr:uid="{00000000-0005-0000-0000-000002220000}"/>
    <cellStyle name="제목 2 2 6" xfId="8834" xr:uid="{00000000-0005-0000-0000-000003220000}"/>
    <cellStyle name="제목 2 2 7" xfId="8835" xr:uid="{00000000-0005-0000-0000-000004220000}"/>
    <cellStyle name="제목 2 2 8" xfId="8836" xr:uid="{00000000-0005-0000-0000-000005220000}"/>
    <cellStyle name="제목 2 2 9" xfId="8837" xr:uid="{00000000-0005-0000-0000-000006220000}"/>
    <cellStyle name="제목 2 20" xfId="8838" xr:uid="{00000000-0005-0000-0000-000007220000}"/>
    <cellStyle name="제목 2 21" xfId="8839" xr:uid="{00000000-0005-0000-0000-000008220000}"/>
    <cellStyle name="제목 2 22" xfId="8840" xr:uid="{00000000-0005-0000-0000-000009220000}"/>
    <cellStyle name="제목 2 23" xfId="8841" xr:uid="{00000000-0005-0000-0000-00000A220000}"/>
    <cellStyle name="제목 2 24" xfId="8842" xr:uid="{00000000-0005-0000-0000-00000B220000}"/>
    <cellStyle name="제목 2 25" xfId="8843" xr:uid="{00000000-0005-0000-0000-00000C220000}"/>
    <cellStyle name="제목 2 26" xfId="8844" xr:uid="{00000000-0005-0000-0000-00000D220000}"/>
    <cellStyle name="제목 2 27" xfId="8845" xr:uid="{00000000-0005-0000-0000-00000E220000}"/>
    <cellStyle name="제목 2 27 2" xfId="8846" xr:uid="{00000000-0005-0000-0000-00000F220000}"/>
    <cellStyle name="제목 2 28" xfId="8847" xr:uid="{00000000-0005-0000-0000-000010220000}"/>
    <cellStyle name="제목 2 29" xfId="8848" xr:uid="{00000000-0005-0000-0000-000011220000}"/>
    <cellStyle name="제목 2 3" xfId="8849" xr:uid="{00000000-0005-0000-0000-000012220000}"/>
    <cellStyle name="제목 2 3 2" xfId="8850" xr:uid="{00000000-0005-0000-0000-000013220000}"/>
    <cellStyle name="제목 2 3 3" xfId="8851" xr:uid="{00000000-0005-0000-0000-000014220000}"/>
    <cellStyle name="제목 2 3 4" xfId="8852" xr:uid="{00000000-0005-0000-0000-000015220000}"/>
    <cellStyle name="제목 2 30" xfId="8853" xr:uid="{00000000-0005-0000-0000-000016220000}"/>
    <cellStyle name="제목 2 31" xfId="8854" xr:uid="{00000000-0005-0000-0000-000017220000}"/>
    <cellStyle name="제목 2 32" xfId="8855" xr:uid="{00000000-0005-0000-0000-000018220000}"/>
    <cellStyle name="제목 2 33" xfId="8856" xr:uid="{00000000-0005-0000-0000-000019220000}"/>
    <cellStyle name="제목 2 34" xfId="8857" xr:uid="{00000000-0005-0000-0000-00001A220000}"/>
    <cellStyle name="제목 2 35" xfId="8858" xr:uid="{00000000-0005-0000-0000-00001B220000}"/>
    <cellStyle name="제목 2 36" xfId="8859" xr:uid="{00000000-0005-0000-0000-00001C220000}"/>
    <cellStyle name="제목 2 37" xfId="8860" xr:uid="{00000000-0005-0000-0000-00001D220000}"/>
    <cellStyle name="제목 2 37 2" xfId="8861" xr:uid="{00000000-0005-0000-0000-00001E220000}"/>
    <cellStyle name="제목 2 38" xfId="8862" xr:uid="{00000000-0005-0000-0000-00001F220000}"/>
    <cellStyle name="제목 2 39" xfId="8863" xr:uid="{00000000-0005-0000-0000-000020220000}"/>
    <cellStyle name="제목 2 4" xfId="8864" xr:uid="{00000000-0005-0000-0000-000021220000}"/>
    <cellStyle name="제목 2 4 2" xfId="8865" xr:uid="{00000000-0005-0000-0000-000022220000}"/>
    <cellStyle name="제목 2 4 3" xfId="8866" xr:uid="{00000000-0005-0000-0000-000023220000}"/>
    <cellStyle name="제목 2 4 4" xfId="8867" xr:uid="{00000000-0005-0000-0000-000024220000}"/>
    <cellStyle name="제목 2 40" xfId="8868" xr:uid="{00000000-0005-0000-0000-000025220000}"/>
    <cellStyle name="제목 2 41" xfId="8869" xr:uid="{00000000-0005-0000-0000-000026220000}"/>
    <cellStyle name="제목 2 42" xfId="8870" xr:uid="{00000000-0005-0000-0000-000027220000}"/>
    <cellStyle name="제목 2 43" xfId="8871" xr:uid="{00000000-0005-0000-0000-000028220000}"/>
    <cellStyle name="제목 2 44" xfId="8872" xr:uid="{00000000-0005-0000-0000-000029220000}"/>
    <cellStyle name="제목 2 45" xfId="8873" xr:uid="{00000000-0005-0000-0000-00002A220000}"/>
    <cellStyle name="제목 2 45 2" xfId="8874" xr:uid="{00000000-0005-0000-0000-00002B220000}"/>
    <cellStyle name="제목 2 45 3" xfId="8875" xr:uid="{00000000-0005-0000-0000-00002C220000}"/>
    <cellStyle name="제목 2 46" xfId="8876" xr:uid="{00000000-0005-0000-0000-00002D220000}"/>
    <cellStyle name="제목 2 47" xfId="8877" xr:uid="{00000000-0005-0000-0000-00002E220000}"/>
    <cellStyle name="제목 2 48" xfId="8878" xr:uid="{00000000-0005-0000-0000-00002F220000}"/>
    <cellStyle name="제목 2 49" xfId="8879" xr:uid="{00000000-0005-0000-0000-000030220000}"/>
    <cellStyle name="제목 2 5" xfId="8880" xr:uid="{00000000-0005-0000-0000-000031220000}"/>
    <cellStyle name="제목 2 5 2" xfId="8881" xr:uid="{00000000-0005-0000-0000-000032220000}"/>
    <cellStyle name="제목 2 5 3" xfId="8882" xr:uid="{00000000-0005-0000-0000-000033220000}"/>
    <cellStyle name="제목 2 5 4" xfId="8883" xr:uid="{00000000-0005-0000-0000-000034220000}"/>
    <cellStyle name="제목 2 50" xfId="8884" xr:uid="{00000000-0005-0000-0000-000035220000}"/>
    <cellStyle name="제목 2 51" xfId="8885" xr:uid="{00000000-0005-0000-0000-000036220000}"/>
    <cellStyle name="제목 2 52" xfId="8886" xr:uid="{00000000-0005-0000-0000-000037220000}"/>
    <cellStyle name="제목 2 53" xfId="8887" xr:uid="{00000000-0005-0000-0000-000038220000}"/>
    <cellStyle name="제목 2 54" xfId="8888" xr:uid="{00000000-0005-0000-0000-000039220000}"/>
    <cellStyle name="제목 2 55" xfId="8889" xr:uid="{00000000-0005-0000-0000-00003A220000}"/>
    <cellStyle name="제목 2 6" xfId="8890" xr:uid="{00000000-0005-0000-0000-00003B220000}"/>
    <cellStyle name="제목 2 6 2" xfId="8891" xr:uid="{00000000-0005-0000-0000-00003C220000}"/>
    <cellStyle name="제목 2 6 3" xfId="8892" xr:uid="{00000000-0005-0000-0000-00003D220000}"/>
    <cellStyle name="제목 2 6 4" xfId="8893" xr:uid="{00000000-0005-0000-0000-00003E220000}"/>
    <cellStyle name="제목 2 7" xfId="8894" xr:uid="{00000000-0005-0000-0000-00003F220000}"/>
    <cellStyle name="제목 2 7 2" xfId="8895" xr:uid="{00000000-0005-0000-0000-000040220000}"/>
    <cellStyle name="제목 2 7 3" xfId="8896" xr:uid="{00000000-0005-0000-0000-000041220000}"/>
    <cellStyle name="제목 2 7 4" xfId="8897" xr:uid="{00000000-0005-0000-0000-000042220000}"/>
    <cellStyle name="제목 2 8" xfId="8898" xr:uid="{00000000-0005-0000-0000-000043220000}"/>
    <cellStyle name="제목 2 9" xfId="8899" xr:uid="{00000000-0005-0000-0000-000044220000}"/>
    <cellStyle name="제목 20" xfId="8900" xr:uid="{00000000-0005-0000-0000-000045220000}"/>
    <cellStyle name="제목 20 2" xfId="8901" xr:uid="{00000000-0005-0000-0000-000046220000}"/>
    <cellStyle name="제목 20 3" xfId="8902" xr:uid="{00000000-0005-0000-0000-000047220000}"/>
    <cellStyle name="제목 21" xfId="8903" xr:uid="{00000000-0005-0000-0000-000048220000}"/>
    <cellStyle name="제목 21 2" xfId="8904" xr:uid="{00000000-0005-0000-0000-000049220000}"/>
    <cellStyle name="제목 21 3" xfId="8905" xr:uid="{00000000-0005-0000-0000-00004A220000}"/>
    <cellStyle name="제목 22" xfId="8906" xr:uid="{00000000-0005-0000-0000-00004B220000}"/>
    <cellStyle name="제목 22 2" xfId="8907" xr:uid="{00000000-0005-0000-0000-00004C220000}"/>
    <cellStyle name="제목 22 3" xfId="8908" xr:uid="{00000000-0005-0000-0000-00004D220000}"/>
    <cellStyle name="제목 23" xfId="8909" xr:uid="{00000000-0005-0000-0000-00004E220000}"/>
    <cellStyle name="제목 24" xfId="8910" xr:uid="{00000000-0005-0000-0000-00004F220000}"/>
    <cellStyle name="제목 25" xfId="8911" xr:uid="{00000000-0005-0000-0000-000050220000}"/>
    <cellStyle name="제목 26" xfId="8912" xr:uid="{00000000-0005-0000-0000-000051220000}"/>
    <cellStyle name="제목 27" xfId="8913" xr:uid="{00000000-0005-0000-0000-000052220000}"/>
    <cellStyle name="제목 28" xfId="8914" xr:uid="{00000000-0005-0000-0000-000053220000}"/>
    <cellStyle name="제목 29" xfId="8915" xr:uid="{00000000-0005-0000-0000-000054220000}"/>
    <cellStyle name="제목 3 10" xfId="8916" xr:uid="{00000000-0005-0000-0000-000055220000}"/>
    <cellStyle name="제목 3 11" xfId="8917" xr:uid="{00000000-0005-0000-0000-000056220000}"/>
    <cellStyle name="제목 3 12" xfId="8918" xr:uid="{00000000-0005-0000-0000-000057220000}"/>
    <cellStyle name="제목 3 13" xfId="8919" xr:uid="{00000000-0005-0000-0000-000058220000}"/>
    <cellStyle name="제목 3 14" xfId="8920" xr:uid="{00000000-0005-0000-0000-000059220000}"/>
    <cellStyle name="제목 3 14 2" xfId="8921" xr:uid="{00000000-0005-0000-0000-00005A220000}"/>
    <cellStyle name="제목 3 14 3" xfId="8922" xr:uid="{00000000-0005-0000-0000-00005B220000}"/>
    <cellStyle name="제목 3 15" xfId="8923" xr:uid="{00000000-0005-0000-0000-00005C220000}"/>
    <cellStyle name="제목 3 15 2" xfId="8924" xr:uid="{00000000-0005-0000-0000-00005D220000}"/>
    <cellStyle name="제목 3 15 3" xfId="8925" xr:uid="{00000000-0005-0000-0000-00005E220000}"/>
    <cellStyle name="제목 3 16" xfId="8926" xr:uid="{00000000-0005-0000-0000-00005F220000}"/>
    <cellStyle name="제목 3 16 2" xfId="8927" xr:uid="{00000000-0005-0000-0000-000060220000}"/>
    <cellStyle name="제목 3 16 3" xfId="8928" xr:uid="{00000000-0005-0000-0000-000061220000}"/>
    <cellStyle name="제목 3 17" xfId="8929" xr:uid="{00000000-0005-0000-0000-000062220000}"/>
    <cellStyle name="제목 3 17 2" xfId="8930" xr:uid="{00000000-0005-0000-0000-000063220000}"/>
    <cellStyle name="제목 3 17 3" xfId="8931" xr:uid="{00000000-0005-0000-0000-000064220000}"/>
    <cellStyle name="제목 3 18" xfId="8932" xr:uid="{00000000-0005-0000-0000-000065220000}"/>
    <cellStyle name="제목 3 18 2" xfId="8933" xr:uid="{00000000-0005-0000-0000-000066220000}"/>
    <cellStyle name="제목 3 18 3" xfId="8934" xr:uid="{00000000-0005-0000-0000-000067220000}"/>
    <cellStyle name="제목 3 19" xfId="8935" xr:uid="{00000000-0005-0000-0000-000068220000}"/>
    <cellStyle name="제목 3 19 2" xfId="8936" xr:uid="{00000000-0005-0000-0000-000069220000}"/>
    <cellStyle name="제목 3 19 3" xfId="8937" xr:uid="{00000000-0005-0000-0000-00006A220000}"/>
    <cellStyle name="제목 3 2" xfId="8938" xr:uid="{00000000-0005-0000-0000-00006B220000}"/>
    <cellStyle name="제목 3 2 10" xfId="8939" xr:uid="{00000000-0005-0000-0000-00006C220000}"/>
    <cellStyle name="제목 3 2 11" xfId="8940" xr:uid="{00000000-0005-0000-0000-00006D220000}"/>
    <cellStyle name="제목 3 2 12" xfId="8941" xr:uid="{00000000-0005-0000-0000-00006E220000}"/>
    <cellStyle name="제목 3 2 13" xfId="8942" xr:uid="{00000000-0005-0000-0000-00006F220000}"/>
    <cellStyle name="제목 3 2 14" xfId="8943" xr:uid="{00000000-0005-0000-0000-000070220000}"/>
    <cellStyle name="제목 3 2 15" xfId="8944" xr:uid="{00000000-0005-0000-0000-000071220000}"/>
    <cellStyle name="제목 3 2 16" xfId="8945" xr:uid="{00000000-0005-0000-0000-000072220000}"/>
    <cellStyle name="제목 3 2 17" xfId="8946" xr:uid="{00000000-0005-0000-0000-000073220000}"/>
    <cellStyle name="제목 3 2 18" xfId="8947" xr:uid="{00000000-0005-0000-0000-000074220000}"/>
    <cellStyle name="제목 3 2 19" xfId="8948" xr:uid="{00000000-0005-0000-0000-000075220000}"/>
    <cellStyle name="제목 3 2 2" xfId="8949" xr:uid="{00000000-0005-0000-0000-000076220000}"/>
    <cellStyle name="제목 3 2 20" xfId="8950" xr:uid="{00000000-0005-0000-0000-000077220000}"/>
    <cellStyle name="제목 3 2 21" xfId="8951" xr:uid="{00000000-0005-0000-0000-000078220000}"/>
    <cellStyle name="제목 3 2 22" xfId="8952" xr:uid="{00000000-0005-0000-0000-000079220000}"/>
    <cellStyle name="제목 3 2 23" xfId="8953" xr:uid="{00000000-0005-0000-0000-00007A220000}"/>
    <cellStyle name="제목 3 2 24" xfId="8954" xr:uid="{00000000-0005-0000-0000-00007B220000}"/>
    <cellStyle name="제목 3 2 25" xfId="8955" xr:uid="{00000000-0005-0000-0000-00007C220000}"/>
    <cellStyle name="제목 3 2 26" xfId="8956" xr:uid="{00000000-0005-0000-0000-00007D220000}"/>
    <cellStyle name="제목 3 2 27" xfId="8957" xr:uid="{00000000-0005-0000-0000-00007E220000}"/>
    <cellStyle name="제목 3 2 28" xfId="8958" xr:uid="{00000000-0005-0000-0000-00007F220000}"/>
    <cellStyle name="제목 3 2 29" xfId="8959" xr:uid="{00000000-0005-0000-0000-000080220000}"/>
    <cellStyle name="제목 3 2 3" xfId="8960" xr:uid="{00000000-0005-0000-0000-000081220000}"/>
    <cellStyle name="제목 3 2 30" xfId="8961" xr:uid="{00000000-0005-0000-0000-000082220000}"/>
    <cellStyle name="제목 3 2 31" xfId="8962" xr:uid="{00000000-0005-0000-0000-000083220000}"/>
    <cellStyle name="제목 3 2 32" xfId="8963" xr:uid="{00000000-0005-0000-0000-000084220000}"/>
    <cellStyle name="제목 3 2 33" xfId="8964" xr:uid="{00000000-0005-0000-0000-000085220000}"/>
    <cellStyle name="제목 3 2 34" xfId="8965" xr:uid="{00000000-0005-0000-0000-000086220000}"/>
    <cellStyle name="제목 3 2 35" xfId="8966" xr:uid="{00000000-0005-0000-0000-000087220000}"/>
    <cellStyle name="제목 3 2 36" xfId="8967" xr:uid="{00000000-0005-0000-0000-000088220000}"/>
    <cellStyle name="제목 3 2 37" xfId="8968" xr:uid="{00000000-0005-0000-0000-000089220000}"/>
    <cellStyle name="제목 3 2 38" xfId="8969" xr:uid="{00000000-0005-0000-0000-00008A220000}"/>
    <cellStyle name="제목 3 2 39" xfId="8970" xr:uid="{00000000-0005-0000-0000-00008B220000}"/>
    <cellStyle name="제목 3 2 4" xfId="8971" xr:uid="{00000000-0005-0000-0000-00008C220000}"/>
    <cellStyle name="제목 3 2 5" xfId="8972" xr:uid="{00000000-0005-0000-0000-00008D220000}"/>
    <cellStyle name="제목 3 2 6" xfId="8973" xr:uid="{00000000-0005-0000-0000-00008E220000}"/>
    <cellStyle name="제목 3 2 7" xfId="8974" xr:uid="{00000000-0005-0000-0000-00008F220000}"/>
    <cellStyle name="제목 3 2 8" xfId="8975" xr:uid="{00000000-0005-0000-0000-000090220000}"/>
    <cellStyle name="제목 3 2 9" xfId="8976" xr:uid="{00000000-0005-0000-0000-000091220000}"/>
    <cellStyle name="제목 3 20" xfId="8977" xr:uid="{00000000-0005-0000-0000-000092220000}"/>
    <cellStyle name="제목 3 21" xfId="8978" xr:uid="{00000000-0005-0000-0000-000093220000}"/>
    <cellStyle name="제목 3 22" xfId="8979" xr:uid="{00000000-0005-0000-0000-000094220000}"/>
    <cellStyle name="제목 3 23" xfId="8980" xr:uid="{00000000-0005-0000-0000-000095220000}"/>
    <cellStyle name="제목 3 24" xfId="8981" xr:uid="{00000000-0005-0000-0000-000096220000}"/>
    <cellStyle name="제목 3 25" xfId="8982" xr:uid="{00000000-0005-0000-0000-000097220000}"/>
    <cellStyle name="제목 3 26" xfId="8983" xr:uid="{00000000-0005-0000-0000-000098220000}"/>
    <cellStyle name="제목 3 27" xfId="8984" xr:uid="{00000000-0005-0000-0000-000099220000}"/>
    <cellStyle name="제목 3 27 2" xfId="8985" xr:uid="{00000000-0005-0000-0000-00009A220000}"/>
    <cellStyle name="제목 3 28" xfId="8986" xr:uid="{00000000-0005-0000-0000-00009B220000}"/>
    <cellStyle name="제목 3 29" xfId="8987" xr:uid="{00000000-0005-0000-0000-00009C220000}"/>
    <cellStyle name="제목 3 3" xfId="8988" xr:uid="{00000000-0005-0000-0000-00009D220000}"/>
    <cellStyle name="제목 3 3 2" xfId="8989" xr:uid="{00000000-0005-0000-0000-00009E220000}"/>
    <cellStyle name="제목 3 3 3" xfId="8990" xr:uid="{00000000-0005-0000-0000-00009F220000}"/>
    <cellStyle name="제목 3 3 4" xfId="8991" xr:uid="{00000000-0005-0000-0000-0000A0220000}"/>
    <cellStyle name="제목 3 30" xfId="8992" xr:uid="{00000000-0005-0000-0000-0000A1220000}"/>
    <cellStyle name="제목 3 31" xfId="8993" xr:uid="{00000000-0005-0000-0000-0000A2220000}"/>
    <cellStyle name="제목 3 32" xfId="8994" xr:uid="{00000000-0005-0000-0000-0000A3220000}"/>
    <cellStyle name="제목 3 33" xfId="8995" xr:uid="{00000000-0005-0000-0000-0000A4220000}"/>
    <cellStyle name="제목 3 34" xfId="8996" xr:uid="{00000000-0005-0000-0000-0000A5220000}"/>
    <cellStyle name="제목 3 35" xfId="8997" xr:uid="{00000000-0005-0000-0000-0000A6220000}"/>
    <cellStyle name="제목 3 36" xfId="8998" xr:uid="{00000000-0005-0000-0000-0000A7220000}"/>
    <cellStyle name="제목 3 37" xfId="8999" xr:uid="{00000000-0005-0000-0000-0000A8220000}"/>
    <cellStyle name="제목 3 37 2" xfId="9000" xr:uid="{00000000-0005-0000-0000-0000A9220000}"/>
    <cellStyle name="제목 3 38" xfId="9001" xr:uid="{00000000-0005-0000-0000-0000AA220000}"/>
    <cellStyle name="제목 3 39" xfId="9002" xr:uid="{00000000-0005-0000-0000-0000AB220000}"/>
    <cellStyle name="제목 3 4" xfId="9003" xr:uid="{00000000-0005-0000-0000-0000AC220000}"/>
    <cellStyle name="제목 3 4 2" xfId="9004" xr:uid="{00000000-0005-0000-0000-0000AD220000}"/>
    <cellStyle name="제목 3 4 3" xfId="9005" xr:uid="{00000000-0005-0000-0000-0000AE220000}"/>
    <cellStyle name="제목 3 4 4" xfId="9006" xr:uid="{00000000-0005-0000-0000-0000AF220000}"/>
    <cellStyle name="제목 3 40" xfId="9007" xr:uid="{00000000-0005-0000-0000-0000B0220000}"/>
    <cellStyle name="제목 3 41" xfId="9008" xr:uid="{00000000-0005-0000-0000-0000B1220000}"/>
    <cellStyle name="제목 3 42" xfId="9009" xr:uid="{00000000-0005-0000-0000-0000B2220000}"/>
    <cellStyle name="제목 3 43" xfId="9010" xr:uid="{00000000-0005-0000-0000-0000B3220000}"/>
    <cellStyle name="제목 3 44" xfId="9011" xr:uid="{00000000-0005-0000-0000-0000B4220000}"/>
    <cellStyle name="제목 3 45" xfId="9012" xr:uid="{00000000-0005-0000-0000-0000B5220000}"/>
    <cellStyle name="제목 3 45 2" xfId="9013" xr:uid="{00000000-0005-0000-0000-0000B6220000}"/>
    <cellStyle name="제목 3 45 3" xfId="9014" xr:uid="{00000000-0005-0000-0000-0000B7220000}"/>
    <cellStyle name="제목 3 46" xfId="9015" xr:uid="{00000000-0005-0000-0000-0000B8220000}"/>
    <cellStyle name="제목 3 47" xfId="9016" xr:uid="{00000000-0005-0000-0000-0000B9220000}"/>
    <cellStyle name="제목 3 48" xfId="9017" xr:uid="{00000000-0005-0000-0000-0000BA220000}"/>
    <cellStyle name="제목 3 49" xfId="9018" xr:uid="{00000000-0005-0000-0000-0000BB220000}"/>
    <cellStyle name="제목 3 5" xfId="9019" xr:uid="{00000000-0005-0000-0000-0000BC220000}"/>
    <cellStyle name="제목 3 5 2" xfId="9020" xr:uid="{00000000-0005-0000-0000-0000BD220000}"/>
    <cellStyle name="제목 3 5 3" xfId="9021" xr:uid="{00000000-0005-0000-0000-0000BE220000}"/>
    <cellStyle name="제목 3 5 4" xfId="9022" xr:uid="{00000000-0005-0000-0000-0000BF220000}"/>
    <cellStyle name="제목 3 50" xfId="9023" xr:uid="{00000000-0005-0000-0000-0000C0220000}"/>
    <cellStyle name="제목 3 51" xfId="9024" xr:uid="{00000000-0005-0000-0000-0000C1220000}"/>
    <cellStyle name="제목 3 52" xfId="9025" xr:uid="{00000000-0005-0000-0000-0000C2220000}"/>
    <cellStyle name="제목 3 53" xfId="9026" xr:uid="{00000000-0005-0000-0000-0000C3220000}"/>
    <cellStyle name="제목 3 54" xfId="9027" xr:uid="{00000000-0005-0000-0000-0000C4220000}"/>
    <cellStyle name="제목 3 55" xfId="9028" xr:uid="{00000000-0005-0000-0000-0000C5220000}"/>
    <cellStyle name="제목 3 6" xfId="9029" xr:uid="{00000000-0005-0000-0000-0000C6220000}"/>
    <cellStyle name="제목 3 6 2" xfId="9030" xr:uid="{00000000-0005-0000-0000-0000C7220000}"/>
    <cellStyle name="제목 3 6 3" xfId="9031" xr:uid="{00000000-0005-0000-0000-0000C8220000}"/>
    <cellStyle name="제목 3 6 4" xfId="9032" xr:uid="{00000000-0005-0000-0000-0000C9220000}"/>
    <cellStyle name="제목 3 7" xfId="9033" xr:uid="{00000000-0005-0000-0000-0000CA220000}"/>
    <cellStyle name="제목 3 7 2" xfId="9034" xr:uid="{00000000-0005-0000-0000-0000CB220000}"/>
    <cellStyle name="제목 3 7 3" xfId="9035" xr:uid="{00000000-0005-0000-0000-0000CC220000}"/>
    <cellStyle name="제목 3 7 4" xfId="9036" xr:uid="{00000000-0005-0000-0000-0000CD220000}"/>
    <cellStyle name="제목 3 8" xfId="9037" xr:uid="{00000000-0005-0000-0000-0000CE220000}"/>
    <cellStyle name="제목 3 9" xfId="9038" xr:uid="{00000000-0005-0000-0000-0000CF220000}"/>
    <cellStyle name="제목 30" xfId="9039" xr:uid="{00000000-0005-0000-0000-0000D0220000}"/>
    <cellStyle name="제목 30 2" xfId="9040" xr:uid="{00000000-0005-0000-0000-0000D1220000}"/>
    <cellStyle name="제목 31" xfId="9041" xr:uid="{00000000-0005-0000-0000-0000D2220000}"/>
    <cellStyle name="제목 32" xfId="9042" xr:uid="{00000000-0005-0000-0000-0000D3220000}"/>
    <cellStyle name="제목 33" xfId="9043" xr:uid="{00000000-0005-0000-0000-0000D4220000}"/>
    <cellStyle name="제목 34" xfId="9044" xr:uid="{00000000-0005-0000-0000-0000D5220000}"/>
    <cellStyle name="제목 35" xfId="9045" xr:uid="{00000000-0005-0000-0000-0000D6220000}"/>
    <cellStyle name="제목 36" xfId="9046" xr:uid="{00000000-0005-0000-0000-0000D7220000}"/>
    <cellStyle name="제목 37" xfId="9047" xr:uid="{00000000-0005-0000-0000-0000D8220000}"/>
    <cellStyle name="제목 38" xfId="9048" xr:uid="{00000000-0005-0000-0000-0000D9220000}"/>
    <cellStyle name="제목 39" xfId="9049" xr:uid="{00000000-0005-0000-0000-0000DA220000}"/>
    <cellStyle name="제목 4 10" xfId="9050" xr:uid="{00000000-0005-0000-0000-0000DB220000}"/>
    <cellStyle name="제목 4 11" xfId="9051" xr:uid="{00000000-0005-0000-0000-0000DC220000}"/>
    <cellStyle name="제목 4 12" xfId="9052" xr:uid="{00000000-0005-0000-0000-0000DD220000}"/>
    <cellStyle name="제목 4 13" xfId="9053" xr:uid="{00000000-0005-0000-0000-0000DE220000}"/>
    <cellStyle name="제목 4 14" xfId="9054" xr:uid="{00000000-0005-0000-0000-0000DF220000}"/>
    <cellStyle name="제목 4 14 2" xfId="9055" xr:uid="{00000000-0005-0000-0000-0000E0220000}"/>
    <cellStyle name="제목 4 14 3" xfId="9056" xr:uid="{00000000-0005-0000-0000-0000E1220000}"/>
    <cellStyle name="제목 4 15" xfId="9057" xr:uid="{00000000-0005-0000-0000-0000E2220000}"/>
    <cellStyle name="제목 4 15 2" xfId="9058" xr:uid="{00000000-0005-0000-0000-0000E3220000}"/>
    <cellStyle name="제목 4 15 3" xfId="9059" xr:uid="{00000000-0005-0000-0000-0000E4220000}"/>
    <cellStyle name="제목 4 16" xfId="9060" xr:uid="{00000000-0005-0000-0000-0000E5220000}"/>
    <cellStyle name="제목 4 16 2" xfId="9061" xr:uid="{00000000-0005-0000-0000-0000E6220000}"/>
    <cellStyle name="제목 4 16 3" xfId="9062" xr:uid="{00000000-0005-0000-0000-0000E7220000}"/>
    <cellStyle name="제목 4 17" xfId="9063" xr:uid="{00000000-0005-0000-0000-0000E8220000}"/>
    <cellStyle name="제목 4 17 2" xfId="9064" xr:uid="{00000000-0005-0000-0000-0000E9220000}"/>
    <cellStyle name="제목 4 17 3" xfId="9065" xr:uid="{00000000-0005-0000-0000-0000EA220000}"/>
    <cellStyle name="제목 4 18" xfId="9066" xr:uid="{00000000-0005-0000-0000-0000EB220000}"/>
    <cellStyle name="제목 4 18 2" xfId="9067" xr:uid="{00000000-0005-0000-0000-0000EC220000}"/>
    <cellStyle name="제목 4 18 3" xfId="9068" xr:uid="{00000000-0005-0000-0000-0000ED220000}"/>
    <cellStyle name="제목 4 19" xfId="9069" xr:uid="{00000000-0005-0000-0000-0000EE220000}"/>
    <cellStyle name="제목 4 19 2" xfId="9070" xr:uid="{00000000-0005-0000-0000-0000EF220000}"/>
    <cellStyle name="제목 4 19 3" xfId="9071" xr:uid="{00000000-0005-0000-0000-0000F0220000}"/>
    <cellStyle name="제목 4 2" xfId="9072" xr:uid="{00000000-0005-0000-0000-0000F1220000}"/>
    <cellStyle name="제목 4 2 10" xfId="9073" xr:uid="{00000000-0005-0000-0000-0000F2220000}"/>
    <cellStyle name="제목 4 2 11" xfId="9074" xr:uid="{00000000-0005-0000-0000-0000F3220000}"/>
    <cellStyle name="제목 4 2 12" xfId="9075" xr:uid="{00000000-0005-0000-0000-0000F4220000}"/>
    <cellStyle name="제목 4 2 13" xfId="9076" xr:uid="{00000000-0005-0000-0000-0000F5220000}"/>
    <cellStyle name="제목 4 2 14" xfId="9077" xr:uid="{00000000-0005-0000-0000-0000F6220000}"/>
    <cellStyle name="제목 4 2 15" xfId="9078" xr:uid="{00000000-0005-0000-0000-0000F7220000}"/>
    <cellStyle name="제목 4 2 16" xfId="9079" xr:uid="{00000000-0005-0000-0000-0000F8220000}"/>
    <cellStyle name="제목 4 2 17" xfId="9080" xr:uid="{00000000-0005-0000-0000-0000F9220000}"/>
    <cellStyle name="제목 4 2 18" xfId="9081" xr:uid="{00000000-0005-0000-0000-0000FA220000}"/>
    <cellStyle name="제목 4 2 19" xfId="9082" xr:uid="{00000000-0005-0000-0000-0000FB220000}"/>
    <cellStyle name="제목 4 2 2" xfId="9083" xr:uid="{00000000-0005-0000-0000-0000FC220000}"/>
    <cellStyle name="제목 4 2 20" xfId="9084" xr:uid="{00000000-0005-0000-0000-0000FD220000}"/>
    <cellStyle name="제목 4 2 21" xfId="9085" xr:uid="{00000000-0005-0000-0000-0000FE220000}"/>
    <cellStyle name="제목 4 2 22" xfId="9086" xr:uid="{00000000-0005-0000-0000-0000FF220000}"/>
    <cellStyle name="제목 4 2 23" xfId="9087" xr:uid="{00000000-0005-0000-0000-000000230000}"/>
    <cellStyle name="제목 4 2 24" xfId="9088" xr:uid="{00000000-0005-0000-0000-000001230000}"/>
    <cellStyle name="제목 4 2 25" xfId="9089" xr:uid="{00000000-0005-0000-0000-000002230000}"/>
    <cellStyle name="제목 4 2 26" xfId="9090" xr:uid="{00000000-0005-0000-0000-000003230000}"/>
    <cellStyle name="제목 4 2 27" xfId="9091" xr:uid="{00000000-0005-0000-0000-000004230000}"/>
    <cellStyle name="제목 4 2 28" xfId="9092" xr:uid="{00000000-0005-0000-0000-000005230000}"/>
    <cellStyle name="제목 4 2 29" xfId="9093" xr:uid="{00000000-0005-0000-0000-000006230000}"/>
    <cellStyle name="제목 4 2 3" xfId="9094" xr:uid="{00000000-0005-0000-0000-000007230000}"/>
    <cellStyle name="제목 4 2 30" xfId="9095" xr:uid="{00000000-0005-0000-0000-000008230000}"/>
    <cellStyle name="제목 4 2 31" xfId="9096" xr:uid="{00000000-0005-0000-0000-000009230000}"/>
    <cellStyle name="제목 4 2 32" xfId="9097" xr:uid="{00000000-0005-0000-0000-00000A230000}"/>
    <cellStyle name="제목 4 2 33" xfId="9098" xr:uid="{00000000-0005-0000-0000-00000B230000}"/>
    <cellStyle name="제목 4 2 34" xfId="9099" xr:uid="{00000000-0005-0000-0000-00000C230000}"/>
    <cellStyle name="제목 4 2 35" xfId="9100" xr:uid="{00000000-0005-0000-0000-00000D230000}"/>
    <cellStyle name="제목 4 2 36" xfId="9101" xr:uid="{00000000-0005-0000-0000-00000E230000}"/>
    <cellStyle name="제목 4 2 37" xfId="9102" xr:uid="{00000000-0005-0000-0000-00000F230000}"/>
    <cellStyle name="제목 4 2 38" xfId="9103" xr:uid="{00000000-0005-0000-0000-000010230000}"/>
    <cellStyle name="제목 4 2 39" xfId="9104" xr:uid="{00000000-0005-0000-0000-000011230000}"/>
    <cellStyle name="제목 4 2 4" xfId="9105" xr:uid="{00000000-0005-0000-0000-000012230000}"/>
    <cellStyle name="제목 4 2 5" xfId="9106" xr:uid="{00000000-0005-0000-0000-000013230000}"/>
    <cellStyle name="제목 4 2 6" xfId="9107" xr:uid="{00000000-0005-0000-0000-000014230000}"/>
    <cellStyle name="제목 4 2 7" xfId="9108" xr:uid="{00000000-0005-0000-0000-000015230000}"/>
    <cellStyle name="제목 4 2 8" xfId="9109" xr:uid="{00000000-0005-0000-0000-000016230000}"/>
    <cellStyle name="제목 4 2 9" xfId="9110" xr:uid="{00000000-0005-0000-0000-000017230000}"/>
    <cellStyle name="제목 4 20" xfId="9111" xr:uid="{00000000-0005-0000-0000-000018230000}"/>
    <cellStyle name="제목 4 21" xfId="9112" xr:uid="{00000000-0005-0000-0000-000019230000}"/>
    <cellStyle name="제목 4 22" xfId="9113" xr:uid="{00000000-0005-0000-0000-00001A230000}"/>
    <cellStyle name="제목 4 23" xfId="9114" xr:uid="{00000000-0005-0000-0000-00001B230000}"/>
    <cellStyle name="제목 4 24" xfId="9115" xr:uid="{00000000-0005-0000-0000-00001C230000}"/>
    <cellStyle name="제목 4 25" xfId="9116" xr:uid="{00000000-0005-0000-0000-00001D230000}"/>
    <cellStyle name="제목 4 26" xfId="9117" xr:uid="{00000000-0005-0000-0000-00001E230000}"/>
    <cellStyle name="제목 4 27" xfId="9118" xr:uid="{00000000-0005-0000-0000-00001F230000}"/>
    <cellStyle name="제목 4 27 2" xfId="9119" xr:uid="{00000000-0005-0000-0000-000020230000}"/>
    <cellStyle name="제목 4 28" xfId="9120" xr:uid="{00000000-0005-0000-0000-000021230000}"/>
    <cellStyle name="제목 4 29" xfId="9121" xr:uid="{00000000-0005-0000-0000-000022230000}"/>
    <cellStyle name="제목 4 3" xfId="9122" xr:uid="{00000000-0005-0000-0000-000023230000}"/>
    <cellStyle name="제목 4 3 2" xfId="9123" xr:uid="{00000000-0005-0000-0000-000024230000}"/>
    <cellStyle name="제목 4 3 3" xfId="9124" xr:uid="{00000000-0005-0000-0000-000025230000}"/>
    <cellStyle name="제목 4 3 4" xfId="9125" xr:uid="{00000000-0005-0000-0000-000026230000}"/>
    <cellStyle name="제목 4 30" xfId="9126" xr:uid="{00000000-0005-0000-0000-000027230000}"/>
    <cellStyle name="제목 4 31" xfId="9127" xr:uid="{00000000-0005-0000-0000-000028230000}"/>
    <cellStyle name="제목 4 32" xfId="9128" xr:uid="{00000000-0005-0000-0000-000029230000}"/>
    <cellStyle name="제목 4 33" xfId="9129" xr:uid="{00000000-0005-0000-0000-00002A230000}"/>
    <cellStyle name="제목 4 34" xfId="9130" xr:uid="{00000000-0005-0000-0000-00002B230000}"/>
    <cellStyle name="제목 4 35" xfId="9131" xr:uid="{00000000-0005-0000-0000-00002C230000}"/>
    <cellStyle name="제목 4 36" xfId="9132" xr:uid="{00000000-0005-0000-0000-00002D230000}"/>
    <cellStyle name="제목 4 37" xfId="9133" xr:uid="{00000000-0005-0000-0000-00002E230000}"/>
    <cellStyle name="제목 4 37 2" xfId="9134" xr:uid="{00000000-0005-0000-0000-00002F230000}"/>
    <cellStyle name="제목 4 38" xfId="9135" xr:uid="{00000000-0005-0000-0000-000030230000}"/>
    <cellStyle name="제목 4 39" xfId="9136" xr:uid="{00000000-0005-0000-0000-000031230000}"/>
    <cellStyle name="제목 4 4" xfId="9137" xr:uid="{00000000-0005-0000-0000-000032230000}"/>
    <cellStyle name="제목 4 4 2" xfId="9138" xr:uid="{00000000-0005-0000-0000-000033230000}"/>
    <cellStyle name="제목 4 4 3" xfId="9139" xr:uid="{00000000-0005-0000-0000-000034230000}"/>
    <cellStyle name="제목 4 4 4" xfId="9140" xr:uid="{00000000-0005-0000-0000-000035230000}"/>
    <cellStyle name="제목 4 40" xfId="9141" xr:uid="{00000000-0005-0000-0000-000036230000}"/>
    <cellStyle name="제목 4 41" xfId="9142" xr:uid="{00000000-0005-0000-0000-000037230000}"/>
    <cellStyle name="제목 4 42" xfId="9143" xr:uid="{00000000-0005-0000-0000-000038230000}"/>
    <cellStyle name="제목 4 43" xfId="9144" xr:uid="{00000000-0005-0000-0000-000039230000}"/>
    <cellStyle name="제목 4 44" xfId="9145" xr:uid="{00000000-0005-0000-0000-00003A230000}"/>
    <cellStyle name="제목 4 45" xfId="9146" xr:uid="{00000000-0005-0000-0000-00003B230000}"/>
    <cellStyle name="제목 4 45 2" xfId="9147" xr:uid="{00000000-0005-0000-0000-00003C230000}"/>
    <cellStyle name="제목 4 45 3" xfId="9148" xr:uid="{00000000-0005-0000-0000-00003D230000}"/>
    <cellStyle name="제목 4 46" xfId="9149" xr:uid="{00000000-0005-0000-0000-00003E230000}"/>
    <cellStyle name="제목 4 47" xfId="9150" xr:uid="{00000000-0005-0000-0000-00003F230000}"/>
    <cellStyle name="제목 4 48" xfId="9151" xr:uid="{00000000-0005-0000-0000-000040230000}"/>
    <cellStyle name="제목 4 49" xfId="9152" xr:uid="{00000000-0005-0000-0000-000041230000}"/>
    <cellStyle name="제목 4 5" xfId="9153" xr:uid="{00000000-0005-0000-0000-000042230000}"/>
    <cellStyle name="제목 4 5 2" xfId="9154" xr:uid="{00000000-0005-0000-0000-000043230000}"/>
    <cellStyle name="제목 4 5 3" xfId="9155" xr:uid="{00000000-0005-0000-0000-000044230000}"/>
    <cellStyle name="제목 4 5 4" xfId="9156" xr:uid="{00000000-0005-0000-0000-000045230000}"/>
    <cellStyle name="제목 4 50" xfId="9157" xr:uid="{00000000-0005-0000-0000-000046230000}"/>
    <cellStyle name="제목 4 51" xfId="9158" xr:uid="{00000000-0005-0000-0000-000047230000}"/>
    <cellStyle name="제목 4 52" xfId="9159" xr:uid="{00000000-0005-0000-0000-000048230000}"/>
    <cellStyle name="제목 4 53" xfId="9160" xr:uid="{00000000-0005-0000-0000-000049230000}"/>
    <cellStyle name="제목 4 54" xfId="9161" xr:uid="{00000000-0005-0000-0000-00004A230000}"/>
    <cellStyle name="제목 4 55" xfId="9162" xr:uid="{00000000-0005-0000-0000-00004B230000}"/>
    <cellStyle name="제목 4 6" xfId="9163" xr:uid="{00000000-0005-0000-0000-00004C230000}"/>
    <cellStyle name="제목 4 6 2" xfId="9164" xr:uid="{00000000-0005-0000-0000-00004D230000}"/>
    <cellStyle name="제목 4 6 3" xfId="9165" xr:uid="{00000000-0005-0000-0000-00004E230000}"/>
    <cellStyle name="제목 4 6 4" xfId="9166" xr:uid="{00000000-0005-0000-0000-00004F230000}"/>
    <cellStyle name="제목 4 7" xfId="9167" xr:uid="{00000000-0005-0000-0000-000050230000}"/>
    <cellStyle name="제목 4 7 2" xfId="9168" xr:uid="{00000000-0005-0000-0000-000051230000}"/>
    <cellStyle name="제목 4 7 3" xfId="9169" xr:uid="{00000000-0005-0000-0000-000052230000}"/>
    <cellStyle name="제목 4 7 4" xfId="9170" xr:uid="{00000000-0005-0000-0000-000053230000}"/>
    <cellStyle name="제목 4 8" xfId="9171" xr:uid="{00000000-0005-0000-0000-000054230000}"/>
    <cellStyle name="제목 4 9" xfId="9172" xr:uid="{00000000-0005-0000-0000-000055230000}"/>
    <cellStyle name="제목 40" xfId="9173" xr:uid="{00000000-0005-0000-0000-000056230000}"/>
    <cellStyle name="제목 40 2" xfId="9174" xr:uid="{00000000-0005-0000-0000-000057230000}"/>
    <cellStyle name="제목 41" xfId="9175" xr:uid="{00000000-0005-0000-0000-000058230000}"/>
    <cellStyle name="제목 42" xfId="9176" xr:uid="{00000000-0005-0000-0000-000059230000}"/>
    <cellStyle name="제목 43" xfId="9177" xr:uid="{00000000-0005-0000-0000-00005A230000}"/>
    <cellStyle name="제목 44" xfId="9178" xr:uid="{00000000-0005-0000-0000-00005B230000}"/>
    <cellStyle name="제목 45" xfId="9179" xr:uid="{00000000-0005-0000-0000-00005C230000}"/>
    <cellStyle name="제목 46" xfId="9180" xr:uid="{00000000-0005-0000-0000-00005D230000}"/>
    <cellStyle name="제목 47" xfId="9181" xr:uid="{00000000-0005-0000-0000-00005E230000}"/>
    <cellStyle name="제목 48" xfId="9182" xr:uid="{00000000-0005-0000-0000-00005F230000}"/>
    <cellStyle name="제목 48 2" xfId="9183" xr:uid="{00000000-0005-0000-0000-000060230000}"/>
    <cellStyle name="제목 48 3" xfId="9184" xr:uid="{00000000-0005-0000-0000-000061230000}"/>
    <cellStyle name="제목 49" xfId="9185" xr:uid="{00000000-0005-0000-0000-000062230000}"/>
    <cellStyle name="제목 5" xfId="9186" xr:uid="{00000000-0005-0000-0000-000063230000}"/>
    <cellStyle name="제목 5 10" xfId="9187" xr:uid="{00000000-0005-0000-0000-000064230000}"/>
    <cellStyle name="제목 5 11" xfId="9188" xr:uid="{00000000-0005-0000-0000-000065230000}"/>
    <cellStyle name="제목 5 12" xfId="9189" xr:uid="{00000000-0005-0000-0000-000066230000}"/>
    <cellStyle name="제목 5 13" xfId="9190" xr:uid="{00000000-0005-0000-0000-000067230000}"/>
    <cellStyle name="제목 5 14" xfId="9191" xr:uid="{00000000-0005-0000-0000-000068230000}"/>
    <cellStyle name="제목 5 15" xfId="9192" xr:uid="{00000000-0005-0000-0000-000069230000}"/>
    <cellStyle name="제목 5 16" xfId="9193" xr:uid="{00000000-0005-0000-0000-00006A230000}"/>
    <cellStyle name="제목 5 17" xfId="9194" xr:uid="{00000000-0005-0000-0000-00006B230000}"/>
    <cellStyle name="제목 5 18" xfId="9195" xr:uid="{00000000-0005-0000-0000-00006C230000}"/>
    <cellStyle name="제목 5 19" xfId="9196" xr:uid="{00000000-0005-0000-0000-00006D230000}"/>
    <cellStyle name="제목 5 2" xfId="9197" xr:uid="{00000000-0005-0000-0000-00006E230000}"/>
    <cellStyle name="제목 5 20" xfId="9198" xr:uid="{00000000-0005-0000-0000-00006F230000}"/>
    <cellStyle name="제목 5 21" xfId="9199" xr:uid="{00000000-0005-0000-0000-000070230000}"/>
    <cellStyle name="제목 5 22" xfId="9200" xr:uid="{00000000-0005-0000-0000-000071230000}"/>
    <cellStyle name="제목 5 23" xfId="9201" xr:uid="{00000000-0005-0000-0000-000072230000}"/>
    <cellStyle name="제목 5 24" xfId="9202" xr:uid="{00000000-0005-0000-0000-000073230000}"/>
    <cellStyle name="제목 5 25" xfId="9203" xr:uid="{00000000-0005-0000-0000-000074230000}"/>
    <cellStyle name="제목 5 26" xfId="9204" xr:uid="{00000000-0005-0000-0000-000075230000}"/>
    <cellStyle name="제목 5 27" xfId="9205" xr:uid="{00000000-0005-0000-0000-000076230000}"/>
    <cellStyle name="제목 5 28" xfId="9206" xr:uid="{00000000-0005-0000-0000-000077230000}"/>
    <cellStyle name="제목 5 29" xfId="9207" xr:uid="{00000000-0005-0000-0000-000078230000}"/>
    <cellStyle name="제목 5 3" xfId="9208" xr:uid="{00000000-0005-0000-0000-000079230000}"/>
    <cellStyle name="제목 5 30" xfId="9209" xr:uid="{00000000-0005-0000-0000-00007A230000}"/>
    <cellStyle name="제목 5 31" xfId="9210" xr:uid="{00000000-0005-0000-0000-00007B230000}"/>
    <cellStyle name="제목 5 32" xfId="9211" xr:uid="{00000000-0005-0000-0000-00007C230000}"/>
    <cellStyle name="제목 5 33" xfId="9212" xr:uid="{00000000-0005-0000-0000-00007D230000}"/>
    <cellStyle name="제목 5 34" xfId="9213" xr:uid="{00000000-0005-0000-0000-00007E230000}"/>
    <cellStyle name="제목 5 35" xfId="9214" xr:uid="{00000000-0005-0000-0000-00007F230000}"/>
    <cellStyle name="제목 5 36" xfId="9215" xr:uid="{00000000-0005-0000-0000-000080230000}"/>
    <cellStyle name="제목 5 37" xfId="9216" xr:uid="{00000000-0005-0000-0000-000081230000}"/>
    <cellStyle name="제목 5 38" xfId="9217" xr:uid="{00000000-0005-0000-0000-000082230000}"/>
    <cellStyle name="제목 5 39" xfId="9218" xr:uid="{00000000-0005-0000-0000-000083230000}"/>
    <cellStyle name="제목 5 4" xfId="9219" xr:uid="{00000000-0005-0000-0000-000084230000}"/>
    <cellStyle name="제목 5 5" xfId="9220" xr:uid="{00000000-0005-0000-0000-000085230000}"/>
    <cellStyle name="제목 5 6" xfId="9221" xr:uid="{00000000-0005-0000-0000-000086230000}"/>
    <cellStyle name="제목 5 7" xfId="9222" xr:uid="{00000000-0005-0000-0000-000087230000}"/>
    <cellStyle name="제목 5 8" xfId="9223" xr:uid="{00000000-0005-0000-0000-000088230000}"/>
    <cellStyle name="제목 5 9" xfId="9224" xr:uid="{00000000-0005-0000-0000-000089230000}"/>
    <cellStyle name="제목 50" xfId="9225" xr:uid="{00000000-0005-0000-0000-00008A230000}"/>
    <cellStyle name="제목 51" xfId="9226" xr:uid="{00000000-0005-0000-0000-00008B230000}"/>
    <cellStyle name="제목 52" xfId="9227" xr:uid="{00000000-0005-0000-0000-00008C230000}"/>
    <cellStyle name="제목 53" xfId="9228" xr:uid="{00000000-0005-0000-0000-00008D230000}"/>
    <cellStyle name="제목 54" xfId="9229" xr:uid="{00000000-0005-0000-0000-00008E230000}"/>
    <cellStyle name="제목 55" xfId="9230" xr:uid="{00000000-0005-0000-0000-00008F230000}"/>
    <cellStyle name="제목 56" xfId="9231" xr:uid="{00000000-0005-0000-0000-000090230000}"/>
    <cellStyle name="제목 57" xfId="9232" xr:uid="{00000000-0005-0000-0000-000091230000}"/>
    <cellStyle name="제목 58" xfId="9233" xr:uid="{00000000-0005-0000-0000-000092230000}"/>
    <cellStyle name="제목 6" xfId="9234" xr:uid="{00000000-0005-0000-0000-000093230000}"/>
    <cellStyle name="제목 6 2" xfId="9235" xr:uid="{00000000-0005-0000-0000-000094230000}"/>
    <cellStyle name="제목 6 3" xfId="9236" xr:uid="{00000000-0005-0000-0000-000095230000}"/>
    <cellStyle name="제목 6 4" xfId="9237" xr:uid="{00000000-0005-0000-0000-000096230000}"/>
    <cellStyle name="제목 7" xfId="9238" xr:uid="{00000000-0005-0000-0000-000097230000}"/>
    <cellStyle name="제목 7 2" xfId="9239" xr:uid="{00000000-0005-0000-0000-000098230000}"/>
    <cellStyle name="제목 7 3" xfId="9240" xr:uid="{00000000-0005-0000-0000-000099230000}"/>
    <cellStyle name="제목 7 4" xfId="9241" xr:uid="{00000000-0005-0000-0000-00009A230000}"/>
    <cellStyle name="제목 8" xfId="9242" xr:uid="{00000000-0005-0000-0000-00009B230000}"/>
    <cellStyle name="제목 8 2" xfId="9243" xr:uid="{00000000-0005-0000-0000-00009C230000}"/>
    <cellStyle name="제목 8 3" xfId="9244" xr:uid="{00000000-0005-0000-0000-00009D230000}"/>
    <cellStyle name="제목 8 4" xfId="9245" xr:uid="{00000000-0005-0000-0000-00009E230000}"/>
    <cellStyle name="제목 9" xfId="9246" xr:uid="{00000000-0005-0000-0000-00009F230000}"/>
    <cellStyle name="제목 9 2" xfId="9247" xr:uid="{00000000-0005-0000-0000-0000A0230000}"/>
    <cellStyle name="제목 9 3" xfId="9248" xr:uid="{00000000-0005-0000-0000-0000A1230000}"/>
    <cellStyle name="제목 9 4" xfId="9249" xr:uid="{00000000-0005-0000-0000-0000A2230000}"/>
    <cellStyle name="제목1" xfId="9250" xr:uid="{00000000-0005-0000-0000-0000A3230000}"/>
    <cellStyle name="제목2" xfId="9251" xr:uid="{00000000-0005-0000-0000-0000A4230000}"/>
    <cellStyle name="제조번호" xfId="9252" xr:uid="{00000000-0005-0000-0000-0000A5230000}"/>
    <cellStyle name="晀화_양식2_계획대비" xfId="9253" xr:uid="{00000000-0005-0000-0000-0000A6230000}"/>
    <cellStyle name="좋은양식" xfId="9254" xr:uid="{00000000-0005-0000-0000-0000A7230000}"/>
    <cellStyle name="좋음 10" xfId="9255" xr:uid="{00000000-0005-0000-0000-0000A8230000}"/>
    <cellStyle name="좋음 11" xfId="9256" xr:uid="{00000000-0005-0000-0000-0000A9230000}"/>
    <cellStyle name="좋음 12" xfId="9257" xr:uid="{00000000-0005-0000-0000-0000AA230000}"/>
    <cellStyle name="좋음 13" xfId="9258" xr:uid="{00000000-0005-0000-0000-0000AB230000}"/>
    <cellStyle name="좋음 14" xfId="9259" xr:uid="{00000000-0005-0000-0000-0000AC230000}"/>
    <cellStyle name="좋음 14 2" xfId="9260" xr:uid="{00000000-0005-0000-0000-0000AD230000}"/>
    <cellStyle name="좋음 14 3" xfId="9261" xr:uid="{00000000-0005-0000-0000-0000AE230000}"/>
    <cellStyle name="좋음 15" xfId="9262" xr:uid="{00000000-0005-0000-0000-0000AF230000}"/>
    <cellStyle name="좋음 15 2" xfId="9263" xr:uid="{00000000-0005-0000-0000-0000B0230000}"/>
    <cellStyle name="좋음 15 3" xfId="9264" xr:uid="{00000000-0005-0000-0000-0000B1230000}"/>
    <cellStyle name="좋음 16" xfId="9265" xr:uid="{00000000-0005-0000-0000-0000B2230000}"/>
    <cellStyle name="좋음 16 2" xfId="9266" xr:uid="{00000000-0005-0000-0000-0000B3230000}"/>
    <cellStyle name="좋음 16 3" xfId="9267" xr:uid="{00000000-0005-0000-0000-0000B4230000}"/>
    <cellStyle name="좋음 17" xfId="9268" xr:uid="{00000000-0005-0000-0000-0000B5230000}"/>
    <cellStyle name="좋음 17 2" xfId="9269" xr:uid="{00000000-0005-0000-0000-0000B6230000}"/>
    <cellStyle name="좋음 17 3" xfId="9270" xr:uid="{00000000-0005-0000-0000-0000B7230000}"/>
    <cellStyle name="좋음 18" xfId="9271" xr:uid="{00000000-0005-0000-0000-0000B8230000}"/>
    <cellStyle name="좋음 18 2" xfId="9272" xr:uid="{00000000-0005-0000-0000-0000B9230000}"/>
    <cellStyle name="좋음 18 3" xfId="9273" xr:uid="{00000000-0005-0000-0000-0000BA230000}"/>
    <cellStyle name="좋음 19" xfId="9274" xr:uid="{00000000-0005-0000-0000-0000BB230000}"/>
    <cellStyle name="좋음 19 2" xfId="9275" xr:uid="{00000000-0005-0000-0000-0000BC230000}"/>
    <cellStyle name="좋음 19 3" xfId="9276" xr:uid="{00000000-0005-0000-0000-0000BD230000}"/>
    <cellStyle name="좋음 2" xfId="9277" xr:uid="{00000000-0005-0000-0000-0000BE230000}"/>
    <cellStyle name="좋음 2 10" xfId="9278" xr:uid="{00000000-0005-0000-0000-0000BF230000}"/>
    <cellStyle name="좋음 2 11" xfId="9279" xr:uid="{00000000-0005-0000-0000-0000C0230000}"/>
    <cellStyle name="좋음 2 12" xfId="9280" xr:uid="{00000000-0005-0000-0000-0000C1230000}"/>
    <cellStyle name="좋음 2 13" xfId="9281" xr:uid="{00000000-0005-0000-0000-0000C2230000}"/>
    <cellStyle name="좋음 2 14" xfId="9282" xr:uid="{00000000-0005-0000-0000-0000C3230000}"/>
    <cellStyle name="좋음 2 15" xfId="9283" xr:uid="{00000000-0005-0000-0000-0000C4230000}"/>
    <cellStyle name="좋음 2 16" xfId="9284" xr:uid="{00000000-0005-0000-0000-0000C5230000}"/>
    <cellStyle name="좋음 2 17" xfId="9285" xr:uid="{00000000-0005-0000-0000-0000C6230000}"/>
    <cellStyle name="좋음 2 18" xfId="9286" xr:uid="{00000000-0005-0000-0000-0000C7230000}"/>
    <cellStyle name="좋음 2 19" xfId="9287" xr:uid="{00000000-0005-0000-0000-0000C8230000}"/>
    <cellStyle name="좋음 2 2" xfId="9288" xr:uid="{00000000-0005-0000-0000-0000C9230000}"/>
    <cellStyle name="좋음 2 20" xfId="9289" xr:uid="{00000000-0005-0000-0000-0000CA230000}"/>
    <cellStyle name="좋음 2 21" xfId="9290" xr:uid="{00000000-0005-0000-0000-0000CB230000}"/>
    <cellStyle name="좋음 2 22" xfId="9291" xr:uid="{00000000-0005-0000-0000-0000CC230000}"/>
    <cellStyle name="좋음 2 23" xfId="9292" xr:uid="{00000000-0005-0000-0000-0000CD230000}"/>
    <cellStyle name="좋음 2 24" xfId="9293" xr:uid="{00000000-0005-0000-0000-0000CE230000}"/>
    <cellStyle name="좋음 2 25" xfId="9294" xr:uid="{00000000-0005-0000-0000-0000CF230000}"/>
    <cellStyle name="좋음 2 26" xfId="9295" xr:uid="{00000000-0005-0000-0000-0000D0230000}"/>
    <cellStyle name="좋음 2 27" xfId="9296" xr:uid="{00000000-0005-0000-0000-0000D1230000}"/>
    <cellStyle name="좋음 2 28" xfId="9297" xr:uid="{00000000-0005-0000-0000-0000D2230000}"/>
    <cellStyle name="좋음 2 29" xfId="9298" xr:uid="{00000000-0005-0000-0000-0000D3230000}"/>
    <cellStyle name="좋음 2 3" xfId="9299" xr:uid="{00000000-0005-0000-0000-0000D4230000}"/>
    <cellStyle name="좋음 2 30" xfId="9300" xr:uid="{00000000-0005-0000-0000-0000D5230000}"/>
    <cellStyle name="좋음 2 31" xfId="9301" xr:uid="{00000000-0005-0000-0000-0000D6230000}"/>
    <cellStyle name="좋음 2 32" xfId="9302" xr:uid="{00000000-0005-0000-0000-0000D7230000}"/>
    <cellStyle name="좋음 2 33" xfId="9303" xr:uid="{00000000-0005-0000-0000-0000D8230000}"/>
    <cellStyle name="좋음 2 34" xfId="9304" xr:uid="{00000000-0005-0000-0000-0000D9230000}"/>
    <cellStyle name="좋음 2 35" xfId="9305" xr:uid="{00000000-0005-0000-0000-0000DA230000}"/>
    <cellStyle name="좋음 2 36" xfId="9306" xr:uid="{00000000-0005-0000-0000-0000DB230000}"/>
    <cellStyle name="좋음 2 37" xfId="9307" xr:uid="{00000000-0005-0000-0000-0000DC230000}"/>
    <cellStyle name="좋음 2 38" xfId="9308" xr:uid="{00000000-0005-0000-0000-0000DD230000}"/>
    <cellStyle name="좋음 2 39" xfId="9309" xr:uid="{00000000-0005-0000-0000-0000DE230000}"/>
    <cellStyle name="좋음 2 4" xfId="9310" xr:uid="{00000000-0005-0000-0000-0000DF230000}"/>
    <cellStyle name="좋음 2 5" xfId="9311" xr:uid="{00000000-0005-0000-0000-0000E0230000}"/>
    <cellStyle name="좋음 2 6" xfId="9312" xr:uid="{00000000-0005-0000-0000-0000E1230000}"/>
    <cellStyle name="좋음 2 7" xfId="9313" xr:uid="{00000000-0005-0000-0000-0000E2230000}"/>
    <cellStyle name="좋음 2 8" xfId="9314" xr:uid="{00000000-0005-0000-0000-0000E3230000}"/>
    <cellStyle name="좋음 2 9" xfId="9315" xr:uid="{00000000-0005-0000-0000-0000E4230000}"/>
    <cellStyle name="좋음 20" xfId="9316" xr:uid="{00000000-0005-0000-0000-0000E5230000}"/>
    <cellStyle name="좋음 21" xfId="9317" xr:uid="{00000000-0005-0000-0000-0000E6230000}"/>
    <cellStyle name="좋음 22" xfId="9318" xr:uid="{00000000-0005-0000-0000-0000E7230000}"/>
    <cellStyle name="좋음 23" xfId="9319" xr:uid="{00000000-0005-0000-0000-0000E8230000}"/>
    <cellStyle name="좋음 24" xfId="9320" xr:uid="{00000000-0005-0000-0000-0000E9230000}"/>
    <cellStyle name="좋음 25" xfId="9321" xr:uid="{00000000-0005-0000-0000-0000EA230000}"/>
    <cellStyle name="좋음 26" xfId="9322" xr:uid="{00000000-0005-0000-0000-0000EB230000}"/>
    <cellStyle name="좋음 27" xfId="9323" xr:uid="{00000000-0005-0000-0000-0000EC230000}"/>
    <cellStyle name="좋음 27 2" xfId="9324" xr:uid="{00000000-0005-0000-0000-0000ED230000}"/>
    <cellStyle name="좋음 28" xfId="9325" xr:uid="{00000000-0005-0000-0000-0000EE230000}"/>
    <cellStyle name="좋음 29" xfId="9326" xr:uid="{00000000-0005-0000-0000-0000EF230000}"/>
    <cellStyle name="좋음 3" xfId="9327" xr:uid="{00000000-0005-0000-0000-0000F0230000}"/>
    <cellStyle name="좋음 3 2" xfId="9328" xr:uid="{00000000-0005-0000-0000-0000F1230000}"/>
    <cellStyle name="좋음 3 3" xfId="9329" xr:uid="{00000000-0005-0000-0000-0000F2230000}"/>
    <cellStyle name="좋음 3 4" xfId="9330" xr:uid="{00000000-0005-0000-0000-0000F3230000}"/>
    <cellStyle name="좋음 30" xfId="9331" xr:uid="{00000000-0005-0000-0000-0000F4230000}"/>
    <cellStyle name="좋음 31" xfId="9332" xr:uid="{00000000-0005-0000-0000-0000F5230000}"/>
    <cellStyle name="좋음 32" xfId="9333" xr:uid="{00000000-0005-0000-0000-0000F6230000}"/>
    <cellStyle name="좋음 33" xfId="9334" xr:uid="{00000000-0005-0000-0000-0000F7230000}"/>
    <cellStyle name="좋음 34" xfId="9335" xr:uid="{00000000-0005-0000-0000-0000F8230000}"/>
    <cellStyle name="좋음 35" xfId="9336" xr:uid="{00000000-0005-0000-0000-0000F9230000}"/>
    <cellStyle name="좋음 36" xfId="9337" xr:uid="{00000000-0005-0000-0000-0000FA230000}"/>
    <cellStyle name="좋음 37" xfId="9338" xr:uid="{00000000-0005-0000-0000-0000FB230000}"/>
    <cellStyle name="좋음 37 2" xfId="9339" xr:uid="{00000000-0005-0000-0000-0000FC230000}"/>
    <cellStyle name="좋음 38" xfId="9340" xr:uid="{00000000-0005-0000-0000-0000FD230000}"/>
    <cellStyle name="좋음 39" xfId="9341" xr:uid="{00000000-0005-0000-0000-0000FE230000}"/>
    <cellStyle name="좋음 4" xfId="9342" xr:uid="{00000000-0005-0000-0000-0000FF230000}"/>
    <cellStyle name="좋음 4 2" xfId="9343" xr:uid="{00000000-0005-0000-0000-000000240000}"/>
    <cellStyle name="좋음 4 3" xfId="9344" xr:uid="{00000000-0005-0000-0000-000001240000}"/>
    <cellStyle name="좋음 4 4" xfId="9345" xr:uid="{00000000-0005-0000-0000-000002240000}"/>
    <cellStyle name="좋음 40" xfId="9346" xr:uid="{00000000-0005-0000-0000-000003240000}"/>
    <cellStyle name="좋음 41" xfId="9347" xr:uid="{00000000-0005-0000-0000-000004240000}"/>
    <cellStyle name="좋음 42" xfId="9348" xr:uid="{00000000-0005-0000-0000-000005240000}"/>
    <cellStyle name="좋음 43" xfId="9349" xr:uid="{00000000-0005-0000-0000-000006240000}"/>
    <cellStyle name="좋음 44" xfId="9350" xr:uid="{00000000-0005-0000-0000-000007240000}"/>
    <cellStyle name="좋음 45" xfId="9351" xr:uid="{00000000-0005-0000-0000-000008240000}"/>
    <cellStyle name="좋음 45 2" xfId="9352" xr:uid="{00000000-0005-0000-0000-000009240000}"/>
    <cellStyle name="좋음 45 3" xfId="9353" xr:uid="{00000000-0005-0000-0000-00000A240000}"/>
    <cellStyle name="좋음 46" xfId="9354" xr:uid="{00000000-0005-0000-0000-00000B240000}"/>
    <cellStyle name="좋음 47" xfId="9355" xr:uid="{00000000-0005-0000-0000-00000C240000}"/>
    <cellStyle name="좋음 48" xfId="9356" xr:uid="{00000000-0005-0000-0000-00000D240000}"/>
    <cellStyle name="좋음 49" xfId="9357" xr:uid="{00000000-0005-0000-0000-00000E240000}"/>
    <cellStyle name="좋음 5" xfId="9358" xr:uid="{00000000-0005-0000-0000-00000F240000}"/>
    <cellStyle name="좋음 5 2" xfId="9359" xr:uid="{00000000-0005-0000-0000-000010240000}"/>
    <cellStyle name="좋음 5 3" xfId="9360" xr:uid="{00000000-0005-0000-0000-000011240000}"/>
    <cellStyle name="좋음 5 4" xfId="9361" xr:uid="{00000000-0005-0000-0000-000012240000}"/>
    <cellStyle name="좋음 50" xfId="9362" xr:uid="{00000000-0005-0000-0000-000013240000}"/>
    <cellStyle name="좋음 51" xfId="9363" xr:uid="{00000000-0005-0000-0000-000014240000}"/>
    <cellStyle name="좋음 52" xfId="9364" xr:uid="{00000000-0005-0000-0000-000015240000}"/>
    <cellStyle name="좋음 53" xfId="9365" xr:uid="{00000000-0005-0000-0000-000016240000}"/>
    <cellStyle name="좋음 54" xfId="9366" xr:uid="{00000000-0005-0000-0000-000017240000}"/>
    <cellStyle name="좋음 55" xfId="9367" xr:uid="{00000000-0005-0000-0000-000018240000}"/>
    <cellStyle name="좋음 6" xfId="9368" xr:uid="{00000000-0005-0000-0000-000019240000}"/>
    <cellStyle name="좋음 6 2" xfId="9369" xr:uid="{00000000-0005-0000-0000-00001A240000}"/>
    <cellStyle name="좋음 6 3" xfId="9370" xr:uid="{00000000-0005-0000-0000-00001B240000}"/>
    <cellStyle name="좋음 6 4" xfId="9371" xr:uid="{00000000-0005-0000-0000-00001C240000}"/>
    <cellStyle name="좋음 7" xfId="9372" xr:uid="{00000000-0005-0000-0000-00001D240000}"/>
    <cellStyle name="좋음 7 2" xfId="9373" xr:uid="{00000000-0005-0000-0000-00001E240000}"/>
    <cellStyle name="좋음 7 3" xfId="9374" xr:uid="{00000000-0005-0000-0000-00001F240000}"/>
    <cellStyle name="좋음 7 4" xfId="9375" xr:uid="{00000000-0005-0000-0000-000020240000}"/>
    <cellStyle name="좋음 8" xfId="9376" xr:uid="{00000000-0005-0000-0000-000021240000}"/>
    <cellStyle name="좋음 9" xfId="9377" xr:uid="{00000000-0005-0000-0000-000022240000}"/>
    <cellStyle name="준_회의소집 (3)산)(2)(2)용 (2) (2)TS_선수금 (2)_선수금 (2)∢≜尢∢≜尢∢≜尢∢≜尢∢≜尢∢≜尢∢≜尢∢≜⑜Ⱓ⌣㬰剛摥≝≜尢∢≜尢∢≜尢∢≜尢∢≜尢∢≜尢∢≜尢∢≜尢∢≜尢∢≜尢∢≜尢∢≜尢∢≜尢∢≜尢∢≜尢∢≜尢∢≜渀置ᄰ" xfId="9378" xr:uid="{00000000-0005-0000-0000-000023240000}"/>
    <cellStyle name="줅" xfId="9379" xr:uid="{00000000-0005-0000-0000-000024240000}"/>
    <cellStyle name="즓㉤㿙㑩贚ꍆ㿡㑩贚ꍆ㿑" xfId="9380" xr:uid="{00000000-0005-0000-0000-000025240000}"/>
    <cellStyle name="증감" xfId="9381" xr:uid="{00000000-0005-0000-0000-000026240000}"/>
    <cellStyle name="지정되지 않음" xfId="9382" xr:uid="{00000000-0005-0000-0000-000027240000}"/>
    <cellStyle name="쨊ㅐ쫨E0]_0899intecosch" xfId="9383" xr:uid="{00000000-0005-0000-0000-000028240000}"/>
    <cellStyle name="쨊ㅐ쫨E0899intecosch" xfId="9384" xr:uid="{00000000-0005-0000-0000-000029240000}"/>
    <cellStyle name="쨊ㅐ쫨E0899M1RP" xfId="9385" xr:uid="{00000000-0005-0000-0000-00002A240000}"/>
    <cellStyle name="쨊ㅐ쫨E1999Year End Provision" xfId="9386" xr:uid="{00000000-0005-0000-0000-00002B240000}"/>
    <cellStyle name="쬘" xfId="9387" xr:uid="{00000000-0005-0000-0000-00002C240000}"/>
    <cellStyle name="钎霖_  辆  钦  " xfId="9388" xr:uid="{00000000-0005-0000-0000-00002D240000}"/>
    <cellStyle name="千分位[0]_COMM" xfId="9389" xr:uid="{00000000-0005-0000-0000-00002E240000}"/>
    <cellStyle name="千分位_COMM" xfId="9390" xr:uid="{00000000-0005-0000-0000-00002F240000}"/>
    <cellStyle name="千位分隔[0]_investee status_alibaba" xfId="9391" xr:uid="{00000000-0005-0000-0000-000030240000}"/>
    <cellStyle name="千位分隔_PERSONAL" xfId="9392" xr:uid="{00000000-0005-0000-0000-000031240000}"/>
    <cellStyle name="쵭" xfId="9393" xr:uid="{00000000-0005-0000-0000-000032240000}"/>
    <cellStyle name="출력 10" xfId="9394" xr:uid="{00000000-0005-0000-0000-000033240000}"/>
    <cellStyle name="출력 11" xfId="9395" xr:uid="{00000000-0005-0000-0000-000034240000}"/>
    <cellStyle name="출력 12" xfId="9396" xr:uid="{00000000-0005-0000-0000-000035240000}"/>
    <cellStyle name="출력 13" xfId="9397" xr:uid="{00000000-0005-0000-0000-000036240000}"/>
    <cellStyle name="출력 14" xfId="9398" xr:uid="{00000000-0005-0000-0000-000037240000}"/>
    <cellStyle name="출력 14 2" xfId="9399" xr:uid="{00000000-0005-0000-0000-000038240000}"/>
    <cellStyle name="출력 14 3" xfId="9400" xr:uid="{00000000-0005-0000-0000-000039240000}"/>
    <cellStyle name="출력 15" xfId="9401" xr:uid="{00000000-0005-0000-0000-00003A240000}"/>
    <cellStyle name="출력 15 2" xfId="9402" xr:uid="{00000000-0005-0000-0000-00003B240000}"/>
    <cellStyle name="출력 15 3" xfId="9403" xr:uid="{00000000-0005-0000-0000-00003C240000}"/>
    <cellStyle name="출력 16" xfId="9404" xr:uid="{00000000-0005-0000-0000-00003D240000}"/>
    <cellStyle name="출력 16 2" xfId="9405" xr:uid="{00000000-0005-0000-0000-00003E240000}"/>
    <cellStyle name="출력 16 3" xfId="9406" xr:uid="{00000000-0005-0000-0000-00003F240000}"/>
    <cellStyle name="출력 17" xfId="9407" xr:uid="{00000000-0005-0000-0000-000040240000}"/>
    <cellStyle name="출력 17 2" xfId="9408" xr:uid="{00000000-0005-0000-0000-000041240000}"/>
    <cellStyle name="출력 17 3" xfId="9409" xr:uid="{00000000-0005-0000-0000-000042240000}"/>
    <cellStyle name="출력 18" xfId="9410" xr:uid="{00000000-0005-0000-0000-000043240000}"/>
    <cellStyle name="출력 18 2" xfId="9411" xr:uid="{00000000-0005-0000-0000-000044240000}"/>
    <cellStyle name="출력 18 3" xfId="9412" xr:uid="{00000000-0005-0000-0000-000045240000}"/>
    <cellStyle name="출력 19" xfId="9413" xr:uid="{00000000-0005-0000-0000-000046240000}"/>
    <cellStyle name="출력 19 2" xfId="9414" xr:uid="{00000000-0005-0000-0000-000047240000}"/>
    <cellStyle name="출력 19 3" xfId="9415" xr:uid="{00000000-0005-0000-0000-000048240000}"/>
    <cellStyle name="출력 2" xfId="9416" xr:uid="{00000000-0005-0000-0000-000049240000}"/>
    <cellStyle name="출력 2 10" xfId="9417" xr:uid="{00000000-0005-0000-0000-00004A240000}"/>
    <cellStyle name="출력 2 11" xfId="9418" xr:uid="{00000000-0005-0000-0000-00004B240000}"/>
    <cellStyle name="출력 2 12" xfId="9419" xr:uid="{00000000-0005-0000-0000-00004C240000}"/>
    <cellStyle name="출력 2 13" xfId="9420" xr:uid="{00000000-0005-0000-0000-00004D240000}"/>
    <cellStyle name="출력 2 14" xfId="9421" xr:uid="{00000000-0005-0000-0000-00004E240000}"/>
    <cellStyle name="출력 2 15" xfId="9422" xr:uid="{00000000-0005-0000-0000-00004F240000}"/>
    <cellStyle name="출력 2 16" xfId="9423" xr:uid="{00000000-0005-0000-0000-000050240000}"/>
    <cellStyle name="출력 2 17" xfId="9424" xr:uid="{00000000-0005-0000-0000-000051240000}"/>
    <cellStyle name="출력 2 18" xfId="9425" xr:uid="{00000000-0005-0000-0000-000052240000}"/>
    <cellStyle name="출력 2 19" xfId="9426" xr:uid="{00000000-0005-0000-0000-000053240000}"/>
    <cellStyle name="출력 2 2" xfId="9427" xr:uid="{00000000-0005-0000-0000-000054240000}"/>
    <cellStyle name="출력 2 20" xfId="9428" xr:uid="{00000000-0005-0000-0000-000055240000}"/>
    <cellStyle name="출력 2 21" xfId="9429" xr:uid="{00000000-0005-0000-0000-000056240000}"/>
    <cellStyle name="출력 2 22" xfId="9430" xr:uid="{00000000-0005-0000-0000-000057240000}"/>
    <cellStyle name="출력 2 23" xfId="9431" xr:uid="{00000000-0005-0000-0000-000058240000}"/>
    <cellStyle name="출력 2 24" xfId="9432" xr:uid="{00000000-0005-0000-0000-000059240000}"/>
    <cellStyle name="출력 2 25" xfId="9433" xr:uid="{00000000-0005-0000-0000-00005A240000}"/>
    <cellStyle name="출력 2 26" xfId="9434" xr:uid="{00000000-0005-0000-0000-00005B240000}"/>
    <cellStyle name="출력 2 27" xfId="9435" xr:uid="{00000000-0005-0000-0000-00005C240000}"/>
    <cellStyle name="출력 2 28" xfId="9436" xr:uid="{00000000-0005-0000-0000-00005D240000}"/>
    <cellStyle name="출력 2 29" xfId="9437" xr:uid="{00000000-0005-0000-0000-00005E240000}"/>
    <cellStyle name="출력 2 3" xfId="9438" xr:uid="{00000000-0005-0000-0000-00005F240000}"/>
    <cellStyle name="출력 2 30" xfId="9439" xr:uid="{00000000-0005-0000-0000-000060240000}"/>
    <cellStyle name="출력 2 31" xfId="9440" xr:uid="{00000000-0005-0000-0000-000061240000}"/>
    <cellStyle name="출력 2 32" xfId="9441" xr:uid="{00000000-0005-0000-0000-000062240000}"/>
    <cellStyle name="출력 2 33" xfId="9442" xr:uid="{00000000-0005-0000-0000-000063240000}"/>
    <cellStyle name="출력 2 34" xfId="9443" xr:uid="{00000000-0005-0000-0000-000064240000}"/>
    <cellStyle name="출력 2 35" xfId="9444" xr:uid="{00000000-0005-0000-0000-000065240000}"/>
    <cellStyle name="출력 2 36" xfId="9445" xr:uid="{00000000-0005-0000-0000-000066240000}"/>
    <cellStyle name="출력 2 37" xfId="9446" xr:uid="{00000000-0005-0000-0000-000067240000}"/>
    <cellStyle name="출력 2 38" xfId="9447" xr:uid="{00000000-0005-0000-0000-000068240000}"/>
    <cellStyle name="출력 2 39" xfId="9448" xr:uid="{00000000-0005-0000-0000-000069240000}"/>
    <cellStyle name="출력 2 4" xfId="9449" xr:uid="{00000000-0005-0000-0000-00006A240000}"/>
    <cellStyle name="출력 2 5" xfId="9450" xr:uid="{00000000-0005-0000-0000-00006B240000}"/>
    <cellStyle name="출력 2 6" xfId="9451" xr:uid="{00000000-0005-0000-0000-00006C240000}"/>
    <cellStyle name="출력 2 7" xfId="9452" xr:uid="{00000000-0005-0000-0000-00006D240000}"/>
    <cellStyle name="출력 2 8" xfId="9453" xr:uid="{00000000-0005-0000-0000-00006E240000}"/>
    <cellStyle name="출력 2 9" xfId="9454" xr:uid="{00000000-0005-0000-0000-00006F240000}"/>
    <cellStyle name="출력 20" xfId="9455" xr:uid="{00000000-0005-0000-0000-000070240000}"/>
    <cellStyle name="출력 21" xfId="9456" xr:uid="{00000000-0005-0000-0000-000071240000}"/>
    <cellStyle name="출력 22" xfId="9457" xr:uid="{00000000-0005-0000-0000-000072240000}"/>
    <cellStyle name="출력 23" xfId="9458" xr:uid="{00000000-0005-0000-0000-000073240000}"/>
    <cellStyle name="출력 24" xfId="9459" xr:uid="{00000000-0005-0000-0000-000074240000}"/>
    <cellStyle name="출력 25" xfId="9460" xr:uid="{00000000-0005-0000-0000-000075240000}"/>
    <cellStyle name="출력 26" xfId="9461" xr:uid="{00000000-0005-0000-0000-000076240000}"/>
    <cellStyle name="출력 27" xfId="9462" xr:uid="{00000000-0005-0000-0000-000077240000}"/>
    <cellStyle name="출력 27 2" xfId="9463" xr:uid="{00000000-0005-0000-0000-000078240000}"/>
    <cellStyle name="출력 28" xfId="9464" xr:uid="{00000000-0005-0000-0000-000079240000}"/>
    <cellStyle name="출력 29" xfId="9465" xr:uid="{00000000-0005-0000-0000-00007A240000}"/>
    <cellStyle name="출력 3" xfId="9466" xr:uid="{00000000-0005-0000-0000-00007B240000}"/>
    <cellStyle name="출력 3 2" xfId="9467" xr:uid="{00000000-0005-0000-0000-00007C240000}"/>
    <cellStyle name="출력 3 3" xfId="9468" xr:uid="{00000000-0005-0000-0000-00007D240000}"/>
    <cellStyle name="출력 3 4" xfId="9469" xr:uid="{00000000-0005-0000-0000-00007E240000}"/>
    <cellStyle name="출력 30" xfId="9470" xr:uid="{00000000-0005-0000-0000-00007F240000}"/>
    <cellStyle name="출력 31" xfId="9471" xr:uid="{00000000-0005-0000-0000-000080240000}"/>
    <cellStyle name="출력 32" xfId="9472" xr:uid="{00000000-0005-0000-0000-000081240000}"/>
    <cellStyle name="출력 33" xfId="9473" xr:uid="{00000000-0005-0000-0000-000082240000}"/>
    <cellStyle name="출력 34" xfId="9474" xr:uid="{00000000-0005-0000-0000-000083240000}"/>
    <cellStyle name="출력 35" xfId="9475" xr:uid="{00000000-0005-0000-0000-000084240000}"/>
    <cellStyle name="출력 36" xfId="9476" xr:uid="{00000000-0005-0000-0000-000085240000}"/>
    <cellStyle name="출력 37" xfId="9477" xr:uid="{00000000-0005-0000-0000-000086240000}"/>
    <cellStyle name="출력 37 2" xfId="9478" xr:uid="{00000000-0005-0000-0000-000087240000}"/>
    <cellStyle name="출력 38" xfId="9479" xr:uid="{00000000-0005-0000-0000-000088240000}"/>
    <cellStyle name="출력 39" xfId="9480" xr:uid="{00000000-0005-0000-0000-000089240000}"/>
    <cellStyle name="출력 4" xfId="9481" xr:uid="{00000000-0005-0000-0000-00008A240000}"/>
    <cellStyle name="출력 4 2" xfId="9482" xr:uid="{00000000-0005-0000-0000-00008B240000}"/>
    <cellStyle name="출력 4 3" xfId="9483" xr:uid="{00000000-0005-0000-0000-00008C240000}"/>
    <cellStyle name="출력 4 4" xfId="9484" xr:uid="{00000000-0005-0000-0000-00008D240000}"/>
    <cellStyle name="출력 40" xfId="9485" xr:uid="{00000000-0005-0000-0000-00008E240000}"/>
    <cellStyle name="출력 41" xfId="9486" xr:uid="{00000000-0005-0000-0000-00008F240000}"/>
    <cellStyle name="출력 42" xfId="9487" xr:uid="{00000000-0005-0000-0000-000090240000}"/>
    <cellStyle name="출력 43" xfId="9488" xr:uid="{00000000-0005-0000-0000-000091240000}"/>
    <cellStyle name="출력 44" xfId="9489" xr:uid="{00000000-0005-0000-0000-000092240000}"/>
    <cellStyle name="출력 45" xfId="9490" xr:uid="{00000000-0005-0000-0000-000093240000}"/>
    <cellStyle name="출력 45 2" xfId="9491" xr:uid="{00000000-0005-0000-0000-000094240000}"/>
    <cellStyle name="출력 45 3" xfId="9492" xr:uid="{00000000-0005-0000-0000-000095240000}"/>
    <cellStyle name="출력 46" xfId="9493" xr:uid="{00000000-0005-0000-0000-000096240000}"/>
    <cellStyle name="출력 47" xfId="9494" xr:uid="{00000000-0005-0000-0000-000097240000}"/>
    <cellStyle name="출력 48" xfId="9495" xr:uid="{00000000-0005-0000-0000-000098240000}"/>
    <cellStyle name="출력 49" xfId="9496" xr:uid="{00000000-0005-0000-0000-000099240000}"/>
    <cellStyle name="출력 5" xfId="9497" xr:uid="{00000000-0005-0000-0000-00009A240000}"/>
    <cellStyle name="출력 5 2" xfId="9498" xr:uid="{00000000-0005-0000-0000-00009B240000}"/>
    <cellStyle name="출력 5 3" xfId="9499" xr:uid="{00000000-0005-0000-0000-00009C240000}"/>
    <cellStyle name="출력 5 4" xfId="9500" xr:uid="{00000000-0005-0000-0000-00009D240000}"/>
    <cellStyle name="출력 50" xfId="9501" xr:uid="{00000000-0005-0000-0000-00009E240000}"/>
    <cellStyle name="출력 51" xfId="9502" xr:uid="{00000000-0005-0000-0000-00009F240000}"/>
    <cellStyle name="출력 52" xfId="9503" xr:uid="{00000000-0005-0000-0000-0000A0240000}"/>
    <cellStyle name="출력 53" xfId="9504" xr:uid="{00000000-0005-0000-0000-0000A1240000}"/>
    <cellStyle name="출력 54" xfId="9505" xr:uid="{00000000-0005-0000-0000-0000A2240000}"/>
    <cellStyle name="출력 55" xfId="9506" xr:uid="{00000000-0005-0000-0000-0000A3240000}"/>
    <cellStyle name="출력 6" xfId="9507" xr:uid="{00000000-0005-0000-0000-0000A4240000}"/>
    <cellStyle name="출력 6 2" xfId="9508" xr:uid="{00000000-0005-0000-0000-0000A5240000}"/>
    <cellStyle name="출력 6 3" xfId="9509" xr:uid="{00000000-0005-0000-0000-0000A6240000}"/>
    <cellStyle name="출력 6 4" xfId="9510" xr:uid="{00000000-0005-0000-0000-0000A7240000}"/>
    <cellStyle name="출력 7" xfId="9511" xr:uid="{00000000-0005-0000-0000-0000A8240000}"/>
    <cellStyle name="출력 7 2" xfId="9512" xr:uid="{00000000-0005-0000-0000-0000A9240000}"/>
    <cellStyle name="출력 7 3" xfId="9513" xr:uid="{00000000-0005-0000-0000-0000AA240000}"/>
    <cellStyle name="출력 7 4" xfId="9514" xr:uid="{00000000-0005-0000-0000-0000AB240000}"/>
    <cellStyle name="출력 8" xfId="9515" xr:uid="{00000000-0005-0000-0000-0000AC240000}"/>
    <cellStyle name="출력 9" xfId="9516" xr:uid="{00000000-0005-0000-0000-0000AD240000}"/>
    <cellStyle name="캅셀" xfId="9517" xr:uid="{00000000-0005-0000-0000-0000AE240000}"/>
    <cellStyle name="코" xfId="9518" xr:uid="{00000000-0005-0000-0000-0000AF240000}"/>
    <cellStyle name="콤? [0]" xfId="9519" xr:uid="{00000000-0005-0000-0000-0000B0240000}"/>
    <cellStyle name="콤? [0] 2" xfId="9520" xr:uid="{00000000-0005-0000-0000-0000B1240000}"/>
    <cellStyle name="콤냡?&lt;_x000f_$??: `1_1 " xfId="9521" xr:uid="{00000000-0005-0000-0000-0000B2240000}"/>
    <cellStyle name="콤냡?&lt;_x000f_$??:_x0009_`1_1" xfId="9522" xr:uid="{00000000-0005-0000-0000-0000B3240000}"/>
    <cellStyle name="콤릈_laroux_2" xfId="9523" xr:uid="{00000000-0005-0000-0000-0000B4240000}"/>
    <cellStyle name="콤마 [0?업전 (2)2) (수)???????L낺" xfId="9524" xr:uid="{00000000-0005-0000-0000-0000B5240000}"/>
    <cellStyle name="콤마 [0]" xfId="9525" xr:uid="{00000000-0005-0000-0000-0000B6240000}"/>
    <cellStyle name="콤마 [0]laroux_1" xfId="9526" xr:uid="{00000000-0005-0000-0000-0000B7240000}"/>
    <cellStyle name="콤마 [0]-총계" xfId="9527" xr:uid="{00000000-0005-0000-0000-0000B8240000}"/>
    <cellStyle name="콤마 [0]-합계" xfId="9528" xr:uid="{00000000-0005-0000-0000-0000B9240000}"/>
    <cellStyle name="콤마 [0]-합계2" xfId="9529" xr:uid="{00000000-0005-0000-0000-0000BA240000}"/>
    <cellStyle name="콤마 [2" xfId="9530" xr:uid="{00000000-0005-0000-0000-0000BB240000}"/>
    <cellStyle name="콤마 [2]" xfId="9531" xr:uid="{00000000-0005-0000-0000-0000BC240000}"/>
    <cellStyle name="콤마,_x0005__x0014_" xfId="9532" xr:uid="{00000000-0005-0000-0000-0000BD240000}"/>
    <cellStyle name="콤마[0]" xfId="9533" xr:uid="{00000000-0005-0000-0000-0000BE240000}"/>
    <cellStyle name="콤마_   " xfId="9534" xr:uid="{00000000-0005-0000-0000-0000BF240000}"/>
    <cellStyle name="콤마쇔[0]_대총괄표 " xfId="9535" xr:uid="{00000000-0005-0000-0000-0000C0240000}"/>
    <cellStyle name="쿯뱐[0]_pldt" xfId="9536" xr:uid="{00000000-0005-0000-0000-0000C1240000}"/>
    <cellStyle name="쿯뱐_0899intecosch" xfId="9537" xr:uid="{00000000-0005-0000-0000-0000C2240000}"/>
    <cellStyle name="쿯퉩E[0]_0899intecosch" xfId="9538" xr:uid="{00000000-0005-0000-0000-0000C3240000}"/>
    <cellStyle name="큰글자" xfId="9539" xr:uid="{00000000-0005-0000-0000-0000C4240000}"/>
    <cellStyle name="턜퀂뎡" xfId="9540" xr:uid="{00000000-0005-0000-0000-0000C5240000}"/>
    <cellStyle name="테두리(실선)" xfId="9541" xr:uid="{00000000-0005-0000-0000-0000C6240000}"/>
    <cellStyle name="통_회사개요" xfId="9542" xr:uid="{00000000-0005-0000-0000-0000C7240000}"/>
    <cellStyle name="통화 " xfId="9543" xr:uid="{00000000-0005-0000-0000-0000C8240000}"/>
    <cellStyle name="통화 ?]_제조1부1과 현황 " xfId="9544" xr:uid="{00000000-0005-0000-0000-0000C9240000}"/>
    <cellStyle name="通貨 [0.00]_LCNEGO" xfId="9545" xr:uid="{00000000-0005-0000-0000-0000CA240000}"/>
    <cellStyle name="통화 [0] 2" xfId="9546" xr:uid="{00000000-0005-0000-0000-0000CB240000}"/>
    <cellStyle name="통화 [0ɝ_laroux_성일개발(주)현금흐름표" xfId="9547" xr:uid="{00000000-0005-0000-0000-0000CC240000}"/>
    <cellStyle name="통화 [0ဠ_Model mix1_원가 " xfId="9548" xr:uid="{00000000-0005-0000-0000-0000CD240000}"/>
    <cellStyle name="통화 [1]" xfId="9549" xr:uid="{00000000-0005-0000-0000-0000CE240000}"/>
    <cellStyle name="通貨_LCNEGO" xfId="9550" xr:uid="{00000000-0005-0000-0000-0000CF240000}"/>
    <cellStyle name="튡" xfId="9551" xr:uid="{00000000-0005-0000-0000-0000D0240000}"/>
    <cellStyle name="트럭" xfId="9552" xr:uid="{00000000-0005-0000-0000-0000D1240000}"/>
    <cellStyle name="ㅍ준" xfId="9553" xr:uid="{00000000-0005-0000-0000-0000D2240000}"/>
    <cellStyle name="烹拳 [0]_  辆  钦  " xfId="9554" xr:uid="{00000000-0005-0000-0000-0000D3240000}"/>
    <cellStyle name="烹拳_  辆  钦  " xfId="9555" xr:uid="{00000000-0005-0000-0000-0000D4240000}"/>
    <cellStyle name="퍼센트" xfId="9556" xr:uid="{00000000-0005-0000-0000-0000D5240000}"/>
    <cellStyle name="퍼센트 2" xfId="9557" xr:uid="{00000000-0005-0000-0000-0000D6240000}"/>
    <cellStyle name="표구분" xfId="9558" xr:uid="{00000000-0005-0000-0000-0000D7240000}"/>
    <cellStyle name="表示済みのハイパーリンク" xfId="9559" xr:uid="{00000000-0005-0000-0000-0000D8240000}"/>
    <cellStyle name="표준" xfId="0" builtinId="0"/>
    <cellStyle name="표준 10" xfId="21" xr:uid="{00000000-0005-0000-0000-0000DA240000}"/>
    <cellStyle name="표준 10 2" xfId="78" xr:uid="{00000000-0005-0000-0000-0000DB240000}"/>
    <cellStyle name="표준 10 2 2" xfId="9561" xr:uid="{00000000-0005-0000-0000-0000DC240000}"/>
    <cellStyle name="표준 10 3" xfId="129" xr:uid="{00000000-0005-0000-0000-0000DD240000}"/>
    <cellStyle name="표준 10 3 2" xfId="9562" xr:uid="{00000000-0005-0000-0000-0000DE240000}"/>
    <cellStyle name="표준 10 4" xfId="9560" xr:uid="{00000000-0005-0000-0000-0000DF240000}"/>
    <cellStyle name="표준 11" xfId="22" xr:uid="{00000000-0005-0000-0000-0000E0240000}"/>
    <cellStyle name="표준 11 2" xfId="79" xr:uid="{00000000-0005-0000-0000-0000E1240000}"/>
    <cellStyle name="표준 11 2 2" xfId="9564" xr:uid="{00000000-0005-0000-0000-0000E2240000}"/>
    <cellStyle name="표준 11 3" xfId="130" xr:uid="{00000000-0005-0000-0000-0000E3240000}"/>
    <cellStyle name="표준 11 4" xfId="9563" xr:uid="{00000000-0005-0000-0000-0000E4240000}"/>
    <cellStyle name="표준 12" xfId="23" xr:uid="{00000000-0005-0000-0000-0000E5240000}"/>
    <cellStyle name="표준 12 2" xfId="80" xr:uid="{00000000-0005-0000-0000-0000E6240000}"/>
    <cellStyle name="표준 12 2 2" xfId="9566" xr:uid="{00000000-0005-0000-0000-0000E7240000}"/>
    <cellStyle name="표준 12 3" xfId="131" xr:uid="{00000000-0005-0000-0000-0000E8240000}"/>
    <cellStyle name="표준 12 4" xfId="9565" xr:uid="{00000000-0005-0000-0000-0000E9240000}"/>
    <cellStyle name="표준 13" xfId="24" xr:uid="{00000000-0005-0000-0000-0000EA240000}"/>
    <cellStyle name="표준 13 2" xfId="81" xr:uid="{00000000-0005-0000-0000-0000EB240000}"/>
    <cellStyle name="표준 13 2 2" xfId="9568" xr:uid="{00000000-0005-0000-0000-0000EC240000}"/>
    <cellStyle name="표준 13 3" xfId="132" xr:uid="{00000000-0005-0000-0000-0000ED240000}"/>
    <cellStyle name="표준 13 4" xfId="9567" xr:uid="{00000000-0005-0000-0000-0000EE240000}"/>
    <cellStyle name="표준 14" xfId="25" xr:uid="{00000000-0005-0000-0000-0000EF240000}"/>
    <cellStyle name="표준 14 2" xfId="82" xr:uid="{00000000-0005-0000-0000-0000F0240000}"/>
    <cellStyle name="표준 14 2 2" xfId="9570" xr:uid="{00000000-0005-0000-0000-0000F1240000}"/>
    <cellStyle name="표준 14 3" xfId="133" xr:uid="{00000000-0005-0000-0000-0000F2240000}"/>
    <cellStyle name="표준 14 3 2" xfId="9571" xr:uid="{00000000-0005-0000-0000-0000F3240000}"/>
    <cellStyle name="표준 14 4" xfId="9569" xr:uid="{00000000-0005-0000-0000-0000F4240000}"/>
    <cellStyle name="표준 15" xfId="26" xr:uid="{00000000-0005-0000-0000-0000F5240000}"/>
    <cellStyle name="표준 15 2" xfId="83" xr:uid="{00000000-0005-0000-0000-0000F6240000}"/>
    <cellStyle name="표준 15 2 2" xfId="9573" xr:uid="{00000000-0005-0000-0000-0000F7240000}"/>
    <cellStyle name="표준 15 3" xfId="134" xr:uid="{00000000-0005-0000-0000-0000F8240000}"/>
    <cellStyle name="표준 15 3 2" xfId="9574" xr:uid="{00000000-0005-0000-0000-0000F9240000}"/>
    <cellStyle name="표준 15 4" xfId="9575" xr:uid="{00000000-0005-0000-0000-0000FA240000}"/>
    <cellStyle name="표준 15 5" xfId="9576" xr:uid="{00000000-0005-0000-0000-0000FB240000}"/>
    <cellStyle name="표준 15 6" xfId="9572" xr:uid="{00000000-0005-0000-0000-0000FC240000}"/>
    <cellStyle name="표준 16" xfId="27" xr:uid="{00000000-0005-0000-0000-0000FD240000}"/>
    <cellStyle name="표준 16 2" xfId="84" xr:uid="{00000000-0005-0000-0000-0000FE240000}"/>
    <cellStyle name="표준 16 2 2" xfId="9578" xr:uid="{00000000-0005-0000-0000-0000FF240000}"/>
    <cellStyle name="표준 16 3" xfId="135" xr:uid="{00000000-0005-0000-0000-000000250000}"/>
    <cellStyle name="표준 16 3 2" xfId="9579" xr:uid="{00000000-0005-0000-0000-000001250000}"/>
    <cellStyle name="표준 16 4" xfId="9577" xr:uid="{00000000-0005-0000-0000-000002250000}"/>
    <cellStyle name="표준 17" xfId="28" xr:uid="{00000000-0005-0000-0000-000003250000}"/>
    <cellStyle name="표준 17 2" xfId="85" xr:uid="{00000000-0005-0000-0000-000004250000}"/>
    <cellStyle name="표준 17 2 2" xfId="9581" xr:uid="{00000000-0005-0000-0000-000005250000}"/>
    <cellStyle name="표준 17 3" xfId="136" xr:uid="{00000000-0005-0000-0000-000006250000}"/>
    <cellStyle name="표준 17 3 2" xfId="9582" xr:uid="{00000000-0005-0000-0000-000007250000}"/>
    <cellStyle name="표준 17 4" xfId="9583" xr:uid="{00000000-0005-0000-0000-000008250000}"/>
    <cellStyle name="표준 17 4 2" xfId="9584" xr:uid="{00000000-0005-0000-0000-000009250000}"/>
    <cellStyle name="표준 17 4 3" xfId="9585" xr:uid="{00000000-0005-0000-0000-00000A250000}"/>
    <cellStyle name="표준 17 5" xfId="9586" xr:uid="{00000000-0005-0000-0000-00000B250000}"/>
    <cellStyle name="표준 17 6" xfId="9587" xr:uid="{00000000-0005-0000-0000-00000C250000}"/>
    <cellStyle name="표준 17 6 2" xfId="10045" xr:uid="{00000000-0005-0000-0000-00000D250000}"/>
    <cellStyle name="표준 17 7" xfId="9580" xr:uid="{00000000-0005-0000-0000-00000E250000}"/>
    <cellStyle name="표준 18" xfId="29" xr:uid="{00000000-0005-0000-0000-00000F250000}"/>
    <cellStyle name="표준 18 2" xfId="86" xr:uid="{00000000-0005-0000-0000-000010250000}"/>
    <cellStyle name="표준 18 2 2" xfId="9589" xr:uid="{00000000-0005-0000-0000-000011250000}"/>
    <cellStyle name="표준 18 3" xfId="137" xr:uid="{00000000-0005-0000-0000-000012250000}"/>
    <cellStyle name="표준 18 4" xfId="9588" xr:uid="{00000000-0005-0000-0000-000013250000}"/>
    <cellStyle name="표준 19" xfId="30" xr:uid="{00000000-0005-0000-0000-000014250000}"/>
    <cellStyle name="표준 19 2" xfId="87" xr:uid="{00000000-0005-0000-0000-000015250000}"/>
    <cellStyle name="표준 19 2 2" xfId="9591" xr:uid="{00000000-0005-0000-0000-000016250000}"/>
    <cellStyle name="표준 19 3" xfId="138" xr:uid="{00000000-0005-0000-0000-000017250000}"/>
    <cellStyle name="표준 19 3 2" xfId="9592" xr:uid="{00000000-0005-0000-0000-000018250000}"/>
    <cellStyle name="표준 19 3 3" xfId="10059" xr:uid="{00000000-0005-0000-0000-000019250000}"/>
    <cellStyle name="표준 19 4" xfId="9590" xr:uid="{00000000-0005-0000-0000-00001A250000}"/>
    <cellStyle name="표준 2" xfId="5" xr:uid="{00000000-0005-0000-0000-00001B250000}"/>
    <cellStyle name="標準 2" xfId="10048" xr:uid="{00000000-0005-0000-0000-00001C250000}"/>
    <cellStyle name="표준 2 10" xfId="9594" xr:uid="{00000000-0005-0000-0000-00001D250000}"/>
    <cellStyle name="표준 2 10 2" xfId="9595" xr:uid="{00000000-0005-0000-0000-00001E250000}"/>
    <cellStyle name="표준 2 10 3" xfId="10038" xr:uid="{00000000-0005-0000-0000-00001F250000}"/>
    <cellStyle name="표준 2 100" xfId="116" xr:uid="{00000000-0005-0000-0000-000020250000}"/>
    <cellStyle name="표준 2 11" xfId="9596" xr:uid="{00000000-0005-0000-0000-000021250000}"/>
    <cellStyle name="표준 2 11 2" xfId="9597" xr:uid="{00000000-0005-0000-0000-000022250000}"/>
    <cellStyle name="표준 2 11 3" xfId="9598" xr:uid="{00000000-0005-0000-0000-000023250000}"/>
    <cellStyle name="표준 2 11 4" xfId="9599" xr:uid="{00000000-0005-0000-0000-000024250000}"/>
    <cellStyle name="표준 2 11 5" xfId="9600" xr:uid="{00000000-0005-0000-0000-000025250000}"/>
    <cellStyle name="표준 2 11 6" xfId="9601" xr:uid="{00000000-0005-0000-0000-000026250000}"/>
    <cellStyle name="표준 2 11 7" xfId="9602" xr:uid="{00000000-0005-0000-0000-000027250000}"/>
    <cellStyle name="표준 2 12" xfId="9603" xr:uid="{00000000-0005-0000-0000-000028250000}"/>
    <cellStyle name="표준 2 13" xfId="9604" xr:uid="{00000000-0005-0000-0000-000029250000}"/>
    <cellStyle name="표준 2 13 2" xfId="9605" xr:uid="{00000000-0005-0000-0000-00002A250000}"/>
    <cellStyle name="표준 2 14" xfId="9606" xr:uid="{00000000-0005-0000-0000-00002B250000}"/>
    <cellStyle name="표준 2 14 2" xfId="9607" xr:uid="{00000000-0005-0000-0000-00002C250000}"/>
    <cellStyle name="표준 2 15" xfId="9608" xr:uid="{00000000-0005-0000-0000-00002D250000}"/>
    <cellStyle name="표준 2 15 2" xfId="9609" xr:uid="{00000000-0005-0000-0000-00002E250000}"/>
    <cellStyle name="표준 2 16" xfId="9610" xr:uid="{00000000-0005-0000-0000-00002F250000}"/>
    <cellStyle name="표준 2 16 2" xfId="9611" xr:uid="{00000000-0005-0000-0000-000030250000}"/>
    <cellStyle name="표준 2 17" xfId="9612" xr:uid="{00000000-0005-0000-0000-000031250000}"/>
    <cellStyle name="표준 2 17 2" xfId="9613" xr:uid="{00000000-0005-0000-0000-000032250000}"/>
    <cellStyle name="표준 2 18" xfId="9614" xr:uid="{00000000-0005-0000-0000-000033250000}"/>
    <cellStyle name="표준 2 18 2" xfId="9615" xr:uid="{00000000-0005-0000-0000-000034250000}"/>
    <cellStyle name="표준 2 18 3" xfId="10043" xr:uid="{00000000-0005-0000-0000-000035250000}"/>
    <cellStyle name="표준 2 19" xfId="9616" xr:uid="{00000000-0005-0000-0000-000036250000}"/>
    <cellStyle name="표준 2 19 2" xfId="9617" xr:uid="{00000000-0005-0000-0000-000037250000}"/>
    <cellStyle name="표준 2 2" xfId="11" xr:uid="{00000000-0005-0000-0000-000038250000}"/>
    <cellStyle name="표준 2 2 10" xfId="9619" xr:uid="{00000000-0005-0000-0000-000039250000}"/>
    <cellStyle name="표준 2 2 11" xfId="9620" xr:uid="{00000000-0005-0000-0000-00003A250000}"/>
    <cellStyle name="표준 2 2 11 2" xfId="9621" xr:uid="{00000000-0005-0000-0000-00003B250000}"/>
    <cellStyle name="표준 2 2 12" xfId="9622" xr:uid="{00000000-0005-0000-0000-00003C250000}"/>
    <cellStyle name="표준 2 2 13" xfId="9623" xr:uid="{00000000-0005-0000-0000-00003D250000}"/>
    <cellStyle name="표준 2 2 14" xfId="9624" xr:uid="{00000000-0005-0000-0000-00003E250000}"/>
    <cellStyle name="표준 2 2 15" xfId="9625" xr:uid="{00000000-0005-0000-0000-00003F250000}"/>
    <cellStyle name="표준 2 2 16" xfId="9626" xr:uid="{00000000-0005-0000-0000-000040250000}"/>
    <cellStyle name="표준 2 2 17" xfId="9627" xr:uid="{00000000-0005-0000-0000-000041250000}"/>
    <cellStyle name="표준 2 2 18" xfId="9628" xr:uid="{00000000-0005-0000-0000-000042250000}"/>
    <cellStyle name="표준 2 2 18 2" xfId="9629" xr:uid="{00000000-0005-0000-0000-000043250000}"/>
    <cellStyle name="표준 2 2 19" xfId="9630" xr:uid="{00000000-0005-0000-0000-000044250000}"/>
    <cellStyle name="표준 2 2 2" xfId="9631" xr:uid="{00000000-0005-0000-0000-000045250000}"/>
    <cellStyle name="표준 2 2 2 10" xfId="9632" xr:uid="{00000000-0005-0000-0000-000046250000}"/>
    <cellStyle name="표준 2 2 2 11" xfId="9633" xr:uid="{00000000-0005-0000-0000-000047250000}"/>
    <cellStyle name="표준 2 2 2 11 2" xfId="9634" xr:uid="{00000000-0005-0000-0000-000048250000}"/>
    <cellStyle name="표준 2 2 2 12" xfId="9635" xr:uid="{00000000-0005-0000-0000-000049250000}"/>
    <cellStyle name="표준 2 2 2 13" xfId="9636" xr:uid="{00000000-0005-0000-0000-00004A250000}"/>
    <cellStyle name="표준 2 2 2 14" xfId="9637" xr:uid="{00000000-0005-0000-0000-00004B250000}"/>
    <cellStyle name="표준 2 2 2 15" xfId="9638" xr:uid="{00000000-0005-0000-0000-00004C250000}"/>
    <cellStyle name="표준 2 2 2 16" xfId="9639" xr:uid="{00000000-0005-0000-0000-00004D250000}"/>
    <cellStyle name="표준 2 2 2 17" xfId="9640" xr:uid="{00000000-0005-0000-0000-00004E250000}"/>
    <cellStyle name="표준 2 2 2 18" xfId="9641" xr:uid="{00000000-0005-0000-0000-00004F250000}"/>
    <cellStyle name="표준 2 2 2 18 2" xfId="9642" xr:uid="{00000000-0005-0000-0000-000050250000}"/>
    <cellStyle name="표준 2 2 2 19" xfId="9643" xr:uid="{00000000-0005-0000-0000-000051250000}"/>
    <cellStyle name="표준 2 2 2 2" xfId="9644" xr:uid="{00000000-0005-0000-0000-000052250000}"/>
    <cellStyle name="표준 2 2 2 2 10" xfId="9645" xr:uid="{00000000-0005-0000-0000-000053250000}"/>
    <cellStyle name="표준 2 2 2 2 10 2" xfId="9646" xr:uid="{00000000-0005-0000-0000-000054250000}"/>
    <cellStyle name="표준 2 2 2 2 11" xfId="9647" xr:uid="{00000000-0005-0000-0000-000055250000}"/>
    <cellStyle name="표준 2 2 2 2 12" xfId="9648" xr:uid="{00000000-0005-0000-0000-000056250000}"/>
    <cellStyle name="표준 2 2 2 2 13" xfId="9649" xr:uid="{00000000-0005-0000-0000-000057250000}"/>
    <cellStyle name="표준 2 2 2 2 14" xfId="9650" xr:uid="{00000000-0005-0000-0000-000058250000}"/>
    <cellStyle name="표준 2 2 2 2 15" xfId="9651" xr:uid="{00000000-0005-0000-0000-000059250000}"/>
    <cellStyle name="표준 2 2 2 2 16" xfId="9652" xr:uid="{00000000-0005-0000-0000-00005A250000}"/>
    <cellStyle name="표준 2 2 2 2 17" xfId="9653" xr:uid="{00000000-0005-0000-0000-00005B250000}"/>
    <cellStyle name="표준 2 2 2 2 17 2" xfId="9654" xr:uid="{00000000-0005-0000-0000-00005C250000}"/>
    <cellStyle name="표준 2 2 2 2 17 3" xfId="9655" xr:uid="{00000000-0005-0000-0000-00005D250000}"/>
    <cellStyle name="표준 2 2 2 2 18" xfId="9656" xr:uid="{00000000-0005-0000-0000-00005E250000}"/>
    <cellStyle name="표준 2 2 2 2 19" xfId="9657" xr:uid="{00000000-0005-0000-0000-00005F250000}"/>
    <cellStyle name="표준 2 2 2 2 2" xfId="9658" xr:uid="{00000000-0005-0000-0000-000060250000}"/>
    <cellStyle name="표준 2 2 2 2 2 10" xfId="9659" xr:uid="{00000000-0005-0000-0000-000061250000}"/>
    <cellStyle name="표준 2 2 2 2 2 10 2" xfId="9660" xr:uid="{00000000-0005-0000-0000-000062250000}"/>
    <cellStyle name="표준 2 2 2 2 2 11" xfId="9661" xr:uid="{00000000-0005-0000-0000-000063250000}"/>
    <cellStyle name="표준 2 2 2 2 2 12" xfId="9662" xr:uid="{00000000-0005-0000-0000-000064250000}"/>
    <cellStyle name="표준 2 2 2 2 2 13" xfId="9663" xr:uid="{00000000-0005-0000-0000-000065250000}"/>
    <cellStyle name="표준 2 2 2 2 2 14" xfId="9664" xr:uid="{00000000-0005-0000-0000-000066250000}"/>
    <cellStyle name="표준 2 2 2 2 2 15" xfId="9665" xr:uid="{00000000-0005-0000-0000-000067250000}"/>
    <cellStyle name="표준 2 2 2 2 2 16" xfId="9666" xr:uid="{00000000-0005-0000-0000-000068250000}"/>
    <cellStyle name="표준 2 2 2 2 2 17" xfId="9667" xr:uid="{00000000-0005-0000-0000-000069250000}"/>
    <cellStyle name="표준 2 2 2 2 2 17 2" xfId="9668" xr:uid="{00000000-0005-0000-0000-00006A250000}"/>
    <cellStyle name="표준 2 2 2 2 2 17 3" xfId="9669" xr:uid="{00000000-0005-0000-0000-00006B250000}"/>
    <cellStyle name="표준 2 2 2 2 2 18" xfId="9670" xr:uid="{00000000-0005-0000-0000-00006C250000}"/>
    <cellStyle name="표준 2 2 2 2 2 19" xfId="9671" xr:uid="{00000000-0005-0000-0000-00006D250000}"/>
    <cellStyle name="표준 2 2 2 2 2 2" xfId="9672" xr:uid="{00000000-0005-0000-0000-00006E250000}"/>
    <cellStyle name="표준 2 2 2 2 2 2 10" xfId="9673" xr:uid="{00000000-0005-0000-0000-00006F250000}"/>
    <cellStyle name="표준 2 2 2 2 2 2 10 2" xfId="9674" xr:uid="{00000000-0005-0000-0000-000070250000}"/>
    <cellStyle name="표준 2 2 2 2 2 2 10 3" xfId="9675" xr:uid="{00000000-0005-0000-0000-000071250000}"/>
    <cellStyle name="표준 2 2 2 2 2 2 11" xfId="9676" xr:uid="{00000000-0005-0000-0000-000072250000}"/>
    <cellStyle name="표준 2 2 2 2 2 2 12" xfId="9677" xr:uid="{00000000-0005-0000-0000-000073250000}"/>
    <cellStyle name="표준 2 2 2 2 2 2 13" xfId="9678" xr:uid="{00000000-0005-0000-0000-000074250000}"/>
    <cellStyle name="표준 2 2 2 2 2 2 14" xfId="9679" xr:uid="{00000000-0005-0000-0000-000075250000}"/>
    <cellStyle name="표준 2 2 2 2 2 2 15" xfId="9680" xr:uid="{00000000-0005-0000-0000-000076250000}"/>
    <cellStyle name="표준 2 2 2 2 2 2 16" xfId="9681" xr:uid="{00000000-0005-0000-0000-000077250000}"/>
    <cellStyle name="표준 2 2 2 2 2 2 17" xfId="9682" xr:uid="{00000000-0005-0000-0000-000078250000}"/>
    <cellStyle name="표준 2 2 2 2 2 2 18" xfId="9683" xr:uid="{00000000-0005-0000-0000-000079250000}"/>
    <cellStyle name="표준 2 2 2 2 2 2 2" xfId="9684" xr:uid="{00000000-0005-0000-0000-00007A250000}"/>
    <cellStyle name="표준 2 2 2 2 2 2 2 10" xfId="9685" xr:uid="{00000000-0005-0000-0000-00007B250000}"/>
    <cellStyle name="표준 2 2 2 2 2 2 2 10 2" xfId="9686" xr:uid="{00000000-0005-0000-0000-00007C250000}"/>
    <cellStyle name="표준 2 2 2 2 2 2 2 10 3" xfId="9687" xr:uid="{00000000-0005-0000-0000-00007D250000}"/>
    <cellStyle name="표준 2 2 2 2 2 2 2 11" xfId="9688" xr:uid="{00000000-0005-0000-0000-00007E250000}"/>
    <cellStyle name="표준 2 2 2 2 2 2 2 12" xfId="9689" xr:uid="{00000000-0005-0000-0000-00007F250000}"/>
    <cellStyle name="표준 2 2 2 2 2 2 2 13" xfId="9690" xr:uid="{00000000-0005-0000-0000-000080250000}"/>
    <cellStyle name="표준 2 2 2 2 2 2 2 14" xfId="9691" xr:uid="{00000000-0005-0000-0000-000081250000}"/>
    <cellStyle name="표준 2 2 2 2 2 2 2 15" xfId="9692" xr:uid="{00000000-0005-0000-0000-000082250000}"/>
    <cellStyle name="표준 2 2 2 2 2 2 2 16" xfId="9693" xr:uid="{00000000-0005-0000-0000-000083250000}"/>
    <cellStyle name="표준 2 2 2 2 2 2 2 17" xfId="9694" xr:uid="{00000000-0005-0000-0000-000084250000}"/>
    <cellStyle name="표준 2 2 2 2 2 2 2 18" xfId="9695" xr:uid="{00000000-0005-0000-0000-000085250000}"/>
    <cellStyle name="표준 2 2 2 2 2 2 2 2" xfId="9696" xr:uid="{00000000-0005-0000-0000-000086250000}"/>
    <cellStyle name="표준 2 2 2 2 2 2 2 2 10" xfId="9697" xr:uid="{00000000-0005-0000-0000-000087250000}"/>
    <cellStyle name="표준 2 2 2 2 2 2 2 2 11" xfId="9698" xr:uid="{00000000-0005-0000-0000-000088250000}"/>
    <cellStyle name="표준 2 2 2 2 2 2 2 2 2" xfId="9699" xr:uid="{00000000-0005-0000-0000-000089250000}"/>
    <cellStyle name="표준 2 2 2 2 2 2 2 2 2 10" xfId="9700" xr:uid="{00000000-0005-0000-0000-00008A250000}"/>
    <cellStyle name="표준 2 2 2 2 2 2 2 2 2 11" xfId="9701" xr:uid="{00000000-0005-0000-0000-00008B250000}"/>
    <cellStyle name="표준 2 2 2 2 2 2 2 2 2 2" xfId="9702" xr:uid="{00000000-0005-0000-0000-00008C250000}"/>
    <cellStyle name="표준 2 2 2 2 2 2 2 2 2 2 2" xfId="9703" xr:uid="{00000000-0005-0000-0000-00008D250000}"/>
    <cellStyle name="표준 2 2 2 2 2 2 2 2 2 2 3" xfId="9704" xr:uid="{00000000-0005-0000-0000-00008E250000}"/>
    <cellStyle name="표준 2 2 2 2 2 2 2 2 2 3" xfId="9705" xr:uid="{00000000-0005-0000-0000-00008F250000}"/>
    <cellStyle name="표준 2 2 2 2 2 2 2 2 2 4" xfId="9706" xr:uid="{00000000-0005-0000-0000-000090250000}"/>
    <cellStyle name="표준 2 2 2 2 2 2 2 2 2 5" xfId="9707" xr:uid="{00000000-0005-0000-0000-000091250000}"/>
    <cellStyle name="표준 2 2 2 2 2 2 2 2 2 6" xfId="9708" xr:uid="{00000000-0005-0000-0000-000092250000}"/>
    <cellStyle name="표준 2 2 2 2 2 2 2 2 2 7" xfId="9709" xr:uid="{00000000-0005-0000-0000-000093250000}"/>
    <cellStyle name="표준 2 2 2 2 2 2 2 2 2 8" xfId="9710" xr:uid="{00000000-0005-0000-0000-000094250000}"/>
    <cellStyle name="표준 2 2 2 2 2 2 2 2 2 9" xfId="9711" xr:uid="{00000000-0005-0000-0000-000095250000}"/>
    <cellStyle name="표준 2 2 2 2 2 2 2 2 3" xfId="9712" xr:uid="{00000000-0005-0000-0000-000096250000}"/>
    <cellStyle name="표준 2 2 2 2 2 2 2 2 3 2" xfId="9713" xr:uid="{00000000-0005-0000-0000-000097250000}"/>
    <cellStyle name="표준 2 2 2 2 2 2 2 2 3 3" xfId="9714" xr:uid="{00000000-0005-0000-0000-000098250000}"/>
    <cellStyle name="표준 2 2 2 2 2 2 2 2 4" xfId="9715" xr:uid="{00000000-0005-0000-0000-000099250000}"/>
    <cellStyle name="표준 2 2 2 2 2 2 2 2 5" xfId="9716" xr:uid="{00000000-0005-0000-0000-00009A250000}"/>
    <cellStyle name="표준 2 2 2 2 2 2 2 2 6" xfId="9717" xr:uid="{00000000-0005-0000-0000-00009B250000}"/>
    <cellStyle name="표준 2 2 2 2 2 2 2 2 7" xfId="9718" xr:uid="{00000000-0005-0000-0000-00009C250000}"/>
    <cellStyle name="표준 2 2 2 2 2 2 2 2 8" xfId="9719" xr:uid="{00000000-0005-0000-0000-00009D250000}"/>
    <cellStyle name="표준 2 2 2 2 2 2 2 2 9" xfId="9720" xr:uid="{00000000-0005-0000-0000-00009E250000}"/>
    <cellStyle name="표준 2 2 2 2 2 2 2 3" xfId="9721" xr:uid="{00000000-0005-0000-0000-00009F250000}"/>
    <cellStyle name="표준 2 2 2 2 2 2 2 4" xfId="9722" xr:uid="{00000000-0005-0000-0000-0000A0250000}"/>
    <cellStyle name="표준 2 2 2 2 2 2 2 5" xfId="9723" xr:uid="{00000000-0005-0000-0000-0000A1250000}"/>
    <cellStyle name="표준 2 2 2 2 2 2 2 6" xfId="9724" xr:uid="{00000000-0005-0000-0000-0000A2250000}"/>
    <cellStyle name="표준 2 2 2 2 2 2 2 7" xfId="9725" xr:uid="{00000000-0005-0000-0000-0000A3250000}"/>
    <cellStyle name="표준 2 2 2 2 2 2 2 8" xfId="9726" xr:uid="{00000000-0005-0000-0000-0000A4250000}"/>
    <cellStyle name="표준 2 2 2 2 2 2 2 9" xfId="9727" xr:uid="{00000000-0005-0000-0000-0000A5250000}"/>
    <cellStyle name="표준 2 2 2 2 2 2 3" xfId="9728" xr:uid="{00000000-0005-0000-0000-0000A6250000}"/>
    <cellStyle name="표준 2 2 2 2 2 2 3 2" xfId="9729" xr:uid="{00000000-0005-0000-0000-0000A7250000}"/>
    <cellStyle name="표준 2 2 2 2 2 2 4" xfId="9730" xr:uid="{00000000-0005-0000-0000-0000A8250000}"/>
    <cellStyle name="표준 2 2 2 2 2 2 5" xfId="9731" xr:uid="{00000000-0005-0000-0000-0000A9250000}"/>
    <cellStyle name="표준 2 2 2 2 2 2 6" xfId="9732" xr:uid="{00000000-0005-0000-0000-0000AA250000}"/>
    <cellStyle name="표준 2 2 2 2 2 2 7" xfId="9733" xr:uid="{00000000-0005-0000-0000-0000AB250000}"/>
    <cellStyle name="표준 2 2 2 2 2 2 8" xfId="9734" xr:uid="{00000000-0005-0000-0000-0000AC250000}"/>
    <cellStyle name="표준 2 2 2 2 2 2 9" xfId="9735" xr:uid="{00000000-0005-0000-0000-0000AD250000}"/>
    <cellStyle name="표준 2 2 2 2 2 20" xfId="9736" xr:uid="{00000000-0005-0000-0000-0000AE250000}"/>
    <cellStyle name="표준 2 2 2 2 2 21" xfId="9737" xr:uid="{00000000-0005-0000-0000-0000AF250000}"/>
    <cellStyle name="표준 2 2 2 2 2 22" xfId="9738" xr:uid="{00000000-0005-0000-0000-0000B0250000}"/>
    <cellStyle name="표준 2 2 2 2 2 23" xfId="9739" xr:uid="{00000000-0005-0000-0000-0000B1250000}"/>
    <cellStyle name="표준 2 2 2 2 2 24" xfId="9740" xr:uid="{00000000-0005-0000-0000-0000B2250000}"/>
    <cellStyle name="표준 2 2 2 2 2 25" xfId="9741" xr:uid="{00000000-0005-0000-0000-0000B3250000}"/>
    <cellStyle name="표준 2 2 2 2 2 3" xfId="9742" xr:uid="{00000000-0005-0000-0000-0000B4250000}"/>
    <cellStyle name="표준 2 2 2 2 2 4" xfId="9743" xr:uid="{00000000-0005-0000-0000-0000B5250000}"/>
    <cellStyle name="표준 2 2 2 2 2 5" xfId="9744" xr:uid="{00000000-0005-0000-0000-0000B6250000}"/>
    <cellStyle name="표준 2 2 2 2 2 6" xfId="9745" xr:uid="{00000000-0005-0000-0000-0000B7250000}"/>
    <cellStyle name="표준 2 2 2 2 2 7" xfId="9746" xr:uid="{00000000-0005-0000-0000-0000B8250000}"/>
    <cellStyle name="표준 2 2 2 2 2 8" xfId="9747" xr:uid="{00000000-0005-0000-0000-0000B9250000}"/>
    <cellStyle name="표준 2 2 2 2 2 9" xfId="9748" xr:uid="{00000000-0005-0000-0000-0000BA250000}"/>
    <cellStyle name="표준 2 2 2 2 20" xfId="9749" xr:uid="{00000000-0005-0000-0000-0000BB250000}"/>
    <cellStyle name="표준 2 2 2 2 21" xfId="9750" xr:uid="{00000000-0005-0000-0000-0000BC250000}"/>
    <cellStyle name="표준 2 2 2 2 22" xfId="9751" xr:uid="{00000000-0005-0000-0000-0000BD250000}"/>
    <cellStyle name="표준 2 2 2 2 23" xfId="9752" xr:uid="{00000000-0005-0000-0000-0000BE250000}"/>
    <cellStyle name="표준 2 2 2 2 24" xfId="9753" xr:uid="{00000000-0005-0000-0000-0000BF250000}"/>
    <cellStyle name="표준 2 2 2 2 25" xfId="9754" xr:uid="{00000000-0005-0000-0000-0000C0250000}"/>
    <cellStyle name="표준 2 2 2 2 3" xfId="9755" xr:uid="{00000000-0005-0000-0000-0000C1250000}"/>
    <cellStyle name="표준 2 2 2 2 3 2" xfId="9756" xr:uid="{00000000-0005-0000-0000-0000C2250000}"/>
    <cellStyle name="표준 2 2 2 2 4" xfId="9757" xr:uid="{00000000-0005-0000-0000-0000C3250000}"/>
    <cellStyle name="표준 2 2 2 2 5" xfId="9758" xr:uid="{00000000-0005-0000-0000-0000C4250000}"/>
    <cellStyle name="표준 2 2 2 2 6" xfId="9759" xr:uid="{00000000-0005-0000-0000-0000C5250000}"/>
    <cellStyle name="표준 2 2 2 2 7" xfId="9760" xr:uid="{00000000-0005-0000-0000-0000C6250000}"/>
    <cellStyle name="표준 2 2 2 2 8" xfId="9761" xr:uid="{00000000-0005-0000-0000-0000C7250000}"/>
    <cellStyle name="표준 2 2 2 2 9" xfId="9762" xr:uid="{00000000-0005-0000-0000-0000C8250000}"/>
    <cellStyle name="표준 2 2 2 20" xfId="9763" xr:uid="{00000000-0005-0000-0000-0000C9250000}"/>
    <cellStyle name="표준 2 2 2 21" xfId="9764" xr:uid="{00000000-0005-0000-0000-0000CA250000}"/>
    <cellStyle name="표준 2 2 2 22" xfId="9765" xr:uid="{00000000-0005-0000-0000-0000CB250000}"/>
    <cellStyle name="표준 2 2 2 23" xfId="9766" xr:uid="{00000000-0005-0000-0000-0000CC250000}"/>
    <cellStyle name="표준 2 2 2 24" xfId="9767" xr:uid="{00000000-0005-0000-0000-0000CD250000}"/>
    <cellStyle name="표준 2 2 2 25" xfId="9768" xr:uid="{00000000-0005-0000-0000-0000CE250000}"/>
    <cellStyle name="표준 2 2 2 25 2" xfId="9769" xr:uid="{00000000-0005-0000-0000-0000CF250000}"/>
    <cellStyle name="표준 2 2 2 25 3" xfId="9770" xr:uid="{00000000-0005-0000-0000-0000D0250000}"/>
    <cellStyle name="표준 2 2 2 26" xfId="9771" xr:uid="{00000000-0005-0000-0000-0000D1250000}"/>
    <cellStyle name="표준 2 2 2 27" xfId="9772" xr:uid="{00000000-0005-0000-0000-0000D2250000}"/>
    <cellStyle name="표준 2 2 2 28" xfId="9773" xr:uid="{00000000-0005-0000-0000-0000D3250000}"/>
    <cellStyle name="표준 2 2 2 29" xfId="9774" xr:uid="{00000000-0005-0000-0000-0000D4250000}"/>
    <cellStyle name="표준 2 2 2 3" xfId="9775" xr:uid="{00000000-0005-0000-0000-0000D5250000}"/>
    <cellStyle name="표준 2 2 2 30" xfId="9776" xr:uid="{00000000-0005-0000-0000-0000D6250000}"/>
    <cellStyle name="표준 2 2 2 31" xfId="9777" xr:uid="{00000000-0005-0000-0000-0000D7250000}"/>
    <cellStyle name="표준 2 2 2 32" xfId="9778" xr:uid="{00000000-0005-0000-0000-0000D8250000}"/>
    <cellStyle name="표준 2 2 2 33" xfId="9779" xr:uid="{00000000-0005-0000-0000-0000D9250000}"/>
    <cellStyle name="표준 2 2 2 34" xfId="9780" xr:uid="{00000000-0005-0000-0000-0000DA250000}"/>
    <cellStyle name="표준 2 2 2 4" xfId="9781" xr:uid="{00000000-0005-0000-0000-0000DB250000}"/>
    <cellStyle name="표준 2 2 2 5" xfId="9782" xr:uid="{00000000-0005-0000-0000-0000DC250000}"/>
    <cellStyle name="표준 2 2 2 6" xfId="9783" xr:uid="{00000000-0005-0000-0000-0000DD250000}"/>
    <cellStyle name="표준 2 2 2 7" xfId="9784" xr:uid="{00000000-0005-0000-0000-0000DE250000}"/>
    <cellStyle name="표준 2 2 2 8" xfId="9785" xr:uid="{00000000-0005-0000-0000-0000DF250000}"/>
    <cellStyle name="표준 2 2 2 9" xfId="9786" xr:uid="{00000000-0005-0000-0000-0000E0250000}"/>
    <cellStyle name="표준 2 2 20" xfId="9787" xr:uid="{00000000-0005-0000-0000-0000E1250000}"/>
    <cellStyle name="표준 2 2 21" xfId="9788" xr:uid="{00000000-0005-0000-0000-0000E2250000}"/>
    <cellStyle name="표준 2 2 22" xfId="9789" xr:uid="{00000000-0005-0000-0000-0000E3250000}"/>
    <cellStyle name="표준 2 2 23" xfId="9790" xr:uid="{00000000-0005-0000-0000-0000E4250000}"/>
    <cellStyle name="표준 2 2 24" xfId="9791" xr:uid="{00000000-0005-0000-0000-0000E5250000}"/>
    <cellStyle name="표준 2 2 25" xfId="9792" xr:uid="{00000000-0005-0000-0000-0000E6250000}"/>
    <cellStyle name="표준 2 2 25 2" xfId="9793" xr:uid="{00000000-0005-0000-0000-0000E7250000}"/>
    <cellStyle name="표준 2 2 25 3" xfId="9794" xr:uid="{00000000-0005-0000-0000-0000E8250000}"/>
    <cellStyle name="표준 2 2 26" xfId="9795" xr:uid="{00000000-0005-0000-0000-0000E9250000}"/>
    <cellStyle name="표준 2 2 27" xfId="9796" xr:uid="{00000000-0005-0000-0000-0000EA250000}"/>
    <cellStyle name="표준 2 2 28" xfId="9797" xr:uid="{00000000-0005-0000-0000-0000EB250000}"/>
    <cellStyle name="표준 2 2 29" xfId="9798" xr:uid="{00000000-0005-0000-0000-0000EC250000}"/>
    <cellStyle name="표준 2 2 3" xfId="9799" xr:uid="{00000000-0005-0000-0000-0000ED250000}"/>
    <cellStyle name="표준 2 2 3 2" xfId="9800" xr:uid="{00000000-0005-0000-0000-0000EE250000}"/>
    <cellStyle name="표준 2 2 3 3" xfId="9801" xr:uid="{00000000-0005-0000-0000-0000EF250000}"/>
    <cellStyle name="표준 2 2 3 5" xfId="10049" xr:uid="{00000000-0005-0000-0000-0000F0250000}"/>
    <cellStyle name="표준 2 2 30" xfId="9802" xr:uid="{00000000-0005-0000-0000-0000F1250000}"/>
    <cellStyle name="표준 2 2 31" xfId="9803" xr:uid="{00000000-0005-0000-0000-0000F2250000}"/>
    <cellStyle name="표준 2 2 32" xfId="9804" xr:uid="{00000000-0005-0000-0000-0000F3250000}"/>
    <cellStyle name="표준 2 2 33" xfId="9805" xr:uid="{00000000-0005-0000-0000-0000F4250000}"/>
    <cellStyle name="표준 2 2 34" xfId="9618" xr:uid="{00000000-0005-0000-0000-0000F5250000}"/>
    <cellStyle name="표준 2 2 4" xfId="9806" xr:uid="{00000000-0005-0000-0000-0000F6250000}"/>
    <cellStyle name="표준 2 2 5" xfId="9807" xr:uid="{00000000-0005-0000-0000-0000F7250000}"/>
    <cellStyle name="표준 2 2 6" xfId="9808" xr:uid="{00000000-0005-0000-0000-0000F8250000}"/>
    <cellStyle name="표준 2 2 7" xfId="9809" xr:uid="{00000000-0005-0000-0000-0000F9250000}"/>
    <cellStyle name="표준 2 2 8" xfId="9810" xr:uid="{00000000-0005-0000-0000-0000FA250000}"/>
    <cellStyle name="표준 2 2 9" xfId="9811" xr:uid="{00000000-0005-0000-0000-0000FB250000}"/>
    <cellStyle name="표준 2 20" xfId="9812" xr:uid="{00000000-0005-0000-0000-0000FC250000}"/>
    <cellStyle name="표준 2 20 2" xfId="9813" xr:uid="{00000000-0005-0000-0000-0000FD250000}"/>
    <cellStyle name="표준 2 21" xfId="9814" xr:uid="{00000000-0005-0000-0000-0000FE250000}"/>
    <cellStyle name="표준 2 21 2" xfId="9815" xr:uid="{00000000-0005-0000-0000-0000FF250000}"/>
    <cellStyle name="표준 2 21 3" xfId="10051" xr:uid="{00000000-0005-0000-0000-000000260000}"/>
    <cellStyle name="표준 2 22" xfId="9816" xr:uid="{00000000-0005-0000-0000-000001260000}"/>
    <cellStyle name="표준 2 22 2" xfId="9817" xr:uid="{00000000-0005-0000-0000-000002260000}"/>
    <cellStyle name="표준 2 23" xfId="9818" xr:uid="{00000000-0005-0000-0000-000003260000}"/>
    <cellStyle name="표준 2 24" xfId="9819" xr:uid="{00000000-0005-0000-0000-000004260000}"/>
    <cellStyle name="표준 2 25" xfId="9820" xr:uid="{00000000-0005-0000-0000-000005260000}"/>
    <cellStyle name="표준 2 26" xfId="9821" xr:uid="{00000000-0005-0000-0000-000006260000}"/>
    <cellStyle name="표준 2 27" xfId="9822" xr:uid="{00000000-0005-0000-0000-000007260000}"/>
    <cellStyle name="표준 2 28" xfId="9823" xr:uid="{00000000-0005-0000-0000-000008260000}"/>
    <cellStyle name="표준 2 29" xfId="9824" xr:uid="{00000000-0005-0000-0000-000009260000}"/>
    <cellStyle name="표준 2 3" xfId="8" xr:uid="{00000000-0005-0000-0000-00000A260000}"/>
    <cellStyle name="표준 2 3 2" xfId="69" xr:uid="{00000000-0005-0000-0000-00000B260000}"/>
    <cellStyle name="표준 2 3 2 2" xfId="9826" xr:uid="{00000000-0005-0000-0000-00000C260000}"/>
    <cellStyle name="표준 2 3 3" xfId="169" xr:uid="{00000000-0005-0000-0000-00000D260000}"/>
    <cellStyle name="표준 2 3 3 2" xfId="9827" xr:uid="{00000000-0005-0000-0000-00000E260000}"/>
    <cellStyle name="표준 2 3 4" xfId="9825" xr:uid="{00000000-0005-0000-0000-00000F260000}"/>
    <cellStyle name="표준 2 30" xfId="9828" xr:uid="{00000000-0005-0000-0000-000010260000}"/>
    <cellStyle name="표준 2 31" xfId="9829" xr:uid="{00000000-0005-0000-0000-000011260000}"/>
    <cellStyle name="표준 2 31 2" xfId="9830" xr:uid="{00000000-0005-0000-0000-000012260000}"/>
    <cellStyle name="표준 2 32" xfId="9831" xr:uid="{00000000-0005-0000-0000-000013260000}"/>
    <cellStyle name="표준 2 33" xfId="9832" xr:uid="{00000000-0005-0000-0000-000014260000}"/>
    <cellStyle name="표준 2 34" xfId="9833" xr:uid="{00000000-0005-0000-0000-000015260000}"/>
    <cellStyle name="표준 2 35" xfId="9834" xr:uid="{00000000-0005-0000-0000-000016260000}"/>
    <cellStyle name="표준 2 36" xfId="9835" xr:uid="{00000000-0005-0000-0000-000017260000}"/>
    <cellStyle name="표준 2 37" xfId="9836" xr:uid="{00000000-0005-0000-0000-000018260000}"/>
    <cellStyle name="표준 2 38" xfId="9837" xr:uid="{00000000-0005-0000-0000-000019260000}"/>
    <cellStyle name="표준 2 39" xfId="9838" xr:uid="{00000000-0005-0000-0000-00001A260000}"/>
    <cellStyle name="표준 2 39 2" xfId="9839" xr:uid="{00000000-0005-0000-0000-00001B260000}"/>
    <cellStyle name="표준 2 39 3" xfId="9840" xr:uid="{00000000-0005-0000-0000-00001C260000}"/>
    <cellStyle name="표준 2 4" xfId="120" xr:uid="{00000000-0005-0000-0000-00001D260000}"/>
    <cellStyle name="표준 2 4 2" xfId="9842" xr:uid="{00000000-0005-0000-0000-00001E260000}"/>
    <cellStyle name="표준 2 4 3" xfId="9843" xr:uid="{00000000-0005-0000-0000-00001F260000}"/>
    <cellStyle name="표준 2 4 4" xfId="9841" xr:uid="{00000000-0005-0000-0000-000020260000}"/>
    <cellStyle name="표준 2 40" xfId="9844" xr:uid="{00000000-0005-0000-0000-000021260000}"/>
    <cellStyle name="표준 2 41" xfId="9845" xr:uid="{00000000-0005-0000-0000-000022260000}"/>
    <cellStyle name="표준 2 42" xfId="9846" xr:uid="{00000000-0005-0000-0000-000023260000}"/>
    <cellStyle name="표준 2 43" xfId="9847" xr:uid="{00000000-0005-0000-0000-000024260000}"/>
    <cellStyle name="표준 2 44" xfId="9848" xr:uid="{00000000-0005-0000-0000-000025260000}"/>
    <cellStyle name="표준 2 45" xfId="9849" xr:uid="{00000000-0005-0000-0000-000026260000}"/>
    <cellStyle name="표준 2 46" xfId="9850" xr:uid="{00000000-0005-0000-0000-000027260000}"/>
    <cellStyle name="표준 2 47" xfId="9851" xr:uid="{00000000-0005-0000-0000-000028260000}"/>
    <cellStyle name="표준 2 48" xfId="9852" xr:uid="{00000000-0005-0000-0000-000029260000}"/>
    <cellStyle name="표준 2 49" xfId="9853" xr:uid="{00000000-0005-0000-0000-00002A260000}"/>
    <cellStyle name="표준 2 5" xfId="9854" xr:uid="{00000000-0005-0000-0000-00002B260000}"/>
    <cellStyle name="표준 2 5 2" xfId="9855" xr:uid="{00000000-0005-0000-0000-00002C260000}"/>
    <cellStyle name="표준 2 5 3" xfId="9856" xr:uid="{00000000-0005-0000-0000-00002D260000}"/>
    <cellStyle name="표준 2 50" xfId="9857" xr:uid="{00000000-0005-0000-0000-00002E260000}"/>
    <cellStyle name="표준 2 51" xfId="9593" xr:uid="{00000000-0005-0000-0000-00002F260000}"/>
    <cellStyle name="표준 2 52" xfId="10041" xr:uid="{00000000-0005-0000-0000-000030260000}"/>
    <cellStyle name="표준 2 53" xfId="10067" xr:uid="{3AEE3181-9F98-4EEC-AD9A-9921FA0A313F}"/>
    <cellStyle name="표준 2 54" xfId="10065" xr:uid="{DE32E2A0-F9E0-4FB5-898A-DFF491C922FA}"/>
    <cellStyle name="표준 2 6" xfId="9858" xr:uid="{00000000-0005-0000-0000-000031260000}"/>
    <cellStyle name="표준 2 6 2" xfId="9859" xr:uid="{00000000-0005-0000-0000-000032260000}"/>
    <cellStyle name="표준 2 6 3" xfId="9860" xr:uid="{00000000-0005-0000-0000-000033260000}"/>
    <cellStyle name="표준 2 7" xfId="9861" xr:uid="{00000000-0005-0000-0000-000034260000}"/>
    <cellStyle name="표준 2 7 2" xfId="9862" xr:uid="{00000000-0005-0000-0000-000035260000}"/>
    <cellStyle name="표준 2 7 3" xfId="9863" xr:uid="{00000000-0005-0000-0000-000036260000}"/>
    <cellStyle name="표준 2 8" xfId="9864" xr:uid="{00000000-0005-0000-0000-000037260000}"/>
    <cellStyle name="표준 2 8 2" xfId="9865" xr:uid="{00000000-0005-0000-0000-000038260000}"/>
    <cellStyle name="표준 2 8 3" xfId="9866" xr:uid="{00000000-0005-0000-0000-000039260000}"/>
    <cellStyle name="표준 2 9" xfId="9867" xr:uid="{00000000-0005-0000-0000-00003A260000}"/>
    <cellStyle name="표준 2 9 2" xfId="9868" xr:uid="{00000000-0005-0000-0000-00003B260000}"/>
    <cellStyle name="표준 2 9 3" xfId="9869" xr:uid="{00000000-0005-0000-0000-00003C260000}"/>
    <cellStyle name="표준 2_(주)Viromed_급여대사" xfId="9870" xr:uid="{00000000-0005-0000-0000-00003D260000}"/>
    <cellStyle name="표준 20" xfId="31" xr:uid="{00000000-0005-0000-0000-00003E260000}"/>
    <cellStyle name="표준 20 2" xfId="88" xr:uid="{00000000-0005-0000-0000-00003F260000}"/>
    <cellStyle name="표준 20 2 2" xfId="9872" xr:uid="{00000000-0005-0000-0000-000040260000}"/>
    <cellStyle name="표준 20 3" xfId="139" xr:uid="{00000000-0005-0000-0000-000041260000}"/>
    <cellStyle name="표준 20 3 2" xfId="9873" xr:uid="{00000000-0005-0000-0000-000042260000}"/>
    <cellStyle name="표준 20 4" xfId="9871" xr:uid="{00000000-0005-0000-0000-000043260000}"/>
    <cellStyle name="표준 21" xfId="32" xr:uid="{00000000-0005-0000-0000-000044260000}"/>
    <cellStyle name="표준 21 2" xfId="89" xr:uid="{00000000-0005-0000-0000-000045260000}"/>
    <cellStyle name="표준 21 2 2" xfId="9875" xr:uid="{00000000-0005-0000-0000-000046260000}"/>
    <cellStyle name="표준 21 3" xfId="140" xr:uid="{00000000-0005-0000-0000-000047260000}"/>
    <cellStyle name="표준 21 3 2" xfId="9876" xr:uid="{00000000-0005-0000-0000-000048260000}"/>
    <cellStyle name="표준 21 4" xfId="9874" xr:uid="{00000000-0005-0000-0000-000049260000}"/>
    <cellStyle name="표준 22" xfId="33" xr:uid="{00000000-0005-0000-0000-00004A260000}"/>
    <cellStyle name="표준 22 2" xfId="90" xr:uid="{00000000-0005-0000-0000-00004B260000}"/>
    <cellStyle name="표준 22 2 2" xfId="9878" xr:uid="{00000000-0005-0000-0000-00004C260000}"/>
    <cellStyle name="표준 22 3" xfId="141" xr:uid="{00000000-0005-0000-0000-00004D260000}"/>
    <cellStyle name="표준 22 4" xfId="9877" xr:uid="{00000000-0005-0000-0000-00004E260000}"/>
    <cellStyle name="표준 23" xfId="34" xr:uid="{00000000-0005-0000-0000-00004F260000}"/>
    <cellStyle name="표준 23 2" xfId="91" xr:uid="{00000000-0005-0000-0000-000050260000}"/>
    <cellStyle name="표준 23 3" xfId="142" xr:uid="{00000000-0005-0000-0000-000051260000}"/>
    <cellStyle name="표준 23 4" xfId="9879" xr:uid="{00000000-0005-0000-0000-000052260000}"/>
    <cellStyle name="표준 24" xfId="35" xr:uid="{00000000-0005-0000-0000-000053260000}"/>
    <cellStyle name="표준 24 2" xfId="92" xr:uid="{00000000-0005-0000-0000-000054260000}"/>
    <cellStyle name="표준 24 2 2" xfId="9881" xr:uid="{00000000-0005-0000-0000-000055260000}"/>
    <cellStyle name="표준 24 3" xfId="143" xr:uid="{00000000-0005-0000-0000-000056260000}"/>
    <cellStyle name="표준 24 4" xfId="9880" xr:uid="{00000000-0005-0000-0000-000057260000}"/>
    <cellStyle name="표준 25" xfId="36" xr:uid="{00000000-0005-0000-0000-000058260000}"/>
    <cellStyle name="표준 25 2" xfId="93" xr:uid="{00000000-0005-0000-0000-000059260000}"/>
    <cellStyle name="표준 25 2 2" xfId="9883" xr:uid="{00000000-0005-0000-0000-00005A260000}"/>
    <cellStyle name="표준 25 3" xfId="144" xr:uid="{00000000-0005-0000-0000-00005B260000}"/>
    <cellStyle name="표준 25 4" xfId="9882" xr:uid="{00000000-0005-0000-0000-00005C260000}"/>
    <cellStyle name="표준 26" xfId="37" xr:uid="{00000000-0005-0000-0000-00005D260000}"/>
    <cellStyle name="표준 26 2" xfId="94" xr:uid="{00000000-0005-0000-0000-00005E260000}"/>
    <cellStyle name="표준 26 2 2" xfId="9885" xr:uid="{00000000-0005-0000-0000-00005F260000}"/>
    <cellStyle name="표준 26 3" xfId="145" xr:uid="{00000000-0005-0000-0000-000060260000}"/>
    <cellStyle name="표준 26 4" xfId="9884" xr:uid="{00000000-0005-0000-0000-000061260000}"/>
    <cellStyle name="표준 27" xfId="38" xr:uid="{00000000-0005-0000-0000-000062260000}"/>
    <cellStyle name="표준 27 2" xfId="95" xr:uid="{00000000-0005-0000-0000-000063260000}"/>
    <cellStyle name="표준 27 2 2" xfId="9887" xr:uid="{00000000-0005-0000-0000-000064260000}"/>
    <cellStyle name="표준 27 3" xfId="146" xr:uid="{00000000-0005-0000-0000-000065260000}"/>
    <cellStyle name="표준 27 4" xfId="9886" xr:uid="{00000000-0005-0000-0000-000066260000}"/>
    <cellStyle name="표준 28" xfId="39" xr:uid="{00000000-0005-0000-0000-000067260000}"/>
    <cellStyle name="표준 28 2" xfId="96" xr:uid="{00000000-0005-0000-0000-000068260000}"/>
    <cellStyle name="표준 28 2 2" xfId="9889" xr:uid="{00000000-0005-0000-0000-000069260000}"/>
    <cellStyle name="표준 28 3" xfId="147" xr:uid="{00000000-0005-0000-0000-00006A260000}"/>
    <cellStyle name="표준 28 4" xfId="9888" xr:uid="{00000000-0005-0000-0000-00006B260000}"/>
    <cellStyle name="표준 29" xfId="40" xr:uid="{00000000-0005-0000-0000-00006C260000}"/>
    <cellStyle name="표준 29 2" xfId="97" xr:uid="{00000000-0005-0000-0000-00006D260000}"/>
    <cellStyle name="표준 29 2 2" xfId="9891" xr:uid="{00000000-0005-0000-0000-00006E260000}"/>
    <cellStyle name="표준 29 3" xfId="148" xr:uid="{00000000-0005-0000-0000-00006F260000}"/>
    <cellStyle name="표준 29 4" xfId="9890" xr:uid="{00000000-0005-0000-0000-000070260000}"/>
    <cellStyle name="표준 3" xfId="3" xr:uid="{00000000-0005-0000-0000-000071260000}"/>
    <cellStyle name="표준 3 10" xfId="9893" xr:uid="{00000000-0005-0000-0000-000072260000}"/>
    <cellStyle name="표준 3 11" xfId="9894" xr:uid="{00000000-0005-0000-0000-000073260000}"/>
    <cellStyle name="표준 3 12" xfId="9895" xr:uid="{00000000-0005-0000-0000-000074260000}"/>
    <cellStyle name="표준 3 13" xfId="9896" xr:uid="{00000000-0005-0000-0000-000075260000}"/>
    <cellStyle name="표준 3 14" xfId="9897" xr:uid="{00000000-0005-0000-0000-000076260000}"/>
    <cellStyle name="표준 3 15" xfId="9898" xr:uid="{00000000-0005-0000-0000-000077260000}"/>
    <cellStyle name="표준 3 16" xfId="9899" xr:uid="{00000000-0005-0000-0000-000078260000}"/>
    <cellStyle name="표준 3 17" xfId="9900" xr:uid="{00000000-0005-0000-0000-000079260000}"/>
    <cellStyle name="표준 3 18" xfId="9901" xr:uid="{00000000-0005-0000-0000-00007A260000}"/>
    <cellStyle name="표준 3 19" xfId="9902" xr:uid="{00000000-0005-0000-0000-00007B260000}"/>
    <cellStyle name="표준 3 2" xfId="12" xr:uid="{00000000-0005-0000-0000-00007C260000}"/>
    <cellStyle name="표준 3 2 2" xfId="9904" xr:uid="{00000000-0005-0000-0000-00007D260000}"/>
    <cellStyle name="표준 3 2 3" xfId="9905" xr:uid="{00000000-0005-0000-0000-00007E260000}"/>
    <cellStyle name="표준 3 2 35" xfId="10057" xr:uid="{00000000-0005-0000-0000-00007F260000}"/>
    <cellStyle name="표준 3 2 4" xfId="9903" xr:uid="{00000000-0005-0000-0000-000080260000}"/>
    <cellStyle name="표준 3 20" xfId="9906" xr:uid="{00000000-0005-0000-0000-000081260000}"/>
    <cellStyle name="표준 3 21" xfId="9907" xr:uid="{00000000-0005-0000-0000-000082260000}"/>
    <cellStyle name="표준 3 22" xfId="9908" xr:uid="{00000000-0005-0000-0000-000083260000}"/>
    <cellStyle name="표준 3 23" xfId="9909" xr:uid="{00000000-0005-0000-0000-000084260000}"/>
    <cellStyle name="표준 3 24" xfId="9910" xr:uid="{00000000-0005-0000-0000-000085260000}"/>
    <cellStyle name="표준 3 25" xfId="9911" xr:uid="{00000000-0005-0000-0000-000086260000}"/>
    <cellStyle name="표준 3 26" xfId="9912" xr:uid="{00000000-0005-0000-0000-000087260000}"/>
    <cellStyle name="표준 3 27" xfId="9913" xr:uid="{00000000-0005-0000-0000-000088260000}"/>
    <cellStyle name="표준 3 28" xfId="9914" xr:uid="{00000000-0005-0000-0000-000089260000}"/>
    <cellStyle name="표준 3 29" xfId="9915" xr:uid="{00000000-0005-0000-0000-00008A260000}"/>
    <cellStyle name="표준 3 3" xfId="66" xr:uid="{00000000-0005-0000-0000-00008B260000}"/>
    <cellStyle name="표준 3 3 2" xfId="9917" xr:uid="{00000000-0005-0000-0000-00008C260000}"/>
    <cellStyle name="표준 3 3 3" xfId="9916" xr:uid="{00000000-0005-0000-0000-00008D260000}"/>
    <cellStyle name="표준 3 30" xfId="9918" xr:uid="{00000000-0005-0000-0000-00008E260000}"/>
    <cellStyle name="표준 3 31" xfId="9919" xr:uid="{00000000-0005-0000-0000-00008F260000}"/>
    <cellStyle name="표준 3 32" xfId="9920" xr:uid="{00000000-0005-0000-0000-000090260000}"/>
    <cellStyle name="표준 3 33" xfId="9921" xr:uid="{00000000-0005-0000-0000-000091260000}"/>
    <cellStyle name="표준 3 34" xfId="9892" xr:uid="{00000000-0005-0000-0000-000092260000}"/>
    <cellStyle name="표준 3 35" xfId="10052" xr:uid="{00000000-0005-0000-0000-000093260000}"/>
    <cellStyle name="표준 3 4" xfId="9922" xr:uid="{00000000-0005-0000-0000-000094260000}"/>
    <cellStyle name="표준 3 5" xfId="9923" xr:uid="{00000000-0005-0000-0000-000095260000}"/>
    <cellStyle name="표준 3 6" xfId="9924" xr:uid="{00000000-0005-0000-0000-000096260000}"/>
    <cellStyle name="표준 3 7" xfId="9925" xr:uid="{00000000-0005-0000-0000-000097260000}"/>
    <cellStyle name="표준 3 8" xfId="9926" xr:uid="{00000000-0005-0000-0000-000098260000}"/>
    <cellStyle name="표준 3 9" xfId="9927" xr:uid="{00000000-0005-0000-0000-000099260000}"/>
    <cellStyle name="표준 30" xfId="41" xr:uid="{00000000-0005-0000-0000-00009A260000}"/>
    <cellStyle name="표준 30 2" xfId="98" xr:uid="{00000000-0005-0000-0000-00009B260000}"/>
    <cellStyle name="표준 30 2 2" xfId="9929" xr:uid="{00000000-0005-0000-0000-00009C260000}"/>
    <cellStyle name="표준 30 3" xfId="149" xr:uid="{00000000-0005-0000-0000-00009D260000}"/>
    <cellStyle name="표준 30 3 2" xfId="9930" xr:uid="{00000000-0005-0000-0000-00009E260000}"/>
    <cellStyle name="표준 30 4" xfId="9928" xr:uid="{00000000-0005-0000-0000-00009F260000}"/>
    <cellStyle name="표준 31" xfId="42" xr:uid="{00000000-0005-0000-0000-0000A0260000}"/>
    <cellStyle name="표준 31 2" xfId="99" xr:uid="{00000000-0005-0000-0000-0000A1260000}"/>
    <cellStyle name="표준 31 3" xfId="150" xr:uid="{00000000-0005-0000-0000-0000A2260000}"/>
    <cellStyle name="표준 31 4" xfId="9931" xr:uid="{00000000-0005-0000-0000-0000A3260000}"/>
    <cellStyle name="표준 32" xfId="43" xr:uid="{00000000-0005-0000-0000-0000A4260000}"/>
    <cellStyle name="표준 32 2" xfId="100" xr:uid="{00000000-0005-0000-0000-0000A5260000}"/>
    <cellStyle name="표준 32 2 2" xfId="9933" xr:uid="{00000000-0005-0000-0000-0000A6260000}"/>
    <cellStyle name="표준 32 3" xfId="151" xr:uid="{00000000-0005-0000-0000-0000A7260000}"/>
    <cellStyle name="표준 32 4" xfId="9932" xr:uid="{00000000-0005-0000-0000-0000A8260000}"/>
    <cellStyle name="표준 33" xfId="44" xr:uid="{00000000-0005-0000-0000-0000A9260000}"/>
    <cellStyle name="표준 33 2" xfId="101" xr:uid="{00000000-0005-0000-0000-0000AA260000}"/>
    <cellStyle name="표준 33 2 2" xfId="9935" xr:uid="{00000000-0005-0000-0000-0000AB260000}"/>
    <cellStyle name="표준 33 3" xfId="152" xr:uid="{00000000-0005-0000-0000-0000AC260000}"/>
    <cellStyle name="표준 33 3 2" xfId="9936" xr:uid="{00000000-0005-0000-0000-0000AD260000}"/>
    <cellStyle name="표준 33 4" xfId="9934" xr:uid="{00000000-0005-0000-0000-0000AE260000}"/>
    <cellStyle name="표준 33_인건비배분_상세HR(8월)" xfId="9937" xr:uid="{00000000-0005-0000-0000-0000AF260000}"/>
    <cellStyle name="표준 34" xfId="45" xr:uid="{00000000-0005-0000-0000-0000B0260000}"/>
    <cellStyle name="표준 34 2" xfId="102" xr:uid="{00000000-0005-0000-0000-0000B1260000}"/>
    <cellStyle name="표준 34 3" xfId="153" xr:uid="{00000000-0005-0000-0000-0000B2260000}"/>
    <cellStyle name="표준 34 4" xfId="9938" xr:uid="{00000000-0005-0000-0000-0000B3260000}"/>
    <cellStyle name="표준 35" xfId="46" xr:uid="{00000000-0005-0000-0000-0000B4260000}"/>
    <cellStyle name="표준 35 2" xfId="103" xr:uid="{00000000-0005-0000-0000-0000B5260000}"/>
    <cellStyle name="표준 35 3" xfId="154" xr:uid="{00000000-0005-0000-0000-0000B6260000}"/>
    <cellStyle name="표준 35 4" xfId="9939" xr:uid="{00000000-0005-0000-0000-0000B7260000}"/>
    <cellStyle name="표준 36" xfId="47" xr:uid="{00000000-0005-0000-0000-0000B8260000}"/>
    <cellStyle name="표준 36 2" xfId="104" xr:uid="{00000000-0005-0000-0000-0000B9260000}"/>
    <cellStyle name="표준 36 3" xfId="155" xr:uid="{00000000-0005-0000-0000-0000BA260000}"/>
    <cellStyle name="표준 36 4" xfId="9940" xr:uid="{00000000-0005-0000-0000-0000BB260000}"/>
    <cellStyle name="표준 37" xfId="48" xr:uid="{00000000-0005-0000-0000-0000BC260000}"/>
    <cellStyle name="표준 37 2" xfId="105" xr:uid="{00000000-0005-0000-0000-0000BD260000}"/>
    <cellStyle name="표준 37 3" xfId="156" xr:uid="{00000000-0005-0000-0000-0000BE260000}"/>
    <cellStyle name="표준 37 4" xfId="9941" xr:uid="{00000000-0005-0000-0000-0000BF260000}"/>
    <cellStyle name="표준 38" xfId="49" xr:uid="{00000000-0005-0000-0000-0000C0260000}"/>
    <cellStyle name="표준 38 2" xfId="106" xr:uid="{00000000-0005-0000-0000-0000C1260000}"/>
    <cellStyle name="표준 38 3" xfId="157" xr:uid="{00000000-0005-0000-0000-0000C2260000}"/>
    <cellStyle name="표준 38 4" xfId="9942" xr:uid="{00000000-0005-0000-0000-0000C3260000}"/>
    <cellStyle name="표준 39" xfId="50" xr:uid="{00000000-0005-0000-0000-0000C4260000}"/>
    <cellStyle name="표준 39 2" xfId="107" xr:uid="{00000000-0005-0000-0000-0000C5260000}"/>
    <cellStyle name="표준 39 3" xfId="158" xr:uid="{00000000-0005-0000-0000-0000C6260000}"/>
    <cellStyle name="표준 39 4" xfId="9943" xr:uid="{00000000-0005-0000-0000-0000C7260000}"/>
    <cellStyle name="표준 4" xfId="14" xr:uid="{00000000-0005-0000-0000-0000C8260000}"/>
    <cellStyle name="표준 4 2" xfId="58" xr:uid="{00000000-0005-0000-0000-0000C9260000}"/>
    <cellStyle name="표준 4 2 2" xfId="9945" xr:uid="{00000000-0005-0000-0000-0000CA260000}"/>
    <cellStyle name="표준 4 2 3" xfId="10061" xr:uid="{00000000-0005-0000-0000-0000CB260000}"/>
    <cellStyle name="표준 4 2 4" xfId="10069" xr:uid="{E0D7FB0E-99EB-4C32-958C-4297D66CE9A0}"/>
    <cellStyle name="표준 4 3" xfId="9946" xr:uid="{00000000-0005-0000-0000-0000CC260000}"/>
    <cellStyle name="표준 4 4" xfId="9947" xr:uid="{00000000-0005-0000-0000-0000CD260000}"/>
    <cellStyle name="표준 4 5" xfId="9948" xr:uid="{00000000-0005-0000-0000-0000CE260000}"/>
    <cellStyle name="표준 4 6" xfId="9949" xr:uid="{00000000-0005-0000-0000-0000CF260000}"/>
    <cellStyle name="표준 4 7" xfId="9944" xr:uid="{00000000-0005-0000-0000-0000D0260000}"/>
    <cellStyle name="표준 40" xfId="51" xr:uid="{00000000-0005-0000-0000-0000D1260000}"/>
    <cellStyle name="표준 40 2" xfId="108" xr:uid="{00000000-0005-0000-0000-0000D2260000}"/>
    <cellStyle name="표준 40 3" xfId="159" xr:uid="{00000000-0005-0000-0000-0000D3260000}"/>
    <cellStyle name="표준 40 4" xfId="9950" xr:uid="{00000000-0005-0000-0000-0000D4260000}"/>
    <cellStyle name="표준 41" xfId="52" xr:uid="{00000000-0005-0000-0000-0000D5260000}"/>
    <cellStyle name="표준 41 2" xfId="109" xr:uid="{00000000-0005-0000-0000-0000D6260000}"/>
    <cellStyle name="표준 41 3" xfId="160" xr:uid="{00000000-0005-0000-0000-0000D7260000}"/>
    <cellStyle name="표준 41 4" xfId="9951" xr:uid="{00000000-0005-0000-0000-0000D8260000}"/>
    <cellStyle name="표준 42" xfId="53" xr:uid="{00000000-0005-0000-0000-0000D9260000}"/>
    <cellStyle name="표준 42 2" xfId="9952" xr:uid="{00000000-0005-0000-0000-0000DA260000}"/>
    <cellStyle name="표준 43" xfId="54" xr:uid="{00000000-0005-0000-0000-0000DB260000}"/>
    <cellStyle name="표준 43 2" xfId="60" xr:uid="{00000000-0005-0000-0000-0000DC260000}"/>
    <cellStyle name="표준 43 3" xfId="9953" xr:uid="{00000000-0005-0000-0000-0000DD260000}"/>
    <cellStyle name="표준 44" xfId="6" xr:uid="{00000000-0005-0000-0000-0000DE260000}"/>
    <cellStyle name="표준 44 2" xfId="67" xr:uid="{00000000-0005-0000-0000-0000DF260000}"/>
    <cellStyle name="표준 44 3" xfId="166" xr:uid="{00000000-0005-0000-0000-0000E0260000}"/>
    <cellStyle name="표준 44 4" xfId="9954" xr:uid="{00000000-0005-0000-0000-0000E1260000}"/>
    <cellStyle name="표준 45" xfId="62" xr:uid="{00000000-0005-0000-0000-0000E2260000}"/>
    <cellStyle name="표준 45 2" xfId="167" xr:uid="{00000000-0005-0000-0000-0000E3260000}"/>
    <cellStyle name="표준 45 3" xfId="9955" xr:uid="{00000000-0005-0000-0000-0000E4260000}"/>
    <cellStyle name="표준 46" xfId="63" xr:uid="{00000000-0005-0000-0000-0000E5260000}"/>
    <cellStyle name="표준 46 2" xfId="170" xr:uid="{00000000-0005-0000-0000-0000E6260000}"/>
    <cellStyle name="표준 46 3" xfId="9956" xr:uid="{00000000-0005-0000-0000-0000E7260000}"/>
    <cellStyle name="표준 47" xfId="115" xr:uid="{00000000-0005-0000-0000-0000E8260000}"/>
    <cellStyle name="표준 47 2" xfId="9957" xr:uid="{00000000-0005-0000-0000-0000E9260000}"/>
    <cellStyle name="표준 48" xfId="117" xr:uid="{00000000-0005-0000-0000-0000EA260000}"/>
    <cellStyle name="표준 48 2" xfId="9958" xr:uid="{00000000-0005-0000-0000-0000EB260000}"/>
    <cellStyle name="표준 49" xfId="118" xr:uid="{00000000-0005-0000-0000-0000EC260000}"/>
    <cellStyle name="표준 49 2" xfId="9959" xr:uid="{00000000-0005-0000-0000-0000ED260000}"/>
    <cellStyle name="표준 5" xfId="15" xr:uid="{00000000-0005-0000-0000-0000EE260000}"/>
    <cellStyle name="표준 5 2" xfId="72" xr:uid="{00000000-0005-0000-0000-0000EF260000}"/>
    <cellStyle name="표준 5 2 2" xfId="9961" xr:uid="{00000000-0005-0000-0000-0000F0260000}"/>
    <cellStyle name="표준 5 3" xfId="123" xr:uid="{00000000-0005-0000-0000-0000F1260000}"/>
    <cellStyle name="표준 5 3 2" xfId="9962" xr:uid="{00000000-0005-0000-0000-0000F2260000}"/>
    <cellStyle name="표준 5 4" xfId="9963" xr:uid="{00000000-0005-0000-0000-0000F3260000}"/>
    <cellStyle name="표준 5 5" xfId="9964" xr:uid="{00000000-0005-0000-0000-0000F4260000}"/>
    <cellStyle name="표준 5 6" xfId="9960" xr:uid="{00000000-0005-0000-0000-0000F5260000}"/>
    <cellStyle name="표준 5 7" xfId="10063" xr:uid="{00000000-0005-0000-0000-0000F6260000}"/>
    <cellStyle name="표준 50" xfId="171" xr:uid="{00000000-0005-0000-0000-0000F7260000}"/>
    <cellStyle name="표준 50 2" xfId="9965" xr:uid="{00000000-0005-0000-0000-0000F8260000}"/>
    <cellStyle name="표준 51" xfId="9966" xr:uid="{00000000-0005-0000-0000-0000F9260000}"/>
    <cellStyle name="표준 52" xfId="9967" xr:uid="{00000000-0005-0000-0000-0000FA260000}"/>
    <cellStyle name="표준 53" xfId="9968" xr:uid="{00000000-0005-0000-0000-0000FB260000}"/>
    <cellStyle name="표준 54" xfId="9969" xr:uid="{00000000-0005-0000-0000-0000FC260000}"/>
    <cellStyle name="표준 55" xfId="9970" xr:uid="{00000000-0005-0000-0000-0000FD260000}"/>
    <cellStyle name="표준 55 2" xfId="9971" xr:uid="{00000000-0005-0000-0000-0000FE260000}"/>
    <cellStyle name="표준 56" xfId="9972" xr:uid="{00000000-0005-0000-0000-0000FF260000}"/>
    <cellStyle name="표준 57" xfId="9973" xr:uid="{00000000-0005-0000-0000-000000270000}"/>
    <cellStyle name="표준 58" xfId="9974" xr:uid="{00000000-0005-0000-0000-000001270000}"/>
    <cellStyle name="표준 59" xfId="9975" xr:uid="{00000000-0005-0000-0000-000002270000}"/>
    <cellStyle name="표준 6" xfId="17" xr:uid="{00000000-0005-0000-0000-000003270000}"/>
    <cellStyle name="표준 6 2" xfId="74" xr:uid="{00000000-0005-0000-0000-000004270000}"/>
    <cellStyle name="표준 6 2 2" xfId="177" xr:uid="{00000000-0005-0000-0000-000005270000}"/>
    <cellStyle name="표준 6 3" xfId="125" xr:uid="{00000000-0005-0000-0000-000006270000}"/>
    <cellStyle name="표준 6 3 2" xfId="9977" xr:uid="{00000000-0005-0000-0000-000007270000}"/>
    <cellStyle name="표준 6 4" xfId="9978" xr:uid="{00000000-0005-0000-0000-000008270000}"/>
    <cellStyle name="표준 6 5" xfId="9979" xr:uid="{00000000-0005-0000-0000-000009270000}"/>
    <cellStyle name="표준 6 6" xfId="9976" xr:uid="{00000000-0005-0000-0000-00000A270000}"/>
    <cellStyle name="표준 60" xfId="9980" xr:uid="{00000000-0005-0000-0000-00000B270000}"/>
    <cellStyle name="표준 61" xfId="9981" xr:uid="{00000000-0005-0000-0000-00000C270000}"/>
    <cellStyle name="표준 62" xfId="9982" xr:uid="{00000000-0005-0000-0000-00000D270000}"/>
    <cellStyle name="표준 63" xfId="9983" xr:uid="{00000000-0005-0000-0000-00000E270000}"/>
    <cellStyle name="표준 64" xfId="9984" xr:uid="{00000000-0005-0000-0000-00000F270000}"/>
    <cellStyle name="표준 65" xfId="9985" xr:uid="{00000000-0005-0000-0000-000010270000}"/>
    <cellStyle name="표준 66" xfId="9986" xr:uid="{00000000-0005-0000-0000-000011270000}"/>
    <cellStyle name="표준 67" xfId="9987" xr:uid="{00000000-0005-0000-0000-000012270000}"/>
    <cellStyle name="표준 68" xfId="174" xr:uid="{00000000-0005-0000-0000-000013270000}"/>
    <cellStyle name="표준 69" xfId="179" xr:uid="{00000000-0005-0000-0000-000014270000}"/>
    <cellStyle name="표준 7" xfId="18" xr:uid="{00000000-0005-0000-0000-000015270000}"/>
    <cellStyle name="표준 7 2" xfId="75" xr:uid="{00000000-0005-0000-0000-000016270000}"/>
    <cellStyle name="표준 7 2 2" xfId="9989" xr:uid="{00000000-0005-0000-0000-000017270000}"/>
    <cellStyle name="표준 7 3" xfId="126" xr:uid="{00000000-0005-0000-0000-000018270000}"/>
    <cellStyle name="표준 7 3 2" xfId="9990" xr:uid="{00000000-0005-0000-0000-000019270000}"/>
    <cellStyle name="표준 7 4" xfId="9991" xr:uid="{00000000-0005-0000-0000-00001A270000}"/>
    <cellStyle name="표준 7 5" xfId="9992" xr:uid="{00000000-0005-0000-0000-00001B270000}"/>
    <cellStyle name="표준 7 5 2" xfId="10055" xr:uid="{00000000-0005-0000-0000-00001C270000}"/>
    <cellStyle name="표준 7 6" xfId="9988" xr:uid="{00000000-0005-0000-0000-00001D270000}"/>
    <cellStyle name="표준 70" xfId="10027" xr:uid="{00000000-0005-0000-0000-00001E270000}"/>
    <cellStyle name="표준 71" xfId="9993" xr:uid="{00000000-0005-0000-0000-00001F270000}"/>
    <cellStyle name="표준 72" xfId="10028" xr:uid="{00000000-0005-0000-0000-000020270000}"/>
    <cellStyle name="표준 73" xfId="10029" xr:uid="{00000000-0005-0000-0000-000021270000}"/>
    <cellStyle name="표준 74" xfId="10030" xr:uid="{00000000-0005-0000-0000-000022270000}"/>
    <cellStyle name="표준 75" xfId="10031" xr:uid="{00000000-0005-0000-0000-000023270000}"/>
    <cellStyle name="표준 76" xfId="10032" xr:uid="{00000000-0005-0000-0000-000024270000}"/>
    <cellStyle name="표준 77" xfId="10033" xr:uid="{00000000-0005-0000-0000-000025270000}"/>
    <cellStyle name="표준 78" xfId="10034" xr:uid="{00000000-0005-0000-0000-000026270000}"/>
    <cellStyle name="표준 79" xfId="10035" xr:uid="{00000000-0005-0000-0000-000027270000}"/>
    <cellStyle name="표준 8" xfId="19" xr:uid="{00000000-0005-0000-0000-000028270000}"/>
    <cellStyle name="표준 8 2" xfId="76" xr:uid="{00000000-0005-0000-0000-000029270000}"/>
    <cellStyle name="표준 8 2 2" xfId="9995" xr:uid="{00000000-0005-0000-0000-00002A270000}"/>
    <cellStyle name="표준 8 3" xfId="127" xr:uid="{00000000-0005-0000-0000-00002B270000}"/>
    <cellStyle name="표준 8 4" xfId="4" xr:uid="{00000000-0005-0000-0000-00002C270000}"/>
    <cellStyle name="표준 8 5" xfId="9994" xr:uid="{00000000-0005-0000-0000-00002D270000}"/>
    <cellStyle name="표준 8 5 2" xfId="10044" xr:uid="{00000000-0005-0000-0000-00002E270000}"/>
    <cellStyle name="표준 9" xfId="20" xr:uid="{00000000-0005-0000-0000-00002F270000}"/>
    <cellStyle name="표준 9 2" xfId="77" xr:uid="{00000000-0005-0000-0000-000030270000}"/>
    <cellStyle name="표준 9 2 2" xfId="9997" xr:uid="{00000000-0005-0000-0000-000031270000}"/>
    <cellStyle name="표준 9 3" xfId="128" xr:uid="{00000000-0005-0000-0000-000032270000}"/>
    <cellStyle name="표준 9 4" xfId="9996" xr:uid="{00000000-0005-0000-0000-000033270000}"/>
    <cellStyle name="標準_(01)タイムクリエイトＰＬ単年度1" xfId="9998" xr:uid="{00000000-0005-0000-0000-000034270000}"/>
    <cellStyle name="標準1203" xfId="9999" xr:uid="{00000000-0005-0000-0000-000035270000}"/>
    <cellStyle name="푤준_계수·손익계수_계산내역2" xfId="10000" xr:uid="{00000000-0005-0000-0000-000036270000}"/>
    <cellStyle name="프로젝트개발UNIT" xfId="10001" xr:uid="{00000000-0005-0000-0000-000037270000}"/>
    <cellStyle name="하이퍼링크 2" xfId="10002" xr:uid="{00000000-0005-0000-0000-000038270000}"/>
    <cellStyle name="하이퍼링크 2 2" xfId="10003" xr:uid="{00000000-0005-0000-0000-000039270000}"/>
    <cellStyle name="하이퍼링크 3" xfId="10004" xr:uid="{00000000-0005-0000-0000-00003A270000}"/>
    <cellStyle name="하이퍼링크 4" xfId="10005" xr:uid="{00000000-0005-0000-0000-00003B270000}"/>
    <cellStyle name="합산" xfId="10006" xr:uid="{00000000-0005-0000-0000-00003C270000}"/>
    <cellStyle name="합산 2" xfId="10007" xr:uid="{00000000-0005-0000-0000-00003D270000}"/>
    <cellStyle name="桁?切り [0.00]_PLDT" xfId="10008" xr:uid="{00000000-0005-0000-0000-00003E270000}"/>
    <cellStyle name="桁?切り_98CFFORM" xfId="10009" xr:uid="{00000000-0005-0000-0000-00003F270000}"/>
    <cellStyle name="桁区切り [0.00]_Add1" xfId="10010" xr:uid="{00000000-0005-0000-0000-000040270000}"/>
    <cellStyle name="桁区切り_98CFFORM" xfId="10011" xr:uid="{00000000-0005-0000-0000-000041270000}"/>
    <cellStyle name="행제목" xfId="10012" xr:uid="{00000000-0005-0000-0000-000042270000}"/>
    <cellStyle name="货币[0]_PERSONAL" xfId="10013" xr:uid="{00000000-0005-0000-0000-000043270000}"/>
    <cellStyle name="货币_PERSONAL" xfId="10014" xr:uid="{00000000-0005-0000-0000-000044270000}"/>
    <cellStyle name="화폐" xfId="10015" xr:uid="{00000000-0005-0000-0000-000045270000}"/>
    <cellStyle name="貨幣 [0]_COMM" xfId="10016" xr:uid="{00000000-0005-0000-0000-000046270000}"/>
    <cellStyle name="貨幣_COMM" xfId="10017" xr:uid="{00000000-0005-0000-0000-000047270000}"/>
    <cellStyle name="화폐기호" xfId="10018" xr:uid="{00000000-0005-0000-0000-000048270000}"/>
    <cellStyle name="화폐기호 2" xfId="10019" xr:uid="{00000000-0005-0000-0000-000049270000}"/>
    <cellStyle name="화폐기호 3" xfId="10020" xr:uid="{00000000-0005-0000-0000-00004A270000}"/>
    <cellStyle name="화폐기호0" xfId="10021" xr:uid="{00000000-0005-0000-0000-00004B270000}"/>
    <cellStyle name="화폐기호0 2" xfId="10022" xr:uid="{00000000-0005-0000-0000-00004C270000}"/>
    <cellStyle name="황" xfId="10023" xr:uid="{00000000-0005-0000-0000-00004D270000}"/>
    <cellStyle name="황대호" xfId="10024" xr:uid="{00000000-0005-0000-0000-00004E270000}"/>
    <cellStyle name="회색테두리" xfId="10025" xr:uid="{00000000-0005-0000-0000-00004F270000}"/>
    <cellStyle name="훐r?손익1" xfId="10026" xr:uid="{00000000-0005-0000-0000-00005027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3055"/>
      <color rgb="FF001530"/>
      <color rgb="FFF0F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externalLink" Target="externalLinks/externalLink1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61" Type="http://schemas.microsoft.com/office/2017/10/relationships/person" Target="persons/perso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2.xml"/><Relationship Id="rId64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.MATTHEW/01.&#54924;&#44228;/01.&#44208;&#49328;&#51088;&#47308;/FY2020/3&#50900;/&#50672;&#44208;/&#51088;&#54924;&#49324;&#51221;&#49328;&#54364;/ENT_FY2020%203&#50900;%20&#51221;&#49328;&#54364;_V2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han/Desktop/Backup/9.%20&#51116;&#47924;&#54924;&#44228;/Y2022/Y2022.12/2.%20&#50672;&#44208;/1.%20&#51221;&#49328;&#54364;/2.%20&#51088;&#54924;&#49324;%20&#51221;&#49328;&#54364;/2.%20LDC/LDC_FY2022%2012&#50900;%20&#51221;&#49328;&#54364;_V1.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0.MATTHEW/01.&#54924;&#44228;/01.&#44208;&#49328;&#51088;&#47308;/FY2022/2022.09/01.&#50672;&#44208;/SKSQ&#50629;&#47196;&#46300;/FNS/&#52712;&#54633;/FNS_TEMP_223_T198_202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정세부"/>
      <sheetName val="조정전표"/>
      <sheetName val="INDEX"/>
      <sheetName val="BS_INPUT"/>
      <sheetName val="IS_INPUT"/>
      <sheetName val="T_CF"/>
      <sheetName val="CFS"/>
      <sheetName val="유형자산"/>
      <sheetName val="무형자산"/>
      <sheetName val="사용권자산"/>
      <sheetName val="리스부채"/>
      <sheetName val="종업원급여"/>
      <sheetName val="보증금"/>
      <sheetName val="외화환산"/>
      <sheetName val="대여금 및 차입금"/>
      <sheetName val="채권연령"/>
      <sheetName val="비용의성격별분류"/>
      <sheetName val="Sheet1"/>
      <sheetName val="특수관계자거래"/>
      <sheetName val="drop"/>
      <sheetName val="IS_LOCAL"/>
      <sheetName val="IS_KRW"/>
      <sheetName val="BS_LOCAL"/>
      <sheetName val="BS_KRW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 t="str">
            <v>VALIDATION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조정"/>
      <sheetName val="INDEX"/>
      <sheetName val="조정전표"/>
      <sheetName val="BS_INPUT"/>
      <sheetName val="IS_INPUT"/>
      <sheetName val="환율(12월)"/>
      <sheetName val="T_CF"/>
      <sheetName val="사용권자산"/>
      <sheetName val="리스부채"/>
      <sheetName val="T_CF(가로)"/>
      <sheetName val="유형자산"/>
      <sheetName val="무형자산"/>
      <sheetName val="CFS"/>
      <sheetName val="소액리스"/>
      <sheetName val="사무실임차료(제거)"/>
      <sheetName val="종업원급여"/>
      <sheetName val="보증금"/>
      <sheetName val="외화환산"/>
      <sheetName val="대여금 및 차입금"/>
      <sheetName val="채권연령"/>
      <sheetName val="비용의성격별분류"/>
      <sheetName val="Sheet1"/>
      <sheetName val="특수관계자거래"/>
      <sheetName val="drop"/>
      <sheetName val="IS_LOCAL"/>
      <sheetName val="IS_KRW"/>
      <sheetName val="BS_LOCAL"/>
      <sheetName val="BS_KRW"/>
    </sheetNames>
    <sheetDataSet>
      <sheetData sheetId="0" refreshError="1"/>
      <sheetData sheetId="1" refreshError="1"/>
      <sheetData sheetId="2" refreshError="1"/>
      <sheetData sheetId="3">
        <row r="2">
          <cell r="D2">
            <v>44926</v>
          </cell>
          <cell r="Q2">
            <v>10.3024</v>
          </cell>
        </row>
        <row r="3">
          <cell r="D3" t="str">
            <v>S.M. Life Design Company Japan Inc.</v>
          </cell>
          <cell r="Q3">
            <v>9.5318000000000005</v>
          </cell>
        </row>
        <row r="4">
          <cell r="D4" t="str">
            <v>JPY</v>
          </cell>
          <cell r="Q4">
            <v>9.8344000000000005</v>
          </cell>
        </row>
        <row r="7">
          <cell r="Q7">
            <v>0</v>
          </cell>
        </row>
        <row r="8">
          <cell r="D8" t="str">
            <v>CODE_ERP</v>
          </cell>
          <cell r="Q8">
            <v>44926</v>
          </cell>
        </row>
        <row r="9">
          <cell r="Q9" t="str">
            <v>KRW</v>
          </cell>
        </row>
        <row r="10">
          <cell r="Q10">
            <v>7378594887</v>
          </cell>
        </row>
        <row r="11">
          <cell r="Q11">
            <v>6477442302</v>
          </cell>
        </row>
        <row r="12">
          <cell r="Q12">
            <v>3991322331</v>
          </cell>
        </row>
        <row r="13">
          <cell r="D13" t="str">
            <v>111131</v>
          </cell>
          <cell r="Q13">
            <v>0</v>
          </cell>
        </row>
        <row r="14">
          <cell r="D14">
            <v>111151</v>
          </cell>
          <cell r="Q14">
            <v>3991322331</v>
          </cell>
        </row>
        <row r="15">
          <cell r="D15">
            <v>111171</v>
          </cell>
          <cell r="Q15">
            <v>0</v>
          </cell>
        </row>
        <row r="16">
          <cell r="Q16">
            <v>0</v>
          </cell>
        </row>
        <row r="17">
          <cell r="D17">
            <v>111391</v>
          </cell>
          <cell r="Q17">
            <v>0</v>
          </cell>
        </row>
        <row r="18">
          <cell r="Q18">
            <v>594781613</v>
          </cell>
        </row>
        <row r="19">
          <cell r="D19">
            <v>111711</v>
          </cell>
          <cell r="Q19">
            <v>590975336</v>
          </cell>
        </row>
        <row r="20">
          <cell r="D20">
            <v>111712</v>
          </cell>
          <cell r="Q20">
            <v>0</v>
          </cell>
        </row>
        <row r="21">
          <cell r="D21">
            <v>111731</v>
          </cell>
          <cell r="Q21">
            <v>0</v>
          </cell>
        </row>
        <row r="22">
          <cell r="D22">
            <v>111732</v>
          </cell>
          <cell r="Q22">
            <v>0</v>
          </cell>
        </row>
        <row r="23">
          <cell r="D23">
            <v>111761</v>
          </cell>
          <cell r="Q23">
            <v>0</v>
          </cell>
        </row>
        <row r="24">
          <cell r="D24">
            <v>111762</v>
          </cell>
          <cell r="Q24">
            <v>0</v>
          </cell>
        </row>
        <row r="25">
          <cell r="D25">
            <v>111763</v>
          </cell>
          <cell r="Q25">
            <v>0</v>
          </cell>
        </row>
        <row r="26">
          <cell r="D26">
            <v>111910</v>
          </cell>
          <cell r="Q26">
            <v>0</v>
          </cell>
        </row>
        <row r="27">
          <cell r="D27" t="str">
            <v>111901</v>
          </cell>
          <cell r="Q27">
            <v>0</v>
          </cell>
        </row>
        <row r="28">
          <cell r="D28">
            <v>112111</v>
          </cell>
          <cell r="Q28">
            <v>3806277</v>
          </cell>
        </row>
        <row r="29">
          <cell r="D29">
            <v>112113</v>
          </cell>
          <cell r="Q29">
            <v>0</v>
          </cell>
        </row>
        <row r="30">
          <cell r="D30">
            <v>112115</v>
          </cell>
          <cell r="Q30">
            <v>0</v>
          </cell>
        </row>
        <row r="31">
          <cell r="D31">
            <v>112116</v>
          </cell>
          <cell r="Q31">
            <v>0</v>
          </cell>
        </row>
        <row r="32">
          <cell r="D32">
            <v>112300</v>
          </cell>
          <cell r="Q32">
            <v>0</v>
          </cell>
        </row>
        <row r="33">
          <cell r="D33">
            <v>113310</v>
          </cell>
          <cell r="Q33">
            <v>0</v>
          </cell>
        </row>
        <row r="34">
          <cell r="Q34">
            <v>0</v>
          </cell>
        </row>
        <row r="35">
          <cell r="D35">
            <v>111391</v>
          </cell>
          <cell r="Q35">
            <v>0</v>
          </cell>
        </row>
        <row r="36">
          <cell r="D36">
            <v>111410</v>
          </cell>
          <cell r="Q36">
            <v>0</v>
          </cell>
        </row>
        <row r="37">
          <cell r="D37" t="str">
            <v>BS신설1</v>
          </cell>
          <cell r="Q37">
            <v>0</v>
          </cell>
        </row>
        <row r="38">
          <cell r="D38" t="str">
            <v>BS신설2</v>
          </cell>
          <cell r="Q38">
            <v>0</v>
          </cell>
        </row>
        <row r="39">
          <cell r="Q39">
            <v>242250115</v>
          </cell>
        </row>
        <row r="40">
          <cell r="D40">
            <v>115100</v>
          </cell>
          <cell r="Q40">
            <v>2929841886</v>
          </cell>
        </row>
        <row r="41">
          <cell r="D41">
            <v>115170</v>
          </cell>
          <cell r="Q41">
            <v>-2687591771</v>
          </cell>
        </row>
        <row r="42">
          <cell r="D42">
            <v>115200</v>
          </cell>
          <cell r="Q42">
            <v>0</v>
          </cell>
        </row>
        <row r="43">
          <cell r="D43">
            <v>115270</v>
          </cell>
          <cell r="Q43">
            <v>0</v>
          </cell>
        </row>
        <row r="44">
          <cell r="D44">
            <v>115300</v>
          </cell>
          <cell r="Q44">
            <v>0</v>
          </cell>
        </row>
        <row r="45">
          <cell r="D45">
            <v>115350</v>
          </cell>
          <cell r="Q45">
            <v>0</v>
          </cell>
        </row>
        <row r="46">
          <cell r="D46">
            <v>115400</v>
          </cell>
          <cell r="Q46">
            <v>0</v>
          </cell>
        </row>
        <row r="47">
          <cell r="D47">
            <v>115470</v>
          </cell>
          <cell r="Q47">
            <v>0</v>
          </cell>
        </row>
        <row r="48">
          <cell r="D48">
            <v>115800</v>
          </cell>
          <cell r="Q48">
            <v>0</v>
          </cell>
        </row>
        <row r="49">
          <cell r="Q49">
            <v>1641795</v>
          </cell>
        </row>
        <row r="50">
          <cell r="D50">
            <v>113100</v>
          </cell>
          <cell r="Q50">
            <v>0</v>
          </cell>
        </row>
        <row r="51">
          <cell r="D51">
            <v>113101</v>
          </cell>
          <cell r="Q51">
            <v>0</v>
          </cell>
        </row>
        <row r="52">
          <cell r="D52">
            <v>113160</v>
          </cell>
          <cell r="Q52">
            <v>1641795</v>
          </cell>
        </row>
        <row r="53">
          <cell r="D53">
            <v>113161</v>
          </cell>
          <cell r="Q53">
            <v>0</v>
          </cell>
        </row>
        <row r="54">
          <cell r="Q54">
            <v>1647446448</v>
          </cell>
        </row>
        <row r="55">
          <cell r="D55">
            <v>112710</v>
          </cell>
          <cell r="Q55">
            <v>53080135</v>
          </cell>
        </row>
        <row r="56">
          <cell r="D56">
            <v>112720</v>
          </cell>
          <cell r="Q56">
            <v>0</v>
          </cell>
        </row>
        <row r="57">
          <cell r="D57">
            <v>112730</v>
          </cell>
          <cell r="Q57">
            <v>0</v>
          </cell>
        </row>
        <row r="58">
          <cell r="D58">
            <v>113340</v>
          </cell>
          <cell r="Q58">
            <v>0</v>
          </cell>
        </row>
        <row r="59">
          <cell r="D59">
            <v>112511</v>
          </cell>
          <cell r="Q59">
            <v>81841674</v>
          </cell>
        </row>
        <row r="60">
          <cell r="D60">
            <v>112521</v>
          </cell>
          <cell r="Q60">
            <v>0</v>
          </cell>
        </row>
        <row r="61">
          <cell r="D61">
            <v>112522</v>
          </cell>
          <cell r="Q61">
            <v>0</v>
          </cell>
        </row>
        <row r="62">
          <cell r="D62">
            <v>112531</v>
          </cell>
          <cell r="Q62">
            <v>0</v>
          </cell>
        </row>
        <row r="63">
          <cell r="D63">
            <v>112533</v>
          </cell>
          <cell r="Q63">
            <v>0</v>
          </cell>
        </row>
        <row r="64">
          <cell r="D64">
            <v>112534</v>
          </cell>
          <cell r="Q64">
            <v>0</v>
          </cell>
        </row>
        <row r="65">
          <cell r="D65">
            <v>112535</v>
          </cell>
          <cell r="Q65">
            <v>0</v>
          </cell>
        </row>
        <row r="66">
          <cell r="D66">
            <v>112900</v>
          </cell>
          <cell r="Q66">
            <v>1512524639</v>
          </cell>
        </row>
        <row r="67">
          <cell r="D67">
            <v>113350</v>
          </cell>
          <cell r="Q67">
            <v>0</v>
          </cell>
        </row>
        <row r="68">
          <cell r="Q68">
            <v>901152585</v>
          </cell>
        </row>
        <row r="69">
          <cell r="Q69">
            <v>547252970</v>
          </cell>
        </row>
        <row r="70">
          <cell r="D70">
            <v>121551</v>
          </cell>
          <cell r="Q70">
            <v>15689343</v>
          </cell>
        </row>
        <row r="71">
          <cell r="D71">
            <v>121511</v>
          </cell>
          <cell r="Q71">
            <v>0</v>
          </cell>
        </row>
        <row r="72">
          <cell r="D72">
            <v>121532</v>
          </cell>
          <cell r="Q72">
            <v>-39334002</v>
          </cell>
        </row>
        <row r="73">
          <cell r="D73">
            <v>121531</v>
          </cell>
          <cell r="Q73">
            <v>570897629</v>
          </cell>
        </row>
        <row r="74">
          <cell r="Q74">
            <v>0</v>
          </cell>
        </row>
        <row r="75">
          <cell r="D75">
            <v>121410</v>
          </cell>
          <cell r="Q75">
            <v>0</v>
          </cell>
        </row>
        <row r="76">
          <cell r="D76" t="str">
            <v>BS신설3</v>
          </cell>
          <cell r="Q76">
            <v>0</v>
          </cell>
        </row>
        <row r="77">
          <cell r="D77" t="str">
            <v>BS신설4</v>
          </cell>
          <cell r="Q77">
            <v>0</v>
          </cell>
        </row>
        <row r="78">
          <cell r="D78" t="str">
            <v>BS신설5</v>
          </cell>
          <cell r="Q78">
            <v>0</v>
          </cell>
        </row>
        <row r="79">
          <cell r="Q79">
            <v>0</v>
          </cell>
        </row>
        <row r="80">
          <cell r="D80">
            <v>900019</v>
          </cell>
          <cell r="Q80">
            <v>0</v>
          </cell>
        </row>
        <row r="81">
          <cell r="D81" t="str">
            <v>900023</v>
          </cell>
          <cell r="Q81">
            <v>0</v>
          </cell>
        </row>
        <row r="82">
          <cell r="Q82">
            <v>352924121</v>
          </cell>
        </row>
        <row r="83">
          <cell r="D83">
            <v>123700</v>
          </cell>
          <cell r="Q83">
            <v>0</v>
          </cell>
        </row>
        <row r="84">
          <cell r="D84">
            <v>123750</v>
          </cell>
          <cell r="Q84">
            <v>0</v>
          </cell>
        </row>
        <row r="85">
          <cell r="D85">
            <v>123900</v>
          </cell>
          <cell r="Q85">
            <v>0</v>
          </cell>
        </row>
        <row r="86">
          <cell r="D86">
            <v>123950</v>
          </cell>
          <cell r="Q86">
            <v>0</v>
          </cell>
        </row>
        <row r="87">
          <cell r="D87">
            <v>123960</v>
          </cell>
          <cell r="Q87">
            <v>0</v>
          </cell>
        </row>
        <row r="88">
          <cell r="D88">
            <v>124000</v>
          </cell>
          <cell r="Q88">
            <v>0</v>
          </cell>
        </row>
        <row r="89">
          <cell r="D89">
            <v>124050</v>
          </cell>
          <cell r="Q89">
            <v>0</v>
          </cell>
        </row>
        <row r="90">
          <cell r="D90">
            <v>124160</v>
          </cell>
          <cell r="Q90">
            <v>0</v>
          </cell>
        </row>
        <row r="91">
          <cell r="D91">
            <v>124200</v>
          </cell>
          <cell r="Q91">
            <v>0</v>
          </cell>
        </row>
        <row r="92">
          <cell r="D92">
            <v>124250</v>
          </cell>
          <cell r="Q92">
            <v>0</v>
          </cell>
        </row>
        <row r="93">
          <cell r="D93">
            <v>124260</v>
          </cell>
          <cell r="Q93">
            <v>0</v>
          </cell>
        </row>
        <row r="94">
          <cell r="D94">
            <v>124300</v>
          </cell>
          <cell r="Q94">
            <v>61203068</v>
          </cell>
        </row>
        <row r="95">
          <cell r="D95">
            <v>124350</v>
          </cell>
          <cell r="Q95">
            <v>-29948506</v>
          </cell>
        </row>
        <row r="96">
          <cell r="D96">
            <v>124360</v>
          </cell>
          <cell r="Q96">
            <v>0</v>
          </cell>
        </row>
        <row r="97">
          <cell r="D97">
            <v>124400</v>
          </cell>
          <cell r="Q97">
            <v>0</v>
          </cell>
        </row>
        <row r="98">
          <cell r="D98">
            <v>124450</v>
          </cell>
          <cell r="Q98">
            <v>0</v>
          </cell>
        </row>
        <row r="99">
          <cell r="D99">
            <v>124600</v>
          </cell>
          <cell r="Q99">
            <v>0</v>
          </cell>
        </row>
        <row r="100">
          <cell r="D100">
            <v>126100</v>
          </cell>
          <cell r="Q100">
            <v>848038069</v>
          </cell>
        </row>
        <row r="101">
          <cell r="D101">
            <v>126110</v>
          </cell>
          <cell r="Q101">
            <v>-526368510</v>
          </cell>
        </row>
        <row r="102">
          <cell r="D102">
            <v>126200</v>
          </cell>
          <cell r="Q102">
            <v>0</v>
          </cell>
        </row>
        <row r="103">
          <cell r="D103">
            <v>126210</v>
          </cell>
          <cell r="Q103">
            <v>0</v>
          </cell>
        </row>
        <row r="104">
          <cell r="D104" t="str">
            <v>BS신설8</v>
          </cell>
          <cell r="Q104">
            <v>0</v>
          </cell>
        </row>
        <row r="105">
          <cell r="Q105">
            <v>975494</v>
          </cell>
        </row>
        <row r="106">
          <cell r="D106" t="str">
            <v>125610</v>
          </cell>
          <cell r="Q106">
            <v>0</v>
          </cell>
        </row>
        <row r="107">
          <cell r="D107" t="str">
            <v>112620</v>
          </cell>
          <cell r="Q107">
            <v>0</v>
          </cell>
        </row>
        <row r="108">
          <cell r="D108" t="str">
            <v>125700</v>
          </cell>
          <cell r="Q108">
            <v>0</v>
          </cell>
        </row>
        <row r="109">
          <cell r="D109" t="str">
            <v>125710</v>
          </cell>
          <cell r="Q109">
            <v>0</v>
          </cell>
        </row>
        <row r="110">
          <cell r="D110" t="str">
            <v>125720</v>
          </cell>
          <cell r="Q110">
            <v>0</v>
          </cell>
        </row>
        <row r="111">
          <cell r="D111">
            <v>125300</v>
          </cell>
          <cell r="Q111">
            <v>0</v>
          </cell>
        </row>
        <row r="112">
          <cell r="D112" t="str">
            <v>125310</v>
          </cell>
          <cell r="Q112">
            <v>0</v>
          </cell>
        </row>
        <row r="113">
          <cell r="D113">
            <v>125400</v>
          </cell>
          <cell r="Q113">
            <v>0</v>
          </cell>
        </row>
        <row r="114">
          <cell r="D114" t="str">
            <v>125800</v>
          </cell>
          <cell r="Q114">
            <v>0</v>
          </cell>
        </row>
        <row r="115">
          <cell r="D115" t="str">
            <v>125810</v>
          </cell>
          <cell r="Q115">
            <v>0</v>
          </cell>
        </row>
        <row r="116">
          <cell r="D116">
            <v>125900</v>
          </cell>
          <cell r="Q116">
            <v>71291201</v>
          </cell>
        </row>
        <row r="117">
          <cell r="D117" t="str">
            <v>125910</v>
          </cell>
          <cell r="Q117">
            <v>-70315707</v>
          </cell>
        </row>
        <row r="118">
          <cell r="D118" t="str">
            <v>125920</v>
          </cell>
          <cell r="Q118">
            <v>0</v>
          </cell>
        </row>
        <row r="119">
          <cell r="D119" t="str">
            <v>125650</v>
          </cell>
          <cell r="Q119">
            <v>0</v>
          </cell>
        </row>
        <row r="120">
          <cell r="D120" t="str">
            <v>125660</v>
          </cell>
          <cell r="Q120">
            <v>0</v>
          </cell>
        </row>
        <row r="121">
          <cell r="D121">
            <v>125950</v>
          </cell>
          <cell r="Q121">
            <v>0</v>
          </cell>
        </row>
        <row r="122">
          <cell r="D122">
            <v>125960</v>
          </cell>
          <cell r="Q122">
            <v>0</v>
          </cell>
        </row>
        <row r="123">
          <cell r="D123">
            <v>125970</v>
          </cell>
          <cell r="Q123">
            <v>0</v>
          </cell>
        </row>
        <row r="124">
          <cell r="D124">
            <v>125980</v>
          </cell>
          <cell r="Q124">
            <v>0</v>
          </cell>
        </row>
        <row r="125">
          <cell r="D125" t="str">
            <v>연결5</v>
          </cell>
          <cell r="Q125">
            <v>0</v>
          </cell>
        </row>
        <row r="126">
          <cell r="Q126">
            <v>0</v>
          </cell>
        </row>
        <row r="127">
          <cell r="D127">
            <v>121850</v>
          </cell>
          <cell r="Q127">
            <v>0</v>
          </cell>
        </row>
        <row r="128">
          <cell r="Q128">
            <v>3467691337</v>
          </cell>
        </row>
        <row r="129">
          <cell r="Q129">
            <v>3375538228</v>
          </cell>
        </row>
        <row r="130">
          <cell r="D130">
            <v>211000</v>
          </cell>
          <cell r="Q130">
            <v>1160630020</v>
          </cell>
        </row>
        <row r="131">
          <cell r="D131">
            <v>211111</v>
          </cell>
          <cell r="Q131">
            <v>118742704</v>
          </cell>
        </row>
        <row r="132">
          <cell r="D132">
            <v>211121</v>
          </cell>
          <cell r="Q132">
            <v>0</v>
          </cell>
        </row>
        <row r="133">
          <cell r="D133">
            <v>211131</v>
          </cell>
          <cell r="Q133">
            <v>0</v>
          </cell>
        </row>
        <row r="134">
          <cell r="D134">
            <v>211141</v>
          </cell>
          <cell r="Q134">
            <v>0</v>
          </cell>
        </row>
        <row r="135">
          <cell r="D135">
            <v>211151</v>
          </cell>
          <cell r="Q135">
            <v>0</v>
          </cell>
        </row>
        <row r="136">
          <cell r="D136">
            <v>211161</v>
          </cell>
          <cell r="Q136">
            <v>0</v>
          </cell>
        </row>
        <row r="137">
          <cell r="D137">
            <v>213100</v>
          </cell>
          <cell r="Q137">
            <v>1031717209</v>
          </cell>
        </row>
        <row r="138">
          <cell r="D138">
            <v>213150</v>
          </cell>
          <cell r="Q138">
            <v>0</v>
          </cell>
        </row>
        <row r="139">
          <cell r="D139">
            <v>213900</v>
          </cell>
          <cell r="Q139">
            <v>0</v>
          </cell>
        </row>
        <row r="140">
          <cell r="D140">
            <v>213800</v>
          </cell>
          <cell r="Q140">
            <v>0</v>
          </cell>
        </row>
        <row r="141">
          <cell r="D141">
            <v>213101</v>
          </cell>
          <cell r="Q141">
            <v>0</v>
          </cell>
        </row>
        <row r="142">
          <cell r="D142">
            <v>213200</v>
          </cell>
          <cell r="Q142">
            <v>0</v>
          </cell>
        </row>
        <row r="143">
          <cell r="D143">
            <v>217100</v>
          </cell>
          <cell r="Q143">
            <v>0</v>
          </cell>
        </row>
        <row r="144">
          <cell r="D144">
            <v>217900</v>
          </cell>
          <cell r="Q144">
            <v>0</v>
          </cell>
        </row>
        <row r="145">
          <cell r="D145">
            <v>217200</v>
          </cell>
          <cell r="Q145">
            <v>10170107</v>
          </cell>
        </row>
        <row r="146">
          <cell r="D146">
            <v>217300</v>
          </cell>
          <cell r="Q146">
            <v>0</v>
          </cell>
        </row>
        <row r="147">
          <cell r="D147">
            <v>217400</v>
          </cell>
          <cell r="Q147">
            <v>0</v>
          </cell>
        </row>
        <row r="148">
          <cell r="D148">
            <v>217500</v>
          </cell>
          <cell r="Q148">
            <v>0</v>
          </cell>
        </row>
        <row r="149">
          <cell r="D149">
            <v>223150</v>
          </cell>
          <cell r="Q149">
            <v>0</v>
          </cell>
        </row>
        <row r="150">
          <cell r="Q150">
            <v>0</v>
          </cell>
        </row>
        <row r="151">
          <cell r="D151">
            <v>212300</v>
          </cell>
          <cell r="Q151">
            <v>0</v>
          </cell>
        </row>
        <row r="152">
          <cell r="D152">
            <v>212500</v>
          </cell>
          <cell r="Q152">
            <v>0</v>
          </cell>
        </row>
        <row r="153">
          <cell r="D153">
            <v>230320</v>
          </cell>
          <cell r="Q153">
            <v>0</v>
          </cell>
        </row>
        <row r="154">
          <cell r="D154">
            <v>230321</v>
          </cell>
          <cell r="Q154">
            <v>0</v>
          </cell>
        </row>
        <row r="155">
          <cell r="D155">
            <v>230322</v>
          </cell>
          <cell r="Q155">
            <v>0</v>
          </cell>
        </row>
        <row r="156">
          <cell r="D156">
            <v>230325</v>
          </cell>
          <cell r="Q156">
            <v>0</v>
          </cell>
        </row>
        <row r="157">
          <cell r="Q157">
            <v>1711463639</v>
          </cell>
        </row>
        <row r="158">
          <cell r="D158">
            <v>214100</v>
          </cell>
          <cell r="Q158">
            <v>12327668</v>
          </cell>
        </row>
        <row r="159">
          <cell r="D159">
            <v>214200</v>
          </cell>
          <cell r="Q159">
            <v>0</v>
          </cell>
        </row>
        <row r="160">
          <cell r="D160">
            <v>214350</v>
          </cell>
          <cell r="Q160">
            <v>0</v>
          </cell>
        </row>
        <row r="161">
          <cell r="D161">
            <v>214360</v>
          </cell>
          <cell r="Q161">
            <v>0</v>
          </cell>
        </row>
        <row r="162">
          <cell r="D162">
            <v>214150</v>
          </cell>
          <cell r="Q162">
            <v>0</v>
          </cell>
        </row>
        <row r="163">
          <cell r="D163">
            <v>214250</v>
          </cell>
          <cell r="Q163">
            <v>0</v>
          </cell>
        </row>
        <row r="164">
          <cell r="D164">
            <v>214400</v>
          </cell>
          <cell r="Q164">
            <v>0</v>
          </cell>
        </row>
        <row r="165">
          <cell r="D165">
            <v>214600</v>
          </cell>
          <cell r="Q165">
            <v>0</v>
          </cell>
        </row>
        <row r="166">
          <cell r="D166">
            <v>214700</v>
          </cell>
          <cell r="Q166">
            <v>0</v>
          </cell>
        </row>
        <row r="167">
          <cell r="D167">
            <v>215100</v>
          </cell>
          <cell r="Q167">
            <v>0</v>
          </cell>
        </row>
        <row r="168">
          <cell r="D168">
            <v>215200</v>
          </cell>
          <cell r="Q168">
            <v>0</v>
          </cell>
        </row>
        <row r="169">
          <cell r="D169">
            <v>215300</v>
          </cell>
          <cell r="Q169">
            <v>0</v>
          </cell>
        </row>
        <row r="170">
          <cell r="D170">
            <v>215400</v>
          </cell>
          <cell r="Q170">
            <v>0</v>
          </cell>
        </row>
        <row r="171">
          <cell r="D171">
            <v>215500</v>
          </cell>
          <cell r="Q171">
            <v>0</v>
          </cell>
        </row>
        <row r="172">
          <cell r="D172">
            <v>215900</v>
          </cell>
          <cell r="Q172">
            <v>11214525</v>
          </cell>
        </row>
        <row r="173">
          <cell r="D173">
            <v>215700</v>
          </cell>
          <cell r="Q173">
            <v>0</v>
          </cell>
        </row>
        <row r="174">
          <cell r="D174">
            <v>215800</v>
          </cell>
          <cell r="Q174">
            <v>0</v>
          </cell>
        </row>
        <row r="175">
          <cell r="D175">
            <v>219000</v>
          </cell>
          <cell r="Q175">
            <v>1687865542</v>
          </cell>
        </row>
        <row r="176">
          <cell r="D176">
            <v>220000</v>
          </cell>
          <cell r="Q176">
            <v>55904</v>
          </cell>
        </row>
        <row r="177">
          <cell r="D177">
            <v>223100</v>
          </cell>
          <cell r="Q177">
            <v>0</v>
          </cell>
        </row>
        <row r="178">
          <cell r="D178">
            <v>223130</v>
          </cell>
          <cell r="Q178">
            <v>0</v>
          </cell>
        </row>
        <row r="179">
          <cell r="Q179">
            <v>503444569</v>
          </cell>
        </row>
        <row r="180">
          <cell r="D180">
            <v>223110</v>
          </cell>
          <cell r="Q180">
            <v>503444569</v>
          </cell>
        </row>
        <row r="181">
          <cell r="Q181">
            <v>0</v>
          </cell>
        </row>
        <row r="182">
          <cell r="D182" t="str">
            <v>220000-1</v>
          </cell>
          <cell r="Q182">
            <v>0</v>
          </cell>
        </row>
        <row r="183">
          <cell r="Q183">
            <v>92153109</v>
          </cell>
        </row>
        <row r="184">
          <cell r="Q184">
            <v>92153109</v>
          </cell>
        </row>
        <row r="185">
          <cell r="D185">
            <v>230700</v>
          </cell>
          <cell r="Q185">
            <v>92153109</v>
          </cell>
        </row>
        <row r="186">
          <cell r="D186">
            <v>122110</v>
          </cell>
          <cell r="Q186">
            <v>0</v>
          </cell>
        </row>
        <row r="187">
          <cell r="Q187">
            <v>0</v>
          </cell>
        </row>
        <row r="188">
          <cell r="D188">
            <v>230900</v>
          </cell>
          <cell r="Q188">
            <v>0</v>
          </cell>
        </row>
        <row r="189">
          <cell r="Q189">
            <v>0</v>
          </cell>
        </row>
        <row r="190">
          <cell r="D190">
            <v>231600</v>
          </cell>
          <cell r="Q190">
            <v>0</v>
          </cell>
        </row>
        <row r="191">
          <cell r="Q191">
            <v>0</v>
          </cell>
        </row>
        <row r="192">
          <cell r="D192" t="str">
            <v>BS신설7</v>
          </cell>
          <cell r="Q192">
            <v>0</v>
          </cell>
        </row>
        <row r="193">
          <cell r="Q193">
            <v>3910903550</v>
          </cell>
        </row>
        <row r="194">
          <cell r="Q194">
            <v>3910903550</v>
          </cell>
        </row>
        <row r="195">
          <cell r="Q195">
            <v>511470000</v>
          </cell>
        </row>
        <row r="196">
          <cell r="D196">
            <v>310100</v>
          </cell>
          <cell r="Q196">
            <v>511470000</v>
          </cell>
        </row>
        <row r="197">
          <cell r="Q197">
            <v>0</v>
          </cell>
        </row>
        <row r="198">
          <cell r="D198">
            <v>320100</v>
          </cell>
          <cell r="Q198">
            <v>0</v>
          </cell>
        </row>
        <row r="199">
          <cell r="D199">
            <v>320500</v>
          </cell>
          <cell r="Q199">
            <v>0</v>
          </cell>
        </row>
        <row r="200">
          <cell r="D200">
            <v>320300</v>
          </cell>
          <cell r="Q200">
            <v>0</v>
          </cell>
        </row>
        <row r="201">
          <cell r="Q201">
            <v>-1065782088</v>
          </cell>
        </row>
        <row r="202">
          <cell r="D202">
            <v>350300</v>
          </cell>
          <cell r="Q202">
            <v>0</v>
          </cell>
        </row>
        <row r="203">
          <cell r="D203">
            <v>350350</v>
          </cell>
          <cell r="Q203">
            <v>0</v>
          </cell>
        </row>
        <row r="204">
          <cell r="D204" t="str">
            <v>350100</v>
          </cell>
          <cell r="Q204">
            <v>0</v>
          </cell>
        </row>
        <row r="205">
          <cell r="D205">
            <v>350400</v>
          </cell>
          <cell r="Q205">
            <v>0</v>
          </cell>
        </row>
        <row r="206">
          <cell r="D206">
            <v>350210</v>
          </cell>
          <cell r="Q206">
            <v>-778091133</v>
          </cell>
        </row>
        <row r="207">
          <cell r="D207" t="str">
            <v>350560</v>
          </cell>
          <cell r="Q207">
            <v>0</v>
          </cell>
        </row>
        <row r="208">
          <cell r="D208" t="str">
            <v>350630</v>
          </cell>
          <cell r="Q208">
            <v>0</v>
          </cell>
        </row>
        <row r="209">
          <cell r="D209" t="str">
            <v>350900</v>
          </cell>
          <cell r="Q209">
            <v>-287690955</v>
          </cell>
        </row>
        <row r="210">
          <cell r="D210" t="str">
            <v>350910</v>
          </cell>
          <cell r="Q210">
            <v>0</v>
          </cell>
        </row>
        <row r="211">
          <cell r="Q211">
            <v>4465215638</v>
          </cell>
        </row>
        <row r="212">
          <cell r="D212">
            <v>350951</v>
          </cell>
          <cell r="Q212">
            <v>0</v>
          </cell>
        </row>
        <row r="213">
          <cell r="D213" t="str">
            <v>340100</v>
          </cell>
          <cell r="Q213">
            <v>3058983333</v>
          </cell>
        </row>
        <row r="214">
          <cell r="D214" t="str">
            <v>340300</v>
          </cell>
          <cell r="Q214">
            <v>1406232305</v>
          </cell>
        </row>
        <row r="215">
          <cell r="Q215">
            <v>0</v>
          </cell>
        </row>
        <row r="216">
          <cell r="D216" t="str">
            <v>NCE</v>
          </cell>
          <cell r="Q216">
            <v>0</v>
          </cell>
        </row>
        <row r="217">
          <cell r="Q217">
            <v>7378594887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FN0010"/>
      <sheetName val="FN0020"/>
      <sheetName val="FN0040"/>
      <sheetName val="FN0061"/>
      <sheetName val="FN0062"/>
      <sheetName val="FN0064"/>
      <sheetName val="FN0141"/>
      <sheetName val="FN0151"/>
      <sheetName val="FN0152"/>
      <sheetName val="FN0161"/>
      <sheetName val="FN0170"/>
      <sheetName val="FN0180"/>
      <sheetName val="FN0181"/>
      <sheetName val="FN0240"/>
      <sheetName val="FN0260"/>
      <sheetName val="FN0270"/>
      <sheetName val="FN0291"/>
      <sheetName val="FN0292"/>
      <sheetName val="FN0300"/>
      <sheetName val="FN0310"/>
      <sheetName val="FN0320"/>
      <sheetName val="FN0330"/>
      <sheetName val="FN0331"/>
      <sheetName val="FN0340"/>
      <sheetName val="FN0350"/>
      <sheetName val="FN0380"/>
      <sheetName val="FN0390"/>
      <sheetName val="FN0430"/>
      <sheetName val="FN0440"/>
      <sheetName val="FN0510"/>
      <sheetName val="FN0530"/>
      <sheetName val="FN0550"/>
      <sheetName val="FN0560"/>
      <sheetName val="FN0580"/>
      <sheetName val="FN0582"/>
      <sheetName val="FN0583"/>
      <sheetName val="FN0592"/>
      <sheetName val="FN0620"/>
      <sheetName val="FN0670"/>
      <sheetName val="FN0691"/>
      <sheetName val="FN0710"/>
      <sheetName val="FN0740"/>
      <sheetName val="FN0750"/>
      <sheetName val="FN0760"/>
      <sheetName val="FN0770"/>
      <sheetName val="FN0780"/>
      <sheetName val="FN0781"/>
      <sheetName val="FN0900"/>
      <sheetName val="FN0980"/>
      <sheetName val="FN0981"/>
      <sheetName val="FN0982"/>
      <sheetName val="FN0983"/>
      <sheetName val="FN0984"/>
      <sheetName val="FN098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K3">
            <v>624668881</v>
          </cell>
          <cell r="U3">
            <v>-20627500</v>
          </cell>
        </row>
        <row r="4">
          <cell r="K4">
            <v>2242384312</v>
          </cell>
          <cell r="U4">
            <v>-103180348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ky81@naver.com" id="{791FECDD-D244-4D8E-8981-71E7219E5A9F}" userId="026391ada50768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7" dT="2021-06-03T08:12:39.16" personId="{791FECDD-D244-4D8E-8981-71E7219E5A9F}" id="{BD9DC888-E6CD-4D9D-8F75-6E24219408A0}">
    <text>전기말환율로 FIX: 20년말 전액손상으로 환산평가하지 않음</text>
  </threadedComment>
  <threadedComment ref="W17" dT="2021-06-03T08:12:39.16" personId="{791FECDD-D244-4D8E-8981-71E7219E5A9F}" id="{63BA142C-A847-4F51-843F-E88F074944CA}">
    <text>전기말환율로 FIX: 20년말 전액손상으로 환산평가하지 않음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1.bin"/><Relationship Id="rId4" Type="http://schemas.microsoft.com/office/2017/10/relationships/threadedComment" Target="../threadedComments/threadedComment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D3:F15"/>
  <sheetViews>
    <sheetView showGridLines="0" zoomScale="80" zoomScaleNormal="80" workbookViewId="0">
      <selection activeCell="F17" sqref="F17"/>
    </sheetView>
  </sheetViews>
  <sheetFormatPr defaultColWidth="8.75" defaultRowHeight="18" customHeight="1"/>
  <cols>
    <col min="1" max="3" width="2.375" style="3" customWidth="1"/>
    <col min="4" max="22" width="20.375" style="3" customWidth="1"/>
    <col min="23" max="16384" width="8.75" style="3"/>
  </cols>
  <sheetData>
    <row r="3" spans="4:6" s="2" customFormat="1" ht="18" customHeight="1">
      <c r="D3" s="2" t="s">
        <v>15</v>
      </c>
      <c r="E3" s="1"/>
    </row>
    <row r="4" spans="4:6" s="2" customFormat="1" ht="18" customHeight="1">
      <c r="D4" s="2" t="s">
        <v>1869</v>
      </c>
      <c r="E4" s="1"/>
    </row>
    <row r="5" spans="4:6" s="2" customFormat="1" ht="18" customHeight="1" thickBot="1">
      <c r="D5" s="3"/>
      <c r="E5" s="23"/>
      <c r="F5" s="3"/>
    </row>
    <row r="6" spans="4:6" ht="18" customHeight="1">
      <c r="D6" s="139" t="s">
        <v>1870</v>
      </c>
      <c r="E6" s="140">
        <v>44104</v>
      </c>
    </row>
    <row r="7" spans="4:6" ht="18" customHeight="1">
      <c r="D7" s="141" t="s">
        <v>580</v>
      </c>
      <c r="E7" s="142" t="s">
        <v>15</v>
      </c>
      <c r="F7" s="2"/>
    </row>
    <row r="8" spans="4:6" ht="18" customHeight="1" thickBot="1">
      <c r="D8" s="143" t="s">
        <v>1871</v>
      </c>
      <c r="E8" s="144" t="s">
        <v>473</v>
      </c>
    </row>
    <row r="13" spans="4:6" ht="18" customHeight="1">
      <c r="D13" s="3" t="s">
        <v>1866</v>
      </c>
    </row>
    <row r="14" spans="4:6" ht="18" customHeight="1">
      <c r="D14" s="137" t="s">
        <v>1867</v>
      </c>
    </row>
    <row r="15" spans="4:6" ht="18" customHeight="1">
      <c r="D15" s="138" t="s">
        <v>1868</v>
      </c>
    </row>
  </sheetData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'C:\00.MATTHEW\01.회계\01.결산자료\FY2020\3월\연결\자회사정산표\[ENT_FY2020 3월 정산표_V2.0.xlsx]drop'!#REF!</xm:f>
          </x14:formula1>
          <xm:sqref>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33"/>
  <sheetViews>
    <sheetView showGridLines="0" zoomScale="80" zoomScaleNormal="80" workbookViewId="0">
      <selection activeCell="F45" sqref="F45"/>
    </sheetView>
  </sheetViews>
  <sheetFormatPr defaultColWidth="8.75" defaultRowHeight="18" customHeight="1"/>
  <cols>
    <col min="1" max="3" width="2.375" style="3" customWidth="1"/>
    <col min="4" max="6" width="18.25" style="3" customWidth="1"/>
    <col min="7" max="7" width="18.25" style="23" customWidth="1"/>
    <col min="8" max="15" width="18.25" style="3" customWidth="1"/>
    <col min="16" max="16" width="14.625" style="3" customWidth="1"/>
    <col min="17" max="21" width="20.375" style="3" customWidth="1"/>
    <col min="22" max="16384" width="8.75" style="3"/>
  </cols>
  <sheetData>
    <row r="1" spans="1:14" ht="33.6" customHeight="1">
      <c r="A1" s="2" t="s">
        <v>501</v>
      </c>
    </row>
    <row r="2" spans="1:14" ht="18" customHeight="1">
      <c r="D2" s="358" t="s">
        <v>1912</v>
      </c>
    </row>
    <row r="3" spans="1:14" s="33" customFormat="1" ht="18" customHeight="1">
      <c r="D3" s="2107" t="s">
        <v>502</v>
      </c>
      <c r="E3" s="2107" t="s">
        <v>503</v>
      </c>
      <c r="F3" s="2107" t="s">
        <v>504</v>
      </c>
      <c r="G3" s="2107" t="s">
        <v>505</v>
      </c>
      <c r="H3" s="2107" t="s">
        <v>506</v>
      </c>
      <c r="I3" s="2107"/>
      <c r="J3" s="2107" t="s">
        <v>507</v>
      </c>
      <c r="K3" s="2107"/>
      <c r="L3" s="2107" t="s">
        <v>1737</v>
      </c>
      <c r="M3" s="2107"/>
    </row>
    <row r="4" spans="1:14" s="280" customFormat="1" ht="18" customHeight="1">
      <c r="D4" s="2107"/>
      <c r="E4" s="2107"/>
      <c r="F4" s="2107"/>
      <c r="G4" s="2107"/>
      <c r="H4" s="348" t="s">
        <v>508</v>
      </c>
      <c r="I4" s="348" t="s">
        <v>500</v>
      </c>
      <c r="J4" s="348" t="s">
        <v>508</v>
      </c>
      <c r="K4" s="348" t="s">
        <v>500</v>
      </c>
      <c r="L4" s="348" t="s">
        <v>508</v>
      </c>
      <c r="M4" s="348" t="s">
        <v>500</v>
      </c>
    </row>
    <row r="5" spans="1:14" s="6" customFormat="1" ht="18" customHeight="1">
      <c r="D5" s="349">
        <v>1</v>
      </c>
      <c r="E5" s="6" t="s">
        <v>15</v>
      </c>
      <c r="F5" s="6" t="s">
        <v>509</v>
      </c>
      <c r="G5" s="30" t="s">
        <v>510</v>
      </c>
      <c r="H5" s="217">
        <v>1</v>
      </c>
      <c r="I5" s="217">
        <v>1</v>
      </c>
      <c r="J5" s="217">
        <v>1</v>
      </c>
      <c r="K5" s="217">
        <v>1</v>
      </c>
      <c r="L5" s="217">
        <v>1</v>
      </c>
      <c r="M5" s="217">
        <v>1</v>
      </c>
    </row>
    <row r="6" spans="1:14" s="6" customFormat="1" ht="18" customHeight="1">
      <c r="D6" s="349">
        <v>2</v>
      </c>
      <c r="E6" s="6" t="s">
        <v>15</v>
      </c>
      <c r="F6" s="6" t="s">
        <v>511</v>
      </c>
      <c r="G6" s="30" t="s">
        <v>512</v>
      </c>
      <c r="H6" s="217">
        <v>1</v>
      </c>
      <c r="I6" s="217">
        <v>1</v>
      </c>
      <c r="J6" s="217">
        <v>1</v>
      </c>
      <c r="K6" s="217">
        <v>1</v>
      </c>
      <c r="L6" s="217">
        <v>0</v>
      </c>
      <c r="M6" s="217">
        <v>0</v>
      </c>
      <c r="N6" s="33" t="s">
        <v>1738</v>
      </c>
    </row>
    <row r="7" spans="1:14" s="6" customFormat="1" ht="18" customHeight="1">
      <c r="D7" s="349">
        <v>3</v>
      </c>
      <c r="E7" s="6" t="s">
        <v>15</v>
      </c>
      <c r="F7" s="6" t="s">
        <v>513</v>
      </c>
      <c r="G7" s="30" t="s">
        <v>514</v>
      </c>
      <c r="H7" s="217">
        <v>1</v>
      </c>
      <c r="I7" s="217">
        <v>1</v>
      </c>
      <c r="J7" s="217">
        <v>1</v>
      </c>
      <c r="K7" s="217">
        <v>1</v>
      </c>
      <c r="L7" s="217">
        <v>0</v>
      </c>
      <c r="M7" s="217">
        <v>0</v>
      </c>
      <c r="N7" s="33" t="s">
        <v>1739</v>
      </c>
    </row>
    <row r="8" spans="1:14" s="6" customFormat="1" ht="18" customHeight="1">
      <c r="D8" s="349">
        <v>4</v>
      </c>
      <c r="E8" s="6" t="s">
        <v>15</v>
      </c>
      <c r="F8" s="6" t="s">
        <v>515</v>
      </c>
      <c r="G8" s="30" t="s">
        <v>514</v>
      </c>
      <c r="H8" s="217">
        <v>1</v>
      </c>
      <c r="I8" s="217">
        <v>1</v>
      </c>
      <c r="J8" s="217">
        <v>1</v>
      </c>
      <c r="K8" s="217">
        <v>1</v>
      </c>
      <c r="L8" s="217">
        <v>1</v>
      </c>
      <c r="M8" s="217">
        <v>1</v>
      </c>
    </row>
    <row r="9" spans="1:14" s="6" customFormat="1" ht="18" customHeight="1">
      <c r="D9" s="349">
        <v>5</v>
      </c>
      <c r="E9" s="6" t="s">
        <v>15</v>
      </c>
      <c r="F9" s="6" t="s">
        <v>516</v>
      </c>
      <c r="G9" s="30" t="s">
        <v>514</v>
      </c>
      <c r="H9" s="217">
        <v>1</v>
      </c>
      <c r="I9" s="217">
        <v>1</v>
      </c>
      <c r="J9" s="350">
        <v>0</v>
      </c>
      <c r="K9" s="350">
        <v>0</v>
      </c>
      <c r="L9" s="350">
        <v>0</v>
      </c>
      <c r="M9" s="350">
        <v>0</v>
      </c>
      <c r="N9" s="33" t="s">
        <v>517</v>
      </c>
    </row>
    <row r="10" spans="1:14" s="6" customFormat="1" ht="18" customHeight="1">
      <c r="D10" s="349">
        <v>6</v>
      </c>
      <c r="E10" s="6" t="s">
        <v>15</v>
      </c>
      <c r="F10" s="6" t="s">
        <v>518</v>
      </c>
      <c r="G10" s="30" t="s">
        <v>519</v>
      </c>
      <c r="H10" s="217">
        <v>0.442</v>
      </c>
      <c r="I10" s="217">
        <v>0.442</v>
      </c>
      <c r="J10" s="217">
        <v>1</v>
      </c>
      <c r="K10" s="217">
        <v>1</v>
      </c>
      <c r="L10" s="217">
        <v>0</v>
      </c>
      <c r="M10" s="217">
        <v>0</v>
      </c>
      <c r="N10" s="33" t="s">
        <v>1531</v>
      </c>
    </row>
    <row r="11" spans="1:14" s="6" customFormat="1" ht="18" customHeight="1">
      <c r="D11" s="349">
        <v>7</v>
      </c>
      <c r="E11" s="6" t="s">
        <v>509</v>
      </c>
      <c r="F11" s="6" t="s">
        <v>520</v>
      </c>
      <c r="G11" s="30" t="s">
        <v>521</v>
      </c>
      <c r="H11" s="217">
        <v>1</v>
      </c>
      <c r="I11" s="217">
        <v>1</v>
      </c>
      <c r="J11" s="217">
        <v>1</v>
      </c>
      <c r="K11" s="217">
        <v>1</v>
      </c>
      <c r="L11" s="217">
        <v>1</v>
      </c>
      <c r="M11" s="217">
        <v>1</v>
      </c>
    </row>
    <row r="12" spans="1:14" s="6" customFormat="1" ht="18" customHeight="1">
      <c r="D12" s="349">
        <v>8</v>
      </c>
      <c r="E12" s="6" t="s">
        <v>509</v>
      </c>
      <c r="F12" s="6" t="s">
        <v>522</v>
      </c>
      <c r="G12" s="30" t="s">
        <v>521</v>
      </c>
      <c r="H12" s="217">
        <v>1</v>
      </c>
      <c r="I12" s="217">
        <v>1</v>
      </c>
      <c r="J12" s="217">
        <v>1</v>
      </c>
      <c r="K12" s="217">
        <v>1</v>
      </c>
      <c r="L12" s="217">
        <v>1</v>
      </c>
      <c r="M12" s="217">
        <v>1</v>
      </c>
    </row>
    <row r="13" spans="1:14" ht="18" customHeight="1">
      <c r="H13" s="351"/>
      <c r="I13" s="351"/>
    </row>
    <row r="14" spans="1:14" ht="18" customHeight="1">
      <c r="H14" s="351"/>
      <c r="I14" s="351"/>
    </row>
    <row r="15" spans="1:14" s="2" customFormat="1" ht="18" customHeight="1">
      <c r="G15" s="1"/>
      <c r="H15" s="352"/>
      <c r="I15" s="352"/>
    </row>
    <row r="16" spans="1:14" ht="18" customHeight="1">
      <c r="H16" s="351"/>
      <c r="I16" s="351"/>
    </row>
    <row r="18" spans="4:17" ht="18" customHeight="1">
      <c r="D18" s="3" t="s">
        <v>1864</v>
      </c>
    </row>
    <row r="19" spans="4:17" ht="18" customHeight="1">
      <c r="D19" s="2107" t="s">
        <v>502</v>
      </c>
      <c r="E19" s="2107" t="s">
        <v>503</v>
      </c>
      <c r="F19" s="2107" t="s">
        <v>504</v>
      </c>
      <c r="G19" s="2107" t="s">
        <v>505</v>
      </c>
      <c r="H19" s="2107" t="s">
        <v>506</v>
      </c>
      <c r="I19" s="2107"/>
      <c r="J19" s="2107" t="s">
        <v>507</v>
      </c>
      <c r="K19" s="2107"/>
      <c r="L19" s="2107" t="s">
        <v>1737</v>
      </c>
      <c r="M19" s="2107"/>
    </row>
    <row r="20" spans="4:17" ht="18" customHeight="1">
      <c r="D20" s="2107"/>
      <c r="E20" s="2107"/>
      <c r="F20" s="2107"/>
      <c r="G20" s="2107"/>
      <c r="H20" s="348" t="s">
        <v>508</v>
      </c>
      <c r="I20" s="348" t="s">
        <v>500</v>
      </c>
      <c r="J20" s="348" t="s">
        <v>508</v>
      </c>
      <c r="K20" s="348" t="s">
        <v>500</v>
      </c>
      <c r="L20" s="348" t="s">
        <v>508</v>
      </c>
      <c r="M20" s="348" t="s">
        <v>500</v>
      </c>
    </row>
    <row r="21" spans="4:17" ht="18" customHeight="1">
      <c r="D21" s="349">
        <v>1</v>
      </c>
      <c r="E21" s="6" t="s">
        <v>15</v>
      </c>
      <c r="F21" s="6" t="s">
        <v>509</v>
      </c>
      <c r="G21" s="30" t="s">
        <v>510</v>
      </c>
      <c r="H21" s="217">
        <v>1</v>
      </c>
      <c r="I21" s="217">
        <v>1</v>
      </c>
      <c r="J21" s="217">
        <v>1</v>
      </c>
      <c r="K21" s="217">
        <v>1</v>
      </c>
      <c r="L21" s="217">
        <v>1</v>
      </c>
      <c r="M21" s="217">
        <v>1</v>
      </c>
    </row>
    <row r="22" spans="4:17" ht="18" customHeight="1">
      <c r="D22" s="349">
        <v>2</v>
      </c>
      <c r="E22" s="6" t="s">
        <v>15</v>
      </c>
      <c r="F22" s="6" t="s">
        <v>515</v>
      </c>
      <c r="G22" s="30" t="s">
        <v>514</v>
      </c>
      <c r="H22" s="217">
        <v>1</v>
      </c>
      <c r="I22" s="217">
        <v>1</v>
      </c>
      <c r="J22" s="217">
        <v>1</v>
      </c>
      <c r="K22" s="217">
        <v>1</v>
      </c>
      <c r="L22" s="217">
        <v>1</v>
      </c>
      <c r="M22" s="217">
        <v>1</v>
      </c>
    </row>
    <row r="23" spans="4:17" ht="18" customHeight="1">
      <c r="D23" s="349">
        <v>3</v>
      </c>
      <c r="E23" s="6" t="s">
        <v>509</v>
      </c>
      <c r="F23" s="6" t="s">
        <v>520</v>
      </c>
      <c r="G23" s="30" t="s">
        <v>521</v>
      </c>
      <c r="H23" s="217">
        <v>1</v>
      </c>
      <c r="I23" s="217">
        <v>1</v>
      </c>
      <c r="J23" s="217">
        <v>1</v>
      </c>
      <c r="K23" s="217">
        <v>1</v>
      </c>
      <c r="L23" s="217">
        <v>1</v>
      </c>
      <c r="M23" s="217">
        <v>1</v>
      </c>
    </row>
    <row r="24" spans="4:17" ht="18" customHeight="1">
      <c r="D24" s="349">
        <v>4</v>
      </c>
      <c r="E24" s="6" t="s">
        <v>509</v>
      </c>
      <c r="F24" s="6" t="s">
        <v>522</v>
      </c>
      <c r="G24" s="30" t="s">
        <v>521</v>
      </c>
      <c r="H24" s="217">
        <v>1</v>
      </c>
      <c r="I24" s="217">
        <v>1</v>
      </c>
      <c r="J24" s="217">
        <v>1</v>
      </c>
      <c r="K24" s="217">
        <v>1</v>
      </c>
      <c r="L24" s="217">
        <v>1</v>
      </c>
      <c r="M24" s="217">
        <v>1</v>
      </c>
    </row>
    <row r="27" spans="4:17" ht="18" customHeight="1">
      <c r="D27" s="3" t="s">
        <v>2001</v>
      </c>
    </row>
    <row r="28" spans="4:17" ht="18" customHeight="1">
      <c r="D28" s="2107" t="s">
        <v>502</v>
      </c>
      <c r="E28" s="2107" t="s">
        <v>503</v>
      </c>
      <c r="F28" s="2107" t="s">
        <v>504</v>
      </c>
      <c r="G28" s="2107" t="s">
        <v>505</v>
      </c>
      <c r="H28" s="2107" t="s">
        <v>506</v>
      </c>
      <c r="I28" s="2107"/>
      <c r="J28" s="2107" t="s">
        <v>507</v>
      </c>
      <c r="K28" s="2107"/>
      <c r="L28" s="2107" t="s">
        <v>1737</v>
      </c>
      <c r="M28" s="2107"/>
      <c r="N28" s="2107" t="s">
        <v>1913</v>
      </c>
      <c r="O28" s="2107"/>
      <c r="P28" s="2107" t="s">
        <v>2000</v>
      </c>
      <c r="Q28" s="2107"/>
    </row>
    <row r="29" spans="4:17" ht="18" customHeight="1">
      <c r="D29" s="2107"/>
      <c r="E29" s="2107"/>
      <c r="F29" s="2107"/>
      <c r="G29" s="2107"/>
      <c r="H29" s="357" t="s">
        <v>508</v>
      </c>
      <c r="I29" s="357" t="s">
        <v>500</v>
      </c>
      <c r="J29" s="357" t="s">
        <v>508</v>
      </c>
      <c r="K29" s="357" t="s">
        <v>500</v>
      </c>
      <c r="L29" s="357" t="s">
        <v>508</v>
      </c>
      <c r="M29" s="357" t="s">
        <v>500</v>
      </c>
      <c r="N29" s="357" t="s">
        <v>508</v>
      </c>
      <c r="O29" s="357" t="s">
        <v>500</v>
      </c>
      <c r="P29" s="367" t="s">
        <v>508</v>
      </c>
      <c r="Q29" s="367" t="s">
        <v>500</v>
      </c>
    </row>
    <row r="30" spans="4:17" ht="18" customHeight="1">
      <c r="D30" s="349">
        <v>1</v>
      </c>
      <c r="E30" s="6" t="s">
        <v>15</v>
      </c>
      <c r="F30" s="6" t="s">
        <v>509</v>
      </c>
      <c r="G30" s="30" t="s">
        <v>510</v>
      </c>
      <c r="H30" s="217">
        <v>1</v>
      </c>
      <c r="I30" s="217">
        <v>1</v>
      </c>
      <c r="J30" s="217">
        <v>1</v>
      </c>
      <c r="K30" s="217">
        <v>1</v>
      </c>
      <c r="L30" s="217">
        <v>1</v>
      </c>
      <c r="M30" s="217">
        <v>1</v>
      </c>
      <c r="N30" s="217">
        <v>1</v>
      </c>
      <c r="O30" s="217">
        <v>1</v>
      </c>
      <c r="P30" s="217">
        <v>1</v>
      </c>
      <c r="Q30" s="217">
        <v>1</v>
      </c>
    </row>
    <row r="31" spans="4:17" ht="18" customHeight="1">
      <c r="D31" s="349">
        <v>2</v>
      </c>
      <c r="E31" s="6" t="s">
        <v>15</v>
      </c>
      <c r="F31" s="6" t="s">
        <v>515</v>
      </c>
      <c r="G31" s="30" t="s">
        <v>514</v>
      </c>
      <c r="H31" s="217">
        <v>1</v>
      </c>
      <c r="I31" s="217">
        <v>1</v>
      </c>
      <c r="J31" s="217">
        <v>1</v>
      </c>
      <c r="K31" s="217">
        <v>1</v>
      </c>
      <c r="L31" s="217">
        <v>1</v>
      </c>
      <c r="M31" s="217">
        <v>1</v>
      </c>
      <c r="N31" s="217">
        <v>1</v>
      </c>
      <c r="O31" s="217">
        <v>1</v>
      </c>
      <c r="P31" s="217">
        <v>1</v>
      </c>
      <c r="Q31" s="217">
        <v>1</v>
      </c>
    </row>
    <row r="32" spans="4:17" ht="18" customHeight="1">
      <c r="D32" s="349">
        <v>3</v>
      </c>
      <c r="E32" s="6" t="s">
        <v>509</v>
      </c>
      <c r="F32" s="6" t="s">
        <v>520</v>
      </c>
      <c r="G32" s="30" t="s">
        <v>521</v>
      </c>
      <c r="H32" s="217">
        <v>1</v>
      </c>
      <c r="I32" s="217">
        <v>1</v>
      </c>
      <c r="J32" s="217">
        <v>1</v>
      </c>
      <c r="K32" s="217">
        <v>1</v>
      </c>
      <c r="L32" s="217">
        <v>1</v>
      </c>
      <c r="M32" s="217">
        <v>1</v>
      </c>
      <c r="N32" s="217">
        <v>1</v>
      </c>
      <c r="O32" s="217">
        <v>1</v>
      </c>
      <c r="P32" s="217">
        <v>1</v>
      </c>
      <c r="Q32" s="217">
        <v>1</v>
      </c>
    </row>
    <row r="33" spans="4:17" ht="18" customHeight="1">
      <c r="D33" s="349">
        <v>4</v>
      </c>
      <c r="E33" s="6" t="s">
        <v>509</v>
      </c>
      <c r="F33" s="6" t="s">
        <v>522</v>
      </c>
      <c r="G33" s="30" t="s">
        <v>521</v>
      </c>
      <c r="H33" s="217">
        <v>1</v>
      </c>
      <c r="I33" s="217">
        <v>1</v>
      </c>
      <c r="J33" s="217">
        <v>1</v>
      </c>
      <c r="K33" s="217">
        <v>1</v>
      </c>
      <c r="L33" s="217">
        <v>1</v>
      </c>
      <c r="M33" s="217">
        <v>1</v>
      </c>
      <c r="N33" s="217">
        <v>1</v>
      </c>
      <c r="O33" s="217">
        <v>1</v>
      </c>
      <c r="P33" s="217">
        <v>1</v>
      </c>
      <c r="Q33" s="217">
        <v>1</v>
      </c>
    </row>
  </sheetData>
  <mergeCells count="23">
    <mergeCell ref="L28:M28"/>
    <mergeCell ref="N28:O28"/>
    <mergeCell ref="D28:D29"/>
    <mergeCell ref="E28:E29"/>
    <mergeCell ref="F28:F29"/>
    <mergeCell ref="G28:G29"/>
    <mergeCell ref="H28:I28"/>
    <mergeCell ref="P28:Q28"/>
    <mergeCell ref="J3:K3"/>
    <mergeCell ref="L3:M3"/>
    <mergeCell ref="D3:D4"/>
    <mergeCell ref="E3:E4"/>
    <mergeCell ref="F3:F4"/>
    <mergeCell ref="G3:G4"/>
    <mergeCell ref="H3:I3"/>
    <mergeCell ref="J19:K19"/>
    <mergeCell ref="L19:M19"/>
    <mergeCell ref="D19:D20"/>
    <mergeCell ref="E19:E20"/>
    <mergeCell ref="F19:F20"/>
    <mergeCell ref="G19:G20"/>
    <mergeCell ref="H19:I19"/>
    <mergeCell ref="J28:K28"/>
  </mergeCells>
  <phoneticPr fontId="2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C2:AC384"/>
  <sheetViews>
    <sheetView showGridLines="0" zoomScaleNormal="100" workbookViewId="0">
      <pane xSplit="7" ySplit="6" topLeftCell="Z172" activePane="bottomRight" state="frozen"/>
      <selection activeCell="AA236" sqref="AA236"/>
      <selection pane="topRight" activeCell="AA236" sqref="AA236"/>
      <selection pane="bottomLeft" activeCell="AA236" sqref="AA236"/>
      <selection pane="bottomRight" activeCell="F186" sqref="F186"/>
    </sheetView>
  </sheetViews>
  <sheetFormatPr defaultColWidth="8.75" defaultRowHeight="18" customHeight="1" outlineLevelCol="1"/>
  <cols>
    <col min="1" max="3" width="2.375" style="6" customWidth="1"/>
    <col min="4" max="5" width="19.875" style="6" customWidth="1"/>
    <col min="6" max="6" width="31.875" style="30" bestFit="1" customWidth="1"/>
    <col min="7" max="7" width="25.625" style="6" customWidth="1"/>
    <col min="8" max="9" width="19.25" style="279" customWidth="1" outlineLevel="1"/>
    <col min="10" max="11" width="19.375" style="279" customWidth="1" outlineLevel="1"/>
    <col min="12" max="12" width="19.375" style="279" customWidth="1"/>
    <col min="13" max="13" width="3.125" style="6" customWidth="1"/>
    <col min="14" max="19" width="19.375" style="279" customWidth="1"/>
    <col min="20" max="20" width="2.25" style="6" customWidth="1"/>
    <col min="21" max="21" width="22.5" style="279" bestFit="1" customWidth="1"/>
    <col min="22" max="22" width="5.625" style="6" bestFit="1" customWidth="1"/>
    <col min="23" max="23" width="13.75" style="6" customWidth="1"/>
    <col min="24" max="24" width="13.125" style="6" bestFit="1" customWidth="1"/>
    <col min="25" max="25" width="9.625" style="6" bestFit="1" customWidth="1"/>
    <col min="26" max="26" width="14.125" style="3" bestFit="1" customWidth="1"/>
    <col min="27" max="27" width="8.75" style="6"/>
    <col min="28" max="28" width="14.125" style="3" bestFit="1" customWidth="1"/>
    <col min="29" max="16384" width="8.75" style="6"/>
  </cols>
  <sheetData>
    <row r="2" spans="3:29" s="204" customFormat="1" ht="18" customHeight="1">
      <c r="F2" s="32"/>
      <c r="H2" s="278"/>
      <c r="I2" s="278"/>
      <c r="J2" s="463" t="s">
        <v>2294</v>
      </c>
      <c r="K2" s="278"/>
      <c r="L2" s="278"/>
      <c r="N2" s="278"/>
      <c r="O2" s="278"/>
      <c r="P2" s="278"/>
      <c r="Q2" s="278"/>
      <c r="R2" s="278"/>
      <c r="S2" s="278"/>
      <c r="U2" s="278"/>
      <c r="Z2" s="24"/>
      <c r="AB2" s="24"/>
    </row>
    <row r="3" spans="3:29" ht="18" customHeight="1">
      <c r="D3" s="33"/>
    </row>
    <row r="4" spans="3:29" s="280" customFormat="1" ht="18" customHeight="1">
      <c r="H4" s="488" t="s">
        <v>2291</v>
      </c>
      <c r="I4" s="488" t="s">
        <v>2293</v>
      </c>
      <c r="J4" s="488" t="s">
        <v>2292</v>
      </c>
      <c r="K4" s="488" t="s">
        <v>2384</v>
      </c>
      <c r="L4" s="249"/>
      <c r="N4" s="249"/>
      <c r="O4" s="249"/>
      <c r="P4" s="249"/>
      <c r="Q4" s="249"/>
      <c r="R4" s="249"/>
      <c r="S4" s="249"/>
      <c r="U4" s="249"/>
      <c r="Z4" s="8" t="s">
        <v>2370</v>
      </c>
      <c r="AB4" s="8" t="s">
        <v>2383</v>
      </c>
    </row>
    <row r="5" spans="3:29" ht="18" customHeight="1" thickBot="1">
      <c r="H5" s="279">
        <f>H355-H352-H349</f>
        <v>0</v>
      </c>
      <c r="I5" s="279">
        <f>I355-I352-I349</f>
        <v>0</v>
      </c>
      <c r="J5" s="279">
        <f>J355-J352-J349</f>
        <v>0</v>
      </c>
      <c r="K5" s="279">
        <f t="shared" ref="K5:S5" si="0">K355-K352-K349</f>
        <v>0</v>
      </c>
      <c r="L5" s="279">
        <f t="shared" si="0"/>
        <v>0</v>
      </c>
      <c r="N5" s="279">
        <f>N355-N352-N349</f>
        <v>0</v>
      </c>
      <c r="O5" s="279">
        <f t="shared" si="0"/>
        <v>0</v>
      </c>
      <c r="P5" s="279">
        <f t="shared" si="0"/>
        <v>-1.4901161193847656E-8</v>
      </c>
      <c r="Q5" s="279">
        <f t="shared" si="0"/>
        <v>0</v>
      </c>
      <c r="R5" s="279">
        <f t="shared" si="0"/>
        <v>0</v>
      </c>
      <c r="S5" s="279">
        <f t="shared" si="0"/>
        <v>0</v>
      </c>
      <c r="U5" s="456">
        <f>U355-U352-U349</f>
        <v>0</v>
      </c>
      <c r="Z5" s="456">
        <f>Z355-Z352-Z349</f>
        <v>0</v>
      </c>
      <c r="AB5" s="456">
        <f>AB355-AB352-AB349</f>
        <v>0</v>
      </c>
    </row>
    <row r="6" spans="3:29" s="283" customFormat="1" ht="38.1" customHeight="1">
      <c r="D6" s="9" t="s">
        <v>1361</v>
      </c>
      <c r="E6" s="10" t="s">
        <v>1362</v>
      </c>
      <c r="F6" s="10" t="s">
        <v>17</v>
      </c>
      <c r="G6" s="10" t="s">
        <v>691</v>
      </c>
      <c r="H6" s="253" t="s">
        <v>15</v>
      </c>
      <c r="I6" s="253" t="s">
        <v>2189</v>
      </c>
      <c r="J6" s="253" t="s">
        <v>217</v>
      </c>
      <c r="K6" s="253" t="s">
        <v>215</v>
      </c>
      <c r="L6" s="281" t="s">
        <v>227</v>
      </c>
      <c r="M6" s="282"/>
      <c r="N6" s="213" t="s">
        <v>1447</v>
      </c>
      <c r="O6" s="214" t="s">
        <v>1448</v>
      </c>
      <c r="P6" s="214" t="s">
        <v>1449</v>
      </c>
      <c r="Q6" s="214" t="s">
        <v>1450</v>
      </c>
      <c r="R6" s="214" t="s">
        <v>1451</v>
      </c>
      <c r="S6" s="215" t="s">
        <v>1462</v>
      </c>
      <c r="U6" s="284" t="s">
        <v>1463</v>
      </c>
      <c r="Z6" s="284" t="s">
        <v>1463</v>
      </c>
      <c r="AB6" s="284" t="s">
        <v>1463</v>
      </c>
    </row>
    <row r="7" spans="3:29" ht="18" customHeight="1">
      <c r="C7" s="6">
        <v>1</v>
      </c>
      <c r="D7" s="285" t="s">
        <v>692</v>
      </c>
      <c r="E7" s="286" t="s">
        <v>692</v>
      </c>
      <c r="F7" s="287"/>
      <c r="G7" s="286" t="s">
        <v>693</v>
      </c>
      <c r="H7" s="288">
        <f>SUM(H8,H10,H74,H125,H175)</f>
        <v>2776289498</v>
      </c>
      <c r="I7" s="288">
        <f>SUM(I8,I10,I74,I125,I175)</f>
        <v>-1062858162</v>
      </c>
      <c r="J7" s="288">
        <f>SUM(J8,J10,J74,J125,J175)</f>
        <v>18879154</v>
      </c>
      <c r="K7" s="288">
        <f>SUM(K8,K10,K74,K125,K175)</f>
        <v>680949926</v>
      </c>
      <c r="L7" s="289">
        <f>SUM(L8,L10,L74,L125,L175)</f>
        <v>2413260416</v>
      </c>
      <c r="N7" s="290">
        <v>0</v>
      </c>
      <c r="O7" s="288">
        <v>0</v>
      </c>
      <c r="P7" s="288">
        <v>-141771.84849999845</v>
      </c>
      <c r="Q7" s="288">
        <v>0</v>
      </c>
      <c r="R7" s="288">
        <v>-20000000</v>
      </c>
      <c r="S7" s="289">
        <v>-20141771.848499998</v>
      </c>
      <c r="U7" s="291">
        <f>SUM(U8,U10,U74,U125,U175)</f>
        <v>2393118644</v>
      </c>
      <c r="Z7" s="291">
        <v>-8741054130</v>
      </c>
      <c r="AB7" s="291">
        <f>U7-Z7</f>
        <v>11134172774</v>
      </c>
    </row>
    <row r="8" spans="3:29" ht="18" customHeight="1">
      <c r="C8" s="6">
        <v>1</v>
      </c>
      <c r="D8" s="285" t="s">
        <v>694</v>
      </c>
      <c r="E8" s="286" t="s">
        <v>694</v>
      </c>
      <c r="F8" s="287"/>
      <c r="G8" s="286" t="s">
        <v>209</v>
      </c>
      <c r="H8" s="288">
        <f>H9</f>
        <v>-14356395788</v>
      </c>
      <c r="I8" s="288">
        <f>I9</f>
        <v>-1036303374</v>
      </c>
      <c r="J8" s="288">
        <f>J9</f>
        <v>-317722783</v>
      </c>
      <c r="K8" s="288">
        <f>K9</f>
        <v>-566547623</v>
      </c>
      <c r="L8" s="289">
        <f>L9</f>
        <v>-16276969568</v>
      </c>
      <c r="N8" s="290">
        <v>0</v>
      </c>
      <c r="O8" s="288">
        <v>172052596</v>
      </c>
      <c r="P8" s="288">
        <v>-2333333</v>
      </c>
      <c r="Q8" s="288">
        <v>0</v>
      </c>
      <c r="R8" s="288">
        <v>4157280</v>
      </c>
      <c r="S8" s="289">
        <v>173876543</v>
      </c>
      <c r="U8" s="291">
        <f>U9</f>
        <v>-16103093025</v>
      </c>
      <c r="Z8" s="291">
        <v>-313754948</v>
      </c>
      <c r="AB8" s="291">
        <f t="shared" ref="AB8:AB71" si="1">U8-Z8</f>
        <v>-15789338077</v>
      </c>
    </row>
    <row r="9" spans="3:29" ht="18" customHeight="1">
      <c r="C9" s="6">
        <v>1</v>
      </c>
      <c r="D9" s="292" t="s">
        <v>695</v>
      </c>
      <c r="E9" s="293" t="s">
        <v>695</v>
      </c>
      <c r="F9" s="294" t="s">
        <v>1950</v>
      </c>
      <c r="G9" s="293" t="s">
        <v>696</v>
      </c>
      <c r="H9" s="370">
        <v>-14356395788</v>
      </c>
      <c r="I9" s="370">
        <v>-1036303374</v>
      </c>
      <c r="J9" s="370">
        <v>-317722783</v>
      </c>
      <c r="K9" s="370">
        <v>-566547623</v>
      </c>
      <c r="L9" s="296">
        <f>SUM(H9:K9)</f>
        <v>-16276969568</v>
      </c>
      <c r="N9" s="297">
        <v>0</v>
      </c>
      <c r="O9" s="295">
        <v>172052596</v>
      </c>
      <c r="P9" s="295">
        <v>-2333333</v>
      </c>
      <c r="Q9" s="295">
        <v>0</v>
      </c>
      <c r="R9" s="295">
        <v>4157280</v>
      </c>
      <c r="S9" s="296">
        <v>173876543</v>
      </c>
      <c r="U9" s="298">
        <f>ROUND(S9+L9,0)</f>
        <v>-16103093025</v>
      </c>
      <c r="W9" s="7" t="b">
        <f>U9-T_IS!X128=0</f>
        <v>0</v>
      </c>
      <c r="X9" s="7"/>
      <c r="Z9" s="305">
        <v>-313754948</v>
      </c>
      <c r="AB9" s="305">
        <f t="shared" si="1"/>
        <v>-15789338077</v>
      </c>
    </row>
    <row r="10" spans="3:29" ht="18" customHeight="1">
      <c r="C10" s="6">
        <v>1</v>
      </c>
      <c r="D10" s="285" t="s">
        <v>697</v>
      </c>
      <c r="E10" s="286" t="s">
        <v>697</v>
      </c>
      <c r="F10" s="287"/>
      <c r="G10" s="286" t="s">
        <v>698</v>
      </c>
      <c r="H10" s="288">
        <f>SUM(H11:H73)</f>
        <v>36793339970</v>
      </c>
      <c r="I10" s="288">
        <f>SUM(I11:I73)</f>
        <v>140989384</v>
      </c>
      <c r="J10" s="288">
        <f>SUM(J11:J73)</f>
        <v>16527849</v>
      </c>
      <c r="K10" s="288">
        <f>SUM(K11:K73)</f>
        <v>999428502</v>
      </c>
      <c r="L10" s="289">
        <f>SUM(L11:L73)</f>
        <v>37950285705</v>
      </c>
      <c r="N10" s="290">
        <v>0</v>
      </c>
      <c r="O10" s="288">
        <v>0</v>
      </c>
      <c r="P10" s="288">
        <v>-47128749</v>
      </c>
      <c r="Q10" s="288">
        <v>0</v>
      </c>
      <c r="R10" s="288">
        <v>0</v>
      </c>
      <c r="S10" s="289">
        <v>-47128749</v>
      </c>
      <c r="U10" s="291">
        <f>SUM(U11:U73)</f>
        <v>37903156956</v>
      </c>
      <c r="V10" s="6" t="b">
        <f>U10=SUM(U11:U73)</f>
        <v>1</v>
      </c>
      <c r="X10" s="7">
        <f>U10+U74</f>
        <v>30446241780</v>
      </c>
      <c r="Z10" s="291">
        <v>19891924235</v>
      </c>
      <c r="AA10" s="6" t="b">
        <f>Z10=SUM(Z11:Z73)</f>
        <v>1</v>
      </c>
      <c r="AB10" s="291">
        <f t="shared" si="1"/>
        <v>18011232721</v>
      </c>
      <c r="AC10" s="6" t="b">
        <f>AB10=SUM(AB11:AB73)</f>
        <v>1</v>
      </c>
    </row>
    <row r="11" spans="3:29" ht="18" customHeight="1">
      <c r="C11" s="6">
        <v>1</v>
      </c>
      <c r="D11" s="292" t="s">
        <v>699</v>
      </c>
      <c r="E11" s="293" t="s">
        <v>699</v>
      </c>
      <c r="F11" s="294" t="s">
        <v>488</v>
      </c>
      <c r="G11" s="293" t="s">
        <v>488</v>
      </c>
      <c r="H11" s="370">
        <v>3534831701</v>
      </c>
      <c r="I11" s="370">
        <v>64876856</v>
      </c>
      <c r="J11" s="452">
        <v>15317766</v>
      </c>
      <c r="K11" s="295">
        <v>366602023</v>
      </c>
      <c r="L11" s="296">
        <f t="shared" ref="L11:L42" si="2">SUM(H11:K11)</f>
        <v>3981628346</v>
      </c>
      <c r="N11" s="297">
        <v>0</v>
      </c>
      <c r="O11" s="295">
        <v>0</v>
      </c>
      <c r="P11" s="295">
        <v>0</v>
      </c>
      <c r="Q11" s="295">
        <v>0</v>
      </c>
      <c r="R11" s="295">
        <v>0</v>
      </c>
      <c r="S11" s="296">
        <v>0</v>
      </c>
      <c r="U11" s="298">
        <f t="shared" ref="U11:U73" si="3">ROUND(S11+L11,0)</f>
        <v>3981628346</v>
      </c>
      <c r="Z11" s="305">
        <v>3067602777</v>
      </c>
      <c r="AB11" s="305">
        <f t="shared" si="1"/>
        <v>914025569</v>
      </c>
    </row>
    <row r="12" spans="3:29" ht="18" customHeight="1">
      <c r="C12" s="6">
        <v>1</v>
      </c>
      <c r="D12" s="292" t="s">
        <v>700</v>
      </c>
      <c r="E12" s="293" t="s">
        <v>700</v>
      </c>
      <c r="F12" s="294" t="s">
        <v>386</v>
      </c>
      <c r="G12" s="293" t="s">
        <v>386</v>
      </c>
      <c r="H12" s="370">
        <v>3857142123</v>
      </c>
      <c r="I12" s="370">
        <v>247666</v>
      </c>
      <c r="J12" s="295">
        <v>0</v>
      </c>
      <c r="K12" s="295">
        <v>15578634</v>
      </c>
      <c r="L12" s="296">
        <f t="shared" si="2"/>
        <v>3872968423</v>
      </c>
      <c r="N12" s="297">
        <v>0</v>
      </c>
      <c r="O12" s="295">
        <v>0</v>
      </c>
      <c r="P12" s="295">
        <v>0</v>
      </c>
      <c r="Q12" s="295">
        <v>0</v>
      </c>
      <c r="R12" s="295">
        <v>0</v>
      </c>
      <c r="S12" s="296">
        <v>0</v>
      </c>
      <c r="U12" s="298">
        <f t="shared" si="3"/>
        <v>3872968423</v>
      </c>
      <c r="Z12" s="305">
        <v>3210282324</v>
      </c>
      <c r="AB12" s="305">
        <f t="shared" si="1"/>
        <v>662686099</v>
      </c>
    </row>
    <row r="13" spans="3:29" ht="18" customHeight="1">
      <c r="C13" s="6">
        <v>1</v>
      </c>
      <c r="D13" s="292" t="s">
        <v>701</v>
      </c>
      <c r="E13" s="293" t="s">
        <v>701</v>
      </c>
      <c r="F13" s="294" t="s">
        <v>262</v>
      </c>
      <c r="G13" s="293" t="s">
        <v>262</v>
      </c>
      <c r="H13" s="370">
        <v>1740464370</v>
      </c>
      <c r="I13" s="370">
        <v>26655902</v>
      </c>
      <c r="J13" s="295">
        <v>0</v>
      </c>
      <c r="K13" s="295">
        <v>26749081</v>
      </c>
      <c r="L13" s="296">
        <f t="shared" si="2"/>
        <v>1793869353</v>
      </c>
      <c r="N13" s="297">
        <v>0</v>
      </c>
      <c r="O13" s="295">
        <v>0</v>
      </c>
      <c r="P13" s="295">
        <v>0</v>
      </c>
      <c r="Q13" s="295">
        <v>0</v>
      </c>
      <c r="R13" s="295">
        <v>0</v>
      </c>
      <c r="S13" s="296">
        <v>0</v>
      </c>
      <c r="U13" s="298">
        <f t="shared" si="3"/>
        <v>1793869353</v>
      </c>
      <c r="Z13" s="305">
        <v>1475250123</v>
      </c>
      <c r="AB13" s="305">
        <f t="shared" si="1"/>
        <v>318619230</v>
      </c>
    </row>
    <row r="14" spans="3:29" ht="18" customHeight="1">
      <c r="C14" s="6">
        <v>1</v>
      </c>
      <c r="D14" s="292" t="s">
        <v>702</v>
      </c>
      <c r="E14" s="293" t="s">
        <v>702</v>
      </c>
      <c r="F14" s="294" t="s">
        <v>1416</v>
      </c>
      <c r="G14" s="293" t="s">
        <v>302</v>
      </c>
      <c r="H14" s="370">
        <v>-410162407</v>
      </c>
      <c r="I14" s="370">
        <v>0</v>
      </c>
      <c r="J14" s="295">
        <v>0</v>
      </c>
      <c r="K14" s="295">
        <v>0</v>
      </c>
      <c r="L14" s="296">
        <f t="shared" si="2"/>
        <v>-410162407</v>
      </c>
      <c r="N14" s="297">
        <v>0</v>
      </c>
      <c r="O14" s="295">
        <v>0</v>
      </c>
      <c r="P14" s="295">
        <v>0</v>
      </c>
      <c r="Q14" s="295">
        <v>0</v>
      </c>
      <c r="R14" s="295">
        <v>0</v>
      </c>
      <c r="S14" s="296">
        <v>0</v>
      </c>
      <c r="U14" s="298">
        <f t="shared" si="3"/>
        <v>-410162407</v>
      </c>
      <c r="W14" s="6" t="b">
        <f>U14=T_IS!X69</f>
        <v>0</v>
      </c>
      <c r="Z14" s="305">
        <v>-222716469</v>
      </c>
      <c r="AB14" s="305">
        <f t="shared" si="1"/>
        <v>-187445938</v>
      </c>
    </row>
    <row r="15" spans="3:29" ht="18" customHeight="1">
      <c r="C15" s="6">
        <v>1</v>
      </c>
      <c r="D15" s="292" t="s">
        <v>703</v>
      </c>
      <c r="E15" s="293" t="s">
        <v>703</v>
      </c>
      <c r="F15" s="294" t="s">
        <v>683</v>
      </c>
      <c r="G15" s="293" t="s">
        <v>683</v>
      </c>
      <c r="H15" s="370">
        <v>59793028</v>
      </c>
      <c r="I15" s="370">
        <v>0</v>
      </c>
      <c r="J15" s="295">
        <v>0</v>
      </c>
      <c r="K15" s="295">
        <v>0</v>
      </c>
      <c r="L15" s="296">
        <f t="shared" si="2"/>
        <v>59793028</v>
      </c>
      <c r="N15" s="297">
        <v>0</v>
      </c>
      <c r="O15" s="295">
        <v>0</v>
      </c>
      <c r="P15" s="295">
        <v>0</v>
      </c>
      <c r="Q15" s="295">
        <v>0</v>
      </c>
      <c r="R15" s="295">
        <v>0</v>
      </c>
      <c r="S15" s="296">
        <v>0</v>
      </c>
      <c r="U15" s="298">
        <f t="shared" si="3"/>
        <v>59793028</v>
      </c>
      <c r="W15" s="6" t="b">
        <f>T_IS!X95+T_IS!X96=U15</f>
        <v>0</v>
      </c>
      <c r="Z15" s="305">
        <v>62560224</v>
      </c>
      <c r="AB15" s="305">
        <f t="shared" si="1"/>
        <v>-2767196</v>
      </c>
    </row>
    <row r="16" spans="3:29" ht="18" customHeight="1">
      <c r="C16" s="6">
        <v>1</v>
      </c>
      <c r="D16" s="292" t="s">
        <v>704</v>
      </c>
      <c r="E16" s="293" t="s">
        <v>704</v>
      </c>
      <c r="F16" s="294" t="s">
        <v>1446</v>
      </c>
      <c r="G16" s="293" t="s">
        <v>705</v>
      </c>
      <c r="H16" s="370">
        <v>0</v>
      </c>
      <c r="I16" s="295">
        <v>0</v>
      </c>
      <c r="J16" s="295">
        <v>0</v>
      </c>
      <c r="K16" s="295">
        <v>0</v>
      </c>
      <c r="L16" s="296">
        <f t="shared" si="2"/>
        <v>0</v>
      </c>
      <c r="N16" s="297">
        <v>0</v>
      </c>
      <c r="O16" s="295">
        <v>0</v>
      </c>
      <c r="P16" s="295">
        <v>0</v>
      </c>
      <c r="Q16" s="295">
        <v>0</v>
      </c>
      <c r="R16" s="295">
        <v>0</v>
      </c>
      <c r="S16" s="296">
        <v>0</v>
      </c>
      <c r="U16" s="298">
        <f t="shared" si="3"/>
        <v>0</v>
      </c>
      <c r="Z16" s="305">
        <v>0</v>
      </c>
      <c r="AB16" s="305">
        <f t="shared" si="1"/>
        <v>0</v>
      </c>
    </row>
    <row r="17" spans="3:28" ht="18" customHeight="1">
      <c r="C17" s="6">
        <v>1</v>
      </c>
      <c r="D17" s="292" t="s">
        <v>706</v>
      </c>
      <c r="E17" s="293" t="s">
        <v>706</v>
      </c>
      <c r="F17" s="294" t="s">
        <v>1420</v>
      </c>
      <c r="G17" s="293" t="s">
        <v>707</v>
      </c>
      <c r="H17" s="370">
        <v>0</v>
      </c>
      <c r="I17" s="370">
        <v>0</v>
      </c>
      <c r="J17" s="295">
        <v>0</v>
      </c>
      <c r="K17" s="295">
        <v>0</v>
      </c>
      <c r="L17" s="296">
        <f t="shared" si="2"/>
        <v>0</v>
      </c>
      <c r="N17" s="297">
        <v>0</v>
      </c>
      <c r="O17" s="295">
        <v>0</v>
      </c>
      <c r="P17" s="295">
        <v>0</v>
      </c>
      <c r="Q17" s="295">
        <v>0</v>
      </c>
      <c r="R17" s="295">
        <v>0</v>
      </c>
      <c r="S17" s="296">
        <v>0</v>
      </c>
      <c r="U17" s="298">
        <f t="shared" si="3"/>
        <v>0</v>
      </c>
      <c r="Z17" s="305">
        <v>0</v>
      </c>
      <c r="AB17" s="305">
        <f t="shared" si="1"/>
        <v>0</v>
      </c>
    </row>
    <row r="18" spans="3:28" ht="18" customHeight="1">
      <c r="C18" s="6">
        <v>1</v>
      </c>
      <c r="D18" s="292" t="s">
        <v>708</v>
      </c>
      <c r="E18" s="293" t="s">
        <v>708</v>
      </c>
      <c r="F18" s="294" t="s">
        <v>611</v>
      </c>
      <c r="G18" s="293" t="s">
        <v>709</v>
      </c>
      <c r="H18" s="370">
        <v>0</v>
      </c>
      <c r="I18" s="295">
        <v>0</v>
      </c>
      <c r="J18" s="295">
        <v>0</v>
      </c>
      <c r="K18" s="295">
        <v>0</v>
      </c>
      <c r="L18" s="296">
        <f t="shared" si="2"/>
        <v>0</v>
      </c>
      <c r="N18" s="297">
        <v>0</v>
      </c>
      <c r="O18" s="295">
        <v>0</v>
      </c>
      <c r="P18" s="295">
        <v>0</v>
      </c>
      <c r="Q18" s="295">
        <v>0</v>
      </c>
      <c r="R18" s="295">
        <v>0</v>
      </c>
      <c r="S18" s="296">
        <v>0</v>
      </c>
      <c r="U18" s="298">
        <f t="shared" si="3"/>
        <v>0</v>
      </c>
      <c r="Z18" s="305">
        <v>0</v>
      </c>
      <c r="AB18" s="305">
        <f t="shared" si="1"/>
        <v>0</v>
      </c>
    </row>
    <row r="19" spans="3:28" ht="18" customHeight="1">
      <c r="C19" s="6">
        <v>1</v>
      </c>
      <c r="D19" s="292" t="s">
        <v>710</v>
      </c>
      <c r="E19" s="293" t="s">
        <v>710</v>
      </c>
      <c r="F19" s="294" t="s">
        <v>611</v>
      </c>
      <c r="G19" s="293" t="s">
        <v>711</v>
      </c>
      <c r="H19" s="370">
        <v>0</v>
      </c>
      <c r="I19" s="295">
        <v>0</v>
      </c>
      <c r="J19" s="295">
        <v>0</v>
      </c>
      <c r="K19" s="295">
        <v>0</v>
      </c>
      <c r="L19" s="296">
        <f t="shared" si="2"/>
        <v>0</v>
      </c>
      <c r="N19" s="297">
        <v>0</v>
      </c>
      <c r="O19" s="295">
        <v>0</v>
      </c>
      <c r="P19" s="295">
        <v>0</v>
      </c>
      <c r="Q19" s="295">
        <v>0</v>
      </c>
      <c r="R19" s="295">
        <v>0</v>
      </c>
      <c r="S19" s="296">
        <v>0</v>
      </c>
      <c r="U19" s="298">
        <f t="shared" si="3"/>
        <v>0</v>
      </c>
      <c r="Z19" s="305">
        <v>0</v>
      </c>
      <c r="AB19" s="305">
        <f t="shared" si="1"/>
        <v>0</v>
      </c>
    </row>
    <row r="20" spans="3:28" ht="18" customHeight="1">
      <c r="C20" s="6">
        <v>1</v>
      </c>
      <c r="D20" s="292" t="s">
        <v>712</v>
      </c>
      <c r="E20" s="293" t="s">
        <v>712</v>
      </c>
      <c r="F20" s="294" t="s">
        <v>1731</v>
      </c>
      <c r="G20" s="293" t="s">
        <v>713</v>
      </c>
      <c r="H20" s="370">
        <v>0</v>
      </c>
      <c r="I20" s="295">
        <v>0</v>
      </c>
      <c r="J20" s="295">
        <v>0</v>
      </c>
      <c r="K20" s="295">
        <v>0</v>
      </c>
      <c r="L20" s="296">
        <f t="shared" si="2"/>
        <v>0</v>
      </c>
      <c r="N20" s="297">
        <v>0</v>
      </c>
      <c r="O20" s="295">
        <v>0</v>
      </c>
      <c r="P20" s="295">
        <v>0</v>
      </c>
      <c r="Q20" s="295">
        <v>0</v>
      </c>
      <c r="R20" s="295">
        <v>0</v>
      </c>
      <c r="S20" s="296">
        <v>0</v>
      </c>
      <c r="U20" s="298">
        <f t="shared" si="3"/>
        <v>0</v>
      </c>
      <c r="W20" s="6" t="b">
        <f>U20=-T_IS!X119</f>
        <v>0</v>
      </c>
      <c r="Z20" s="305">
        <v>0</v>
      </c>
      <c r="AB20" s="305">
        <f t="shared" si="1"/>
        <v>0</v>
      </c>
    </row>
    <row r="21" spans="3:28" ht="18" customHeight="1">
      <c r="C21" s="6">
        <v>1</v>
      </c>
      <c r="D21" s="292" t="s">
        <v>714</v>
      </c>
      <c r="E21" s="293" t="s">
        <v>714</v>
      </c>
      <c r="F21" s="294" t="s">
        <v>611</v>
      </c>
      <c r="G21" s="293" t="s">
        <v>715</v>
      </c>
      <c r="H21" s="370">
        <v>0</v>
      </c>
      <c r="I21" s="295">
        <v>0</v>
      </c>
      <c r="J21" s="295">
        <v>0</v>
      </c>
      <c r="K21" s="295">
        <v>0</v>
      </c>
      <c r="L21" s="296">
        <f t="shared" si="2"/>
        <v>0</v>
      </c>
      <c r="N21" s="297">
        <v>0</v>
      </c>
      <c r="O21" s="295">
        <v>0</v>
      </c>
      <c r="P21" s="295">
        <v>0</v>
      </c>
      <c r="Q21" s="295">
        <v>0</v>
      </c>
      <c r="R21" s="295">
        <v>0</v>
      </c>
      <c r="S21" s="296">
        <v>0</v>
      </c>
      <c r="U21" s="298">
        <f t="shared" si="3"/>
        <v>0</v>
      </c>
      <c r="Z21" s="305">
        <v>0</v>
      </c>
      <c r="AB21" s="305">
        <f t="shared" si="1"/>
        <v>0</v>
      </c>
    </row>
    <row r="22" spans="3:28" ht="18" customHeight="1">
      <c r="C22" s="6">
        <v>1</v>
      </c>
      <c r="D22" s="292" t="s">
        <v>716</v>
      </c>
      <c r="E22" s="293" t="s">
        <v>716</v>
      </c>
      <c r="F22" s="294" t="s">
        <v>377</v>
      </c>
      <c r="G22" s="293" t="s">
        <v>717</v>
      </c>
      <c r="H22" s="370">
        <v>0</v>
      </c>
      <c r="I22" s="370">
        <v>0</v>
      </c>
      <c r="J22" s="295">
        <v>0</v>
      </c>
      <c r="K22" s="295">
        <v>0</v>
      </c>
      <c r="L22" s="296">
        <f t="shared" si="2"/>
        <v>0</v>
      </c>
      <c r="N22" s="297">
        <v>0</v>
      </c>
      <c r="O22" s="295">
        <v>0</v>
      </c>
      <c r="P22" s="295">
        <v>0</v>
      </c>
      <c r="Q22" s="295">
        <v>0</v>
      </c>
      <c r="R22" s="295">
        <v>0</v>
      </c>
      <c r="S22" s="296">
        <v>0</v>
      </c>
      <c r="U22" s="298">
        <f t="shared" si="3"/>
        <v>0</v>
      </c>
      <c r="Z22" s="305">
        <v>0</v>
      </c>
      <c r="AB22" s="305">
        <f t="shared" si="1"/>
        <v>0</v>
      </c>
    </row>
    <row r="23" spans="3:28" ht="18" customHeight="1">
      <c r="C23" s="6">
        <v>1</v>
      </c>
      <c r="D23" s="292" t="s">
        <v>718</v>
      </c>
      <c r="E23" s="293" t="s">
        <v>718</v>
      </c>
      <c r="F23" s="294"/>
      <c r="G23" s="293" t="s">
        <v>719</v>
      </c>
      <c r="H23" s="370">
        <v>0</v>
      </c>
      <c r="I23" s="295">
        <v>0</v>
      </c>
      <c r="J23" s="295">
        <v>0</v>
      </c>
      <c r="K23" s="295">
        <v>0</v>
      </c>
      <c r="L23" s="296">
        <f t="shared" si="2"/>
        <v>0</v>
      </c>
      <c r="N23" s="297">
        <v>0</v>
      </c>
      <c r="O23" s="295">
        <v>0</v>
      </c>
      <c r="P23" s="295">
        <v>0</v>
      </c>
      <c r="Q23" s="295">
        <v>0</v>
      </c>
      <c r="R23" s="295">
        <v>0</v>
      </c>
      <c r="S23" s="296">
        <v>0</v>
      </c>
      <c r="U23" s="298">
        <f t="shared" si="3"/>
        <v>0</v>
      </c>
      <c r="Z23" s="305">
        <v>0</v>
      </c>
      <c r="AB23" s="305">
        <f t="shared" si="1"/>
        <v>0</v>
      </c>
    </row>
    <row r="24" spans="3:28" ht="18" customHeight="1">
      <c r="C24" s="6">
        <v>1</v>
      </c>
      <c r="D24" s="292" t="s">
        <v>720</v>
      </c>
      <c r="E24" s="293" t="s">
        <v>720</v>
      </c>
      <c r="F24" s="294"/>
      <c r="G24" s="293" t="s">
        <v>721</v>
      </c>
      <c r="H24" s="370">
        <v>0</v>
      </c>
      <c r="I24" s="295">
        <v>0</v>
      </c>
      <c r="J24" s="295">
        <v>0</v>
      </c>
      <c r="K24" s="295">
        <v>0</v>
      </c>
      <c r="L24" s="296">
        <f t="shared" si="2"/>
        <v>0</v>
      </c>
      <c r="N24" s="297">
        <v>0</v>
      </c>
      <c r="O24" s="295">
        <v>0</v>
      </c>
      <c r="P24" s="295">
        <v>0</v>
      </c>
      <c r="Q24" s="295">
        <v>0</v>
      </c>
      <c r="R24" s="295">
        <v>0</v>
      </c>
      <c r="S24" s="296">
        <v>0</v>
      </c>
      <c r="U24" s="298">
        <f t="shared" si="3"/>
        <v>0</v>
      </c>
      <c r="Z24" s="305">
        <v>0</v>
      </c>
      <c r="AB24" s="305">
        <f t="shared" si="1"/>
        <v>0</v>
      </c>
    </row>
    <row r="25" spans="3:28" ht="18" customHeight="1">
      <c r="C25" s="6">
        <v>1</v>
      </c>
      <c r="D25" s="292" t="s">
        <v>722</v>
      </c>
      <c r="E25" s="293" t="s">
        <v>722</v>
      </c>
      <c r="F25" s="294"/>
      <c r="G25" s="293" t="s">
        <v>723</v>
      </c>
      <c r="H25" s="370">
        <v>0</v>
      </c>
      <c r="I25" s="295">
        <v>0</v>
      </c>
      <c r="J25" s="295">
        <v>0</v>
      </c>
      <c r="K25" s="295">
        <v>0</v>
      </c>
      <c r="L25" s="296">
        <f t="shared" si="2"/>
        <v>0</v>
      </c>
      <c r="N25" s="297">
        <v>0</v>
      </c>
      <c r="O25" s="295">
        <v>0</v>
      </c>
      <c r="P25" s="295">
        <v>0</v>
      </c>
      <c r="Q25" s="295">
        <v>0</v>
      </c>
      <c r="R25" s="295">
        <v>0</v>
      </c>
      <c r="S25" s="296">
        <v>0</v>
      </c>
      <c r="U25" s="298">
        <f t="shared" si="3"/>
        <v>0</v>
      </c>
      <c r="Z25" s="305">
        <v>0</v>
      </c>
      <c r="AB25" s="305">
        <f t="shared" si="1"/>
        <v>0</v>
      </c>
    </row>
    <row r="26" spans="3:28" ht="18" customHeight="1">
      <c r="C26" s="6">
        <v>1</v>
      </c>
      <c r="D26" s="292" t="s">
        <v>724</v>
      </c>
      <c r="E26" s="293" t="s">
        <v>724</v>
      </c>
      <c r="F26" s="294"/>
      <c r="G26" s="293" t="s">
        <v>725</v>
      </c>
      <c r="H26" s="370">
        <v>0</v>
      </c>
      <c r="I26" s="295">
        <v>0</v>
      </c>
      <c r="J26" s="295">
        <v>0</v>
      </c>
      <c r="K26" s="295">
        <v>0</v>
      </c>
      <c r="L26" s="296">
        <f t="shared" si="2"/>
        <v>0</v>
      </c>
      <c r="N26" s="297">
        <v>0</v>
      </c>
      <c r="O26" s="295">
        <v>0</v>
      </c>
      <c r="P26" s="295">
        <v>0</v>
      </c>
      <c r="Q26" s="295">
        <v>0</v>
      </c>
      <c r="R26" s="295">
        <v>0</v>
      </c>
      <c r="S26" s="296">
        <v>0</v>
      </c>
      <c r="U26" s="298">
        <f t="shared" si="3"/>
        <v>0</v>
      </c>
      <c r="Z26" s="305">
        <v>0</v>
      </c>
      <c r="AB26" s="305">
        <f t="shared" si="1"/>
        <v>0</v>
      </c>
    </row>
    <row r="27" spans="3:28" ht="18" customHeight="1">
      <c r="C27" s="6">
        <v>1</v>
      </c>
      <c r="D27" s="292" t="s">
        <v>726</v>
      </c>
      <c r="E27" s="293" t="s">
        <v>726</v>
      </c>
      <c r="F27" s="294"/>
      <c r="G27" s="293" t="s">
        <v>727</v>
      </c>
      <c r="H27" s="370">
        <v>0</v>
      </c>
      <c r="I27" s="295">
        <v>0</v>
      </c>
      <c r="J27" s="295">
        <v>0</v>
      </c>
      <c r="K27" s="295">
        <v>0</v>
      </c>
      <c r="L27" s="296">
        <f t="shared" si="2"/>
        <v>0</v>
      </c>
      <c r="N27" s="297">
        <v>0</v>
      </c>
      <c r="O27" s="295">
        <v>0</v>
      </c>
      <c r="P27" s="295">
        <v>0</v>
      </c>
      <c r="Q27" s="295">
        <v>0</v>
      </c>
      <c r="R27" s="295">
        <v>0</v>
      </c>
      <c r="S27" s="296">
        <v>0</v>
      </c>
      <c r="U27" s="298">
        <f t="shared" si="3"/>
        <v>0</v>
      </c>
      <c r="Z27" s="305">
        <v>0</v>
      </c>
      <c r="AB27" s="305">
        <f t="shared" si="1"/>
        <v>0</v>
      </c>
    </row>
    <row r="28" spans="3:28" ht="18" customHeight="1">
      <c r="C28" s="6">
        <v>1</v>
      </c>
      <c r="D28" s="292" t="s">
        <v>728</v>
      </c>
      <c r="E28" s="293" t="s">
        <v>728</v>
      </c>
      <c r="F28" s="294"/>
      <c r="G28" s="293" t="s">
        <v>729</v>
      </c>
      <c r="H28" s="370">
        <v>0</v>
      </c>
      <c r="I28" s="295">
        <v>0</v>
      </c>
      <c r="J28" s="295">
        <v>0</v>
      </c>
      <c r="K28" s="295">
        <v>0</v>
      </c>
      <c r="L28" s="296">
        <f t="shared" si="2"/>
        <v>0</v>
      </c>
      <c r="N28" s="297">
        <v>0</v>
      </c>
      <c r="O28" s="295">
        <v>0</v>
      </c>
      <c r="P28" s="295">
        <v>0</v>
      </c>
      <c r="Q28" s="295">
        <v>0</v>
      </c>
      <c r="R28" s="295">
        <v>0</v>
      </c>
      <c r="S28" s="296">
        <v>0</v>
      </c>
      <c r="U28" s="298">
        <f t="shared" si="3"/>
        <v>0</v>
      </c>
      <c r="Z28" s="305">
        <v>0</v>
      </c>
      <c r="AB28" s="305">
        <f t="shared" si="1"/>
        <v>0</v>
      </c>
    </row>
    <row r="29" spans="3:28" ht="18" customHeight="1">
      <c r="C29" s="6">
        <v>1</v>
      </c>
      <c r="D29" s="292" t="s">
        <v>730</v>
      </c>
      <c r="E29" s="293" t="s">
        <v>730</v>
      </c>
      <c r="F29" s="294" t="s">
        <v>687</v>
      </c>
      <c r="G29" s="293" t="s">
        <v>687</v>
      </c>
      <c r="H29" s="370">
        <v>0</v>
      </c>
      <c r="I29" s="295">
        <v>0</v>
      </c>
      <c r="J29" s="295">
        <v>0</v>
      </c>
      <c r="K29" s="295">
        <v>0</v>
      </c>
      <c r="L29" s="296">
        <f t="shared" si="2"/>
        <v>0</v>
      </c>
      <c r="N29" s="297">
        <v>0</v>
      </c>
      <c r="O29" s="295">
        <v>0</v>
      </c>
      <c r="P29" s="295">
        <v>0</v>
      </c>
      <c r="Q29" s="295">
        <v>0</v>
      </c>
      <c r="R29" s="295">
        <v>0</v>
      </c>
      <c r="S29" s="296">
        <v>0</v>
      </c>
      <c r="U29" s="298">
        <f t="shared" si="3"/>
        <v>0</v>
      </c>
      <c r="Z29" s="305">
        <v>0</v>
      </c>
      <c r="AB29" s="305">
        <f t="shared" si="1"/>
        <v>0</v>
      </c>
    </row>
    <row r="30" spans="3:28" ht="18" customHeight="1">
      <c r="C30" s="6">
        <v>1</v>
      </c>
      <c r="D30" s="292" t="s">
        <v>731</v>
      </c>
      <c r="E30" s="293" t="s">
        <v>731</v>
      </c>
      <c r="F30" s="294" t="s">
        <v>732</v>
      </c>
      <c r="G30" s="293" t="s">
        <v>732</v>
      </c>
      <c r="H30" s="370">
        <v>0</v>
      </c>
      <c r="I30" s="295">
        <v>0</v>
      </c>
      <c r="J30" s="295">
        <v>0</v>
      </c>
      <c r="K30" s="295">
        <v>0</v>
      </c>
      <c r="L30" s="296">
        <f t="shared" si="2"/>
        <v>0</v>
      </c>
      <c r="N30" s="297">
        <v>0</v>
      </c>
      <c r="O30" s="295">
        <v>0</v>
      </c>
      <c r="P30" s="295">
        <v>0</v>
      </c>
      <c r="Q30" s="295">
        <v>0</v>
      </c>
      <c r="R30" s="295">
        <v>0</v>
      </c>
      <c r="S30" s="296">
        <v>0</v>
      </c>
      <c r="U30" s="298">
        <f t="shared" si="3"/>
        <v>0</v>
      </c>
      <c r="Z30" s="305">
        <v>0</v>
      </c>
      <c r="AB30" s="305">
        <f t="shared" si="1"/>
        <v>0</v>
      </c>
    </row>
    <row r="31" spans="3:28" ht="18" customHeight="1">
      <c r="C31" s="6">
        <v>1</v>
      </c>
      <c r="D31" s="292" t="s">
        <v>733</v>
      </c>
      <c r="E31" s="293" t="s">
        <v>733</v>
      </c>
      <c r="F31" s="294" t="s">
        <v>734</v>
      </c>
      <c r="G31" s="293" t="s">
        <v>734</v>
      </c>
      <c r="H31" s="370">
        <v>2138878</v>
      </c>
      <c r="I31" s="295">
        <v>0</v>
      </c>
      <c r="J31" s="295">
        <v>0</v>
      </c>
      <c r="K31" s="295">
        <v>6078892</v>
      </c>
      <c r="L31" s="296">
        <f t="shared" si="2"/>
        <v>8217770</v>
      </c>
      <c r="N31" s="297">
        <v>0</v>
      </c>
      <c r="O31" s="295">
        <v>0</v>
      </c>
      <c r="P31" s="295">
        <v>0</v>
      </c>
      <c r="Q31" s="295">
        <v>0</v>
      </c>
      <c r="R31" s="295">
        <v>0</v>
      </c>
      <c r="S31" s="296">
        <v>0</v>
      </c>
      <c r="U31" s="298">
        <f t="shared" si="3"/>
        <v>8217770</v>
      </c>
      <c r="Z31" s="305">
        <v>6427556</v>
      </c>
      <c r="AB31" s="305">
        <f t="shared" si="1"/>
        <v>1790214</v>
      </c>
    </row>
    <row r="32" spans="3:28" ht="18" customHeight="1">
      <c r="C32" s="6">
        <v>1</v>
      </c>
      <c r="D32" s="292" t="s">
        <v>735</v>
      </c>
      <c r="E32" s="293" t="s">
        <v>735</v>
      </c>
      <c r="F32" s="294" t="s">
        <v>481</v>
      </c>
      <c r="G32" s="293" t="s">
        <v>481</v>
      </c>
      <c r="H32" s="370">
        <v>0</v>
      </c>
      <c r="I32" s="295">
        <v>0</v>
      </c>
      <c r="J32" s="295">
        <v>0</v>
      </c>
      <c r="K32" s="295">
        <v>0</v>
      </c>
      <c r="L32" s="296">
        <f t="shared" si="2"/>
        <v>0</v>
      </c>
      <c r="N32" s="297">
        <v>0</v>
      </c>
      <c r="O32" s="295">
        <v>0</v>
      </c>
      <c r="P32" s="295">
        <v>0</v>
      </c>
      <c r="Q32" s="295">
        <v>0</v>
      </c>
      <c r="R32" s="295">
        <v>0</v>
      </c>
      <c r="S32" s="296">
        <v>0</v>
      </c>
      <c r="U32" s="298">
        <f t="shared" si="3"/>
        <v>0</v>
      </c>
      <c r="Z32" s="305">
        <v>0</v>
      </c>
      <c r="AB32" s="305">
        <f t="shared" si="1"/>
        <v>0</v>
      </c>
    </row>
    <row r="33" spans="3:28" ht="18" customHeight="1">
      <c r="C33" s="6">
        <v>1</v>
      </c>
      <c r="D33" s="292" t="s">
        <v>736</v>
      </c>
      <c r="E33" s="293" t="s">
        <v>736</v>
      </c>
      <c r="F33" s="294" t="s">
        <v>686</v>
      </c>
      <c r="G33" s="293" t="s">
        <v>686</v>
      </c>
      <c r="H33" s="370">
        <v>585423259</v>
      </c>
      <c r="I33" s="295">
        <v>0</v>
      </c>
      <c r="J33" s="295">
        <v>0</v>
      </c>
      <c r="K33" s="295">
        <v>0</v>
      </c>
      <c r="L33" s="296">
        <f t="shared" si="2"/>
        <v>585423259</v>
      </c>
      <c r="N33" s="297">
        <v>0</v>
      </c>
      <c r="O33" s="295">
        <v>0</v>
      </c>
      <c r="P33" s="295">
        <v>0</v>
      </c>
      <c r="Q33" s="295">
        <v>0</v>
      </c>
      <c r="R33" s="295">
        <v>0</v>
      </c>
      <c r="S33" s="296">
        <v>0</v>
      </c>
      <c r="U33" s="298">
        <f t="shared" si="3"/>
        <v>585423259</v>
      </c>
      <c r="Z33" s="305">
        <v>0</v>
      </c>
      <c r="AB33" s="305">
        <f t="shared" si="1"/>
        <v>585423259</v>
      </c>
    </row>
    <row r="34" spans="3:28" ht="18" customHeight="1">
      <c r="C34" s="6">
        <v>1</v>
      </c>
      <c r="D34" s="292" t="s">
        <v>737</v>
      </c>
      <c r="E34" s="293" t="s">
        <v>737</v>
      </c>
      <c r="F34" s="294" t="s">
        <v>2054</v>
      </c>
      <c r="G34" s="293" t="s">
        <v>738</v>
      </c>
      <c r="H34" s="370">
        <v>0</v>
      </c>
      <c r="I34" s="295">
        <v>0</v>
      </c>
      <c r="J34" s="295">
        <v>0</v>
      </c>
      <c r="K34" s="295">
        <v>0</v>
      </c>
      <c r="L34" s="296">
        <f t="shared" si="2"/>
        <v>0</v>
      </c>
      <c r="N34" s="297">
        <v>0</v>
      </c>
      <c r="O34" s="295">
        <v>0</v>
      </c>
      <c r="P34" s="295">
        <v>0</v>
      </c>
      <c r="Q34" s="295">
        <v>0</v>
      </c>
      <c r="R34" s="295">
        <v>0</v>
      </c>
      <c r="S34" s="296">
        <v>0</v>
      </c>
      <c r="U34" s="298">
        <f t="shared" si="3"/>
        <v>0</v>
      </c>
      <c r="Z34" s="305">
        <v>0</v>
      </c>
      <c r="AB34" s="305">
        <f t="shared" si="1"/>
        <v>0</v>
      </c>
    </row>
    <row r="35" spans="3:28" ht="18" customHeight="1">
      <c r="C35" s="6">
        <v>1</v>
      </c>
      <c r="D35" s="292" t="s">
        <v>739</v>
      </c>
      <c r="E35" s="293" t="s">
        <v>739</v>
      </c>
      <c r="F35" s="294"/>
      <c r="G35" s="293" t="s">
        <v>740</v>
      </c>
      <c r="H35" s="370">
        <v>0</v>
      </c>
      <c r="I35" s="295">
        <v>0</v>
      </c>
      <c r="J35" s="295">
        <v>0</v>
      </c>
      <c r="K35" s="295">
        <v>0</v>
      </c>
      <c r="L35" s="296">
        <f t="shared" si="2"/>
        <v>0</v>
      </c>
      <c r="N35" s="297">
        <v>0</v>
      </c>
      <c r="O35" s="295">
        <v>0</v>
      </c>
      <c r="P35" s="295">
        <v>0</v>
      </c>
      <c r="Q35" s="295">
        <v>0</v>
      </c>
      <c r="R35" s="295">
        <v>0</v>
      </c>
      <c r="S35" s="296">
        <v>0</v>
      </c>
      <c r="U35" s="298">
        <f t="shared" si="3"/>
        <v>0</v>
      </c>
      <c r="Z35" s="305">
        <v>0</v>
      </c>
      <c r="AB35" s="305">
        <f t="shared" si="1"/>
        <v>0</v>
      </c>
    </row>
    <row r="36" spans="3:28" ht="18" customHeight="1">
      <c r="C36" s="6">
        <v>1</v>
      </c>
      <c r="D36" s="292" t="s">
        <v>741</v>
      </c>
      <c r="E36" s="293" t="s">
        <v>741</v>
      </c>
      <c r="F36" s="294"/>
      <c r="G36" s="293" t="s">
        <v>742</v>
      </c>
      <c r="H36" s="370">
        <v>0</v>
      </c>
      <c r="I36" s="295">
        <v>0</v>
      </c>
      <c r="J36" s="295">
        <v>0</v>
      </c>
      <c r="K36" s="295">
        <v>0</v>
      </c>
      <c r="L36" s="296">
        <f t="shared" si="2"/>
        <v>0</v>
      </c>
      <c r="N36" s="297">
        <v>0</v>
      </c>
      <c r="O36" s="295">
        <v>0</v>
      </c>
      <c r="P36" s="295">
        <v>0</v>
      </c>
      <c r="Q36" s="295">
        <v>0</v>
      </c>
      <c r="R36" s="295">
        <v>0</v>
      </c>
      <c r="S36" s="296">
        <v>0</v>
      </c>
      <c r="U36" s="298">
        <f t="shared" si="3"/>
        <v>0</v>
      </c>
      <c r="Z36" s="305">
        <v>0</v>
      </c>
      <c r="AB36" s="305">
        <f t="shared" si="1"/>
        <v>0</v>
      </c>
    </row>
    <row r="37" spans="3:28" ht="18" customHeight="1">
      <c r="C37" s="6">
        <v>1</v>
      </c>
      <c r="D37" s="292" t="s">
        <v>743</v>
      </c>
      <c r="E37" s="293" t="s">
        <v>743</v>
      </c>
      <c r="F37" s="294" t="s">
        <v>1951</v>
      </c>
      <c r="G37" s="293" t="s">
        <v>744</v>
      </c>
      <c r="H37" s="370">
        <v>2275222780</v>
      </c>
      <c r="I37" s="295">
        <v>0</v>
      </c>
      <c r="J37" s="295">
        <v>0</v>
      </c>
      <c r="K37" s="295">
        <v>529552059</v>
      </c>
      <c r="L37" s="296">
        <f t="shared" si="2"/>
        <v>2804774839</v>
      </c>
      <c r="N37" s="297">
        <v>0</v>
      </c>
      <c r="O37" s="295">
        <v>0</v>
      </c>
      <c r="P37" s="295">
        <v>0</v>
      </c>
      <c r="Q37" s="295">
        <v>0</v>
      </c>
      <c r="R37" s="295">
        <v>0</v>
      </c>
      <c r="S37" s="296">
        <v>0</v>
      </c>
      <c r="U37" s="298">
        <f t="shared" si="3"/>
        <v>2804774839</v>
      </c>
      <c r="Z37" s="305">
        <v>2774666131</v>
      </c>
      <c r="AB37" s="305">
        <f t="shared" si="1"/>
        <v>30108708</v>
      </c>
    </row>
    <row r="38" spans="3:28" ht="18" customHeight="1">
      <c r="C38" s="6">
        <v>1</v>
      </c>
      <c r="D38" s="292" t="s">
        <v>745</v>
      </c>
      <c r="E38" s="293" t="s">
        <v>745</v>
      </c>
      <c r="F38" s="294"/>
      <c r="G38" s="293" t="s">
        <v>746</v>
      </c>
      <c r="H38" s="370">
        <v>0</v>
      </c>
      <c r="I38" s="295">
        <v>0</v>
      </c>
      <c r="J38" s="295">
        <v>0</v>
      </c>
      <c r="K38" s="295">
        <v>0</v>
      </c>
      <c r="L38" s="296">
        <f t="shared" si="2"/>
        <v>0</v>
      </c>
      <c r="N38" s="297">
        <v>0</v>
      </c>
      <c r="O38" s="295">
        <v>0</v>
      </c>
      <c r="P38" s="295">
        <v>0</v>
      </c>
      <c r="Q38" s="295">
        <v>0</v>
      </c>
      <c r="R38" s="295">
        <v>0</v>
      </c>
      <c r="S38" s="296">
        <v>0</v>
      </c>
      <c r="U38" s="298">
        <f t="shared" si="3"/>
        <v>0</v>
      </c>
      <c r="Z38" s="305">
        <v>0</v>
      </c>
      <c r="AB38" s="305">
        <f t="shared" si="1"/>
        <v>0</v>
      </c>
    </row>
    <row r="39" spans="3:28" ht="18" customHeight="1">
      <c r="C39" s="6">
        <v>1</v>
      </c>
      <c r="D39" s="292" t="s">
        <v>747</v>
      </c>
      <c r="E39" s="293" t="s">
        <v>747</v>
      </c>
      <c r="F39" s="294"/>
      <c r="G39" s="293" t="s">
        <v>748</v>
      </c>
      <c r="H39" s="370">
        <v>0</v>
      </c>
      <c r="I39" s="295">
        <v>0</v>
      </c>
      <c r="J39" s="295">
        <v>0</v>
      </c>
      <c r="K39" s="295">
        <v>0</v>
      </c>
      <c r="L39" s="296">
        <f t="shared" si="2"/>
        <v>0</v>
      </c>
      <c r="N39" s="297">
        <v>0</v>
      </c>
      <c r="O39" s="295">
        <v>0</v>
      </c>
      <c r="P39" s="295">
        <v>0</v>
      </c>
      <c r="Q39" s="295">
        <v>0</v>
      </c>
      <c r="R39" s="295">
        <v>0</v>
      </c>
      <c r="S39" s="296">
        <v>0</v>
      </c>
      <c r="U39" s="298">
        <f t="shared" si="3"/>
        <v>0</v>
      </c>
      <c r="Z39" s="305">
        <v>0</v>
      </c>
      <c r="AB39" s="305">
        <f t="shared" si="1"/>
        <v>0</v>
      </c>
    </row>
    <row r="40" spans="3:28" ht="18" customHeight="1">
      <c r="C40" s="6">
        <v>1</v>
      </c>
      <c r="D40" s="292" t="s">
        <v>749</v>
      </c>
      <c r="E40" s="293" t="s">
        <v>749</v>
      </c>
      <c r="F40" s="294"/>
      <c r="G40" s="293" t="s">
        <v>750</v>
      </c>
      <c r="H40" s="370">
        <v>0</v>
      </c>
      <c r="I40" s="295">
        <v>0</v>
      </c>
      <c r="J40" s="295">
        <v>0</v>
      </c>
      <c r="K40" s="295">
        <v>0</v>
      </c>
      <c r="L40" s="296">
        <f t="shared" si="2"/>
        <v>0</v>
      </c>
      <c r="N40" s="297">
        <v>0</v>
      </c>
      <c r="O40" s="295">
        <v>0</v>
      </c>
      <c r="P40" s="295">
        <v>0</v>
      </c>
      <c r="Q40" s="295">
        <v>0</v>
      </c>
      <c r="R40" s="295">
        <v>0</v>
      </c>
      <c r="S40" s="296">
        <v>0</v>
      </c>
      <c r="U40" s="298">
        <f t="shared" si="3"/>
        <v>0</v>
      </c>
      <c r="Z40" s="305">
        <v>0</v>
      </c>
      <c r="AB40" s="305">
        <f t="shared" si="1"/>
        <v>0</v>
      </c>
    </row>
    <row r="41" spans="3:28" ht="18" customHeight="1">
      <c r="C41" s="6">
        <v>1</v>
      </c>
      <c r="D41" s="292" t="s">
        <v>751</v>
      </c>
      <c r="E41" s="293" t="s">
        <v>751</v>
      </c>
      <c r="F41" s="294"/>
      <c r="G41" s="293" t="s">
        <v>752</v>
      </c>
      <c r="H41" s="370">
        <v>0</v>
      </c>
      <c r="I41" s="295">
        <v>0</v>
      </c>
      <c r="J41" s="295">
        <v>0</v>
      </c>
      <c r="K41" s="295">
        <v>0</v>
      </c>
      <c r="L41" s="296">
        <f t="shared" si="2"/>
        <v>0</v>
      </c>
      <c r="N41" s="297">
        <v>0</v>
      </c>
      <c r="O41" s="295">
        <v>0</v>
      </c>
      <c r="P41" s="295">
        <v>0</v>
      </c>
      <c r="Q41" s="295">
        <v>0</v>
      </c>
      <c r="R41" s="295">
        <v>0</v>
      </c>
      <c r="S41" s="296">
        <v>0</v>
      </c>
      <c r="U41" s="298">
        <f t="shared" si="3"/>
        <v>0</v>
      </c>
      <c r="Z41" s="305">
        <v>0</v>
      </c>
      <c r="AB41" s="305">
        <f t="shared" si="1"/>
        <v>0</v>
      </c>
    </row>
    <row r="42" spans="3:28" ht="18" customHeight="1">
      <c r="C42" s="6">
        <v>1</v>
      </c>
      <c r="D42" s="292" t="s">
        <v>753</v>
      </c>
      <c r="E42" s="293" t="s">
        <v>753</v>
      </c>
      <c r="F42" s="294"/>
      <c r="G42" s="293" t="s">
        <v>754</v>
      </c>
      <c r="H42" s="370">
        <v>0</v>
      </c>
      <c r="I42" s="295">
        <v>0</v>
      </c>
      <c r="J42" s="295">
        <v>0</v>
      </c>
      <c r="K42" s="295">
        <v>0</v>
      </c>
      <c r="L42" s="296">
        <f t="shared" si="2"/>
        <v>0</v>
      </c>
      <c r="N42" s="297">
        <v>0</v>
      </c>
      <c r="O42" s="295">
        <v>0</v>
      </c>
      <c r="P42" s="295">
        <v>0</v>
      </c>
      <c r="Q42" s="295">
        <v>0</v>
      </c>
      <c r="R42" s="295">
        <v>0</v>
      </c>
      <c r="S42" s="296">
        <v>0</v>
      </c>
      <c r="U42" s="298">
        <f t="shared" si="3"/>
        <v>0</v>
      </c>
      <c r="Z42" s="305">
        <v>0</v>
      </c>
      <c r="AB42" s="305">
        <f t="shared" si="1"/>
        <v>0</v>
      </c>
    </row>
    <row r="43" spans="3:28" ht="18" customHeight="1">
      <c r="C43" s="6">
        <v>1</v>
      </c>
      <c r="D43" s="292" t="s">
        <v>755</v>
      </c>
      <c r="E43" s="293" t="s">
        <v>755</v>
      </c>
      <c r="F43" s="294"/>
      <c r="G43" s="293" t="s">
        <v>756</v>
      </c>
      <c r="H43" s="370">
        <v>0</v>
      </c>
      <c r="I43" s="295">
        <v>0</v>
      </c>
      <c r="J43" s="295">
        <v>0</v>
      </c>
      <c r="K43" s="295">
        <v>0</v>
      </c>
      <c r="L43" s="296">
        <f t="shared" ref="L43:L73" si="4">SUM(H43:K43)</f>
        <v>0</v>
      </c>
      <c r="N43" s="297">
        <v>0</v>
      </c>
      <c r="O43" s="295">
        <v>0</v>
      </c>
      <c r="P43" s="295">
        <v>0</v>
      </c>
      <c r="Q43" s="295">
        <v>0</v>
      </c>
      <c r="R43" s="295">
        <v>0</v>
      </c>
      <c r="S43" s="296">
        <v>0</v>
      </c>
      <c r="U43" s="298">
        <f t="shared" si="3"/>
        <v>0</v>
      </c>
      <c r="Z43" s="305">
        <v>0</v>
      </c>
      <c r="AB43" s="305">
        <f t="shared" si="1"/>
        <v>0</v>
      </c>
    </row>
    <row r="44" spans="3:28" ht="18" customHeight="1">
      <c r="C44" s="6">
        <v>1</v>
      </c>
      <c r="D44" s="292" t="s">
        <v>757</v>
      </c>
      <c r="E44" s="293" t="s">
        <v>757</v>
      </c>
      <c r="F44" s="294" t="s">
        <v>758</v>
      </c>
      <c r="G44" s="293" t="s">
        <v>758</v>
      </c>
      <c r="H44" s="370">
        <v>329722924</v>
      </c>
      <c r="I44" s="295">
        <v>0</v>
      </c>
      <c r="J44" s="295">
        <v>0</v>
      </c>
      <c r="K44" s="295">
        <v>0</v>
      </c>
      <c r="L44" s="296">
        <f t="shared" si="4"/>
        <v>329722924</v>
      </c>
      <c r="N44" s="297">
        <v>0</v>
      </c>
      <c r="O44" s="295">
        <v>0</v>
      </c>
      <c r="P44" s="295">
        <v>0</v>
      </c>
      <c r="Q44" s="295">
        <v>0</v>
      </c>
      <c r="R44" s="295">
        <v>0</v>
      </c>
      <c r="S44" s="296">
        <v>0</v>
      </c>
      <c r="U44" s="298">
        <f t="shared" si="3"/>
        <v>329722924</v>
      </c>
      <c r="Z44" s="305">
        <v>296744225</v>
      </c>
      <c r="AB44" s="305">
        <f t="shared" si="1"/>
        <v>32978699</v>
      </c>
    </row>
    <row r="45" spans="3:28" ht="18" customHeight="1">
      <c r="C45" s="6">
        <v>1</v>
      </c>
      <c r="D45" s="292" t="s">
        <v>759</v>
      </c>
      <c r="E45" s="293" t="s">
        <v>759</v>
      </c>
      <c r="F45" s="294"/>
      <c r="G45" s="293" t="s">
        <v>760</v>
      </c>
      <c r="H45" s="370">
        <v>0</v>
      </c>
      <c r="I45" s="295">
        <v>0</v>
      </c>
      <c r="J45" s="295">
        <v>0</v>
      </c>
      <c r="K45" s="295">
        <v>0</v>
      </c>
      <c r="L45" s="296">
        <f t="shared" si="4"/>
        <v>0</v>
      </c>
      <c r="N45" s="297">
        <v>0</v>
      </c>
      <c r="O45" s="295">
        <v>0</v>
      </c>
      <c r="P45" s="295">
        <v>0</v>
      </c>
      <c r="Q45" s="295">
        <v>0</v>
      </c>
      <c r="R45" s="295">
        <v>0</v>
      </c>
      <c r="S45" s="296">
        <v>0</v>
      </c>
      <c r="U45" s="298">
        <f t="shared" si="3"/>
        <v>0</v>
      </c>
      <c r="Z45" s="305">
        <v>0</v>
      </c>
      <c r="AB45" s="305">
        <f t="shared" si="1"/>
        <v>0</v>
      </c>
    </row>
    <row r="46" spans="3:28" ht="18" customHeight="1">
      <c r="C46" s="6">
        <v>1</v>
      </c>
      <c r="D46" s="292" t="s">
        <v>761</v>
      </c>
      <c r="E46" s="293" t="s">
        <v>761</v>
      </c>
      <c r="F46" s="294" t="s">
        <v>1768</v>
      </c>
      <c r="G46" s="293" t="s">
        <v>762</v>
      </c>
      <c r="H46" s="370">
        <v>1160000222</v>
      </c>
      <c r="I46" s="295">
        <v>0</v>
      </c>
      <c r="J46" s="295">
        <v>0</v>
      </c>
      <c r="K46" s="295">
        <v>0</v>
      </c>
      <c r="L46" s="296">
        <f t="shared" si="4"/>
        <v>1160000222</v>
      </c>
      <c r="N46" s="297">
        <v>0</v>
      </c>
      <c r="O46" s="295">
        <v>0</v>
      </c>
      <c r="P46" s="295">
        <v>0</v>
      </c>
      <c r="Q46" s="295">
        <v>0</v>
      </c>
      <c r="R46" s="295">
        <v>0</v>
      </c>
      <c r="S46" s="296">
        <v>0</v>
      </c>
      <c r="U46" s="298">
        <f t="shared" si="3"/>
        <v>1160000222</v>
      </c>
      <c r="Z46" s="305">
        <v>523004174</v>
      </c>
      <c r="AB46" s="305">
        <f t="shared" si="1"/>
        <v>636996048</v>
      </c>
    </row>
    <row r="47" spans="3:28" ht="18" customHeight="1">
      <c r="C47" s="6">
        <v>1</v>
      </c>
      <c r="D47" s="292" t="s">
        <v>763</v>
      </c>
      <c r="E47" s="293" t="s">
        <v>763</v>
      </c>
      <c r="F47" s="294"/>
      <c r="G47" s="293" t="s">
        <v>764</v>
      </c>
      <c r="H47" s="370">
        <v>0</v>
      </c>
      <c r="I47" s="295">
        <v>0</v>
      </c>
      <c r="J47" s="295">
        <v>0</v>
      </c>
      <c r="K47" s="295">
        <v>0</v>
      </c>
      <c r="L47" s="296">
        <f t="shared" si="4"/>
        <v>0</v>
      </c>
      <c r="N47" s="297">
        <v>0</v>
      </c>
      <c r="O47" s="295">
        <v>0</v>
      </c>
      <c r="P47" s="295">
        <v>0</v>
      </c>
      <c r="Q47" s="295">
        <v>0</v>
      </c>
      <c r="R47" s="295">
        <v>0</v>
      </c>
      <c r="S47" s="296">
        <v>0</v>
      </c>
      <c r="U47" s="298">
        <f t="shared" si="3"/>
        <v>0</v>
      </c>
      <c r="Z47" s="305">
        <v>0</v>
      </c>
      <c r="AB47" s="305">
        <f t="shared" si="1"/>
        <v>0</v>
      </c>
    </row>
    <row r="48" spans="3:28" ht="18" customHeight="1">
      <c r="C48" s="6">
        <v>1</v>
      </c>
      <c r="D48" s="292" t="s">
        <v>765</v>
      </c>
      <c r="E48" s="293" t="s">
        <v>1363</v>
      </c>
      <c r="F48" s="294" t="s">
        <v>1415</v>
      </c>
      <c r="G48" s="293" t="s">
        <v>1415</v>
      </c>
      <c r="H48" s="370">
        <v>1759198</v>
      </c>
      <c r="I48" s="295">
        <v>0</v>
      </c>
      <c r="J48" s="295">
        <v>0</v>
      </c>
      <c r="K48" s="295">
        <v>0</v>
      </c>
      <c r="L48" s="296">
        <f t="shared" si="4"/>
        <v>1759198</v>
      </c>
      <c r="N48" s="297">
        <v>0</v>
      </c>
      <c r="O48" s="295">
        <v>0</v>
      </c>
      <c r="P48" s="295">
        <v>0</v>
      </c>
      <c r="Q48" s="295">
        <v>0</v>
      </c>
      <c r="R48" s="295">
        <v>0</v>
      </c>
      <c r="S48" s="296">
        <v>0</v>
      </c>
      <c r="U48" s="298">
        <f t="shared" si="3"/>
        <v>1759198</v>
      </c>
      <c r="Z48" s="305">
        <v>-39836013</v>
      </c>
      <c r="AB48" s="305">
        <f t="shared" si="1"/>
        <v>41595211</v>
      </c>
    </row>
    <row r="49" spans="3:28" ht="18" customHeight="1">
      <c r="C49" s="6">
        <v>1</v>
      </c>
      <c r="D49" s="292" t="s">
        <v>765</v>
      </c>
      <c r="E49" s="293" t="s">
        <v>1364</v>
      </c>
      <c r="F49" s="294" t="s">
        <v>1414</v>
      </c>
      <c r="G49" s="293" t="s">
        <v>1414</v>
      </c>
      <c r="H49" s="370">
        <v>0</v>
      </c>
      <c r="I49" s="295">
        <v>0</v>
      </c>
      <c r="J49" s="295">
        <v>0</v>
      </c>
      <c r="K49" s="295">
        <v>0</v>
      </c>
      <c r="L49" s="296">
        <f t="shared" si="4"/>
        <v>0</v>
      </c>
      <c r="N49" s="297">
        <v>0</v>
      </c>
      <c r="O49" s="295">
        <v>0</v>
      </c>
      <c r="P49" s="295">
        <v>0</v>
      </c>
      <c r="Q49" s="295">
        <v>0</v>
      </c>
      <c r="R49" s="295">
        <v>0</v>
      </c>
      <c r="S49" s="296">
        <v>0</v>
      </c>
      <c r="U49" s="298">
        <f t="shared" si="3"/>
        <v>0</v>
      </c>
      <c r="Z49" s="305"/>
      <c r="AB49" s="305">
        <f t="shared" si="1"/>
        <v>0</v>
      </c>
    </row>
    <row r="50" spans="3:28" ht="18" customHeight="1">
      <c r="C50" s="6">
        <v>1</v>
      </c>
      <c r="D50" s="292" t="s">
        <v>765</v>
      </c>
      <c r="E50" s="293" t="s">
        <v>1444</v>
      </c>
      <c r="F50" s="294" t="s">
        <v>1417</v>
      </c>
      <c r="G50" s="293" t="s">
        <v>310</v>
      </c>
      <c r="H50" s="370">
        <v>9882603</v>
      </c>
      <c r="I50" s="295">
        <v>0</v>
      </c>
      <c r="J50" s="295">
        <v>0</v>
      </c>
      <c r="K50" s="295">
        <v>0</v>
      </c>
      <c r="L50" s="296">
        <f t="shared" si="4"/>
        <v>9882603</v>
      </c>
      <c r="N50" s="297">
        <v>0</v>
      </c>
      <c r="O50" s="295">
        <v>0</v>
      </c>
      <c r="P50" s="295">
        <v>0</v>
      </c>
      <c r="Q50" s="295">
        <v>0</v>
      </c>
      <c r="R50" s="295">
        <v>0</v>
      </c>
      <c r="S50" s="296">
        <v>0</v>
      </c>
      <c r="U50" s="298">
        <f t="shared" si="3"/>
        <v>9882603</v>
      </c>
      <c r="Z50" s="305">
        <v>6700540</v>
      </c>
      <c r="AB50" s="305">
        <f t="shared" si="1"/>
        <v>3182063</v>
      </c>
    </row>
    <row r="51" spans="3:28" ht="18" customHeight="1">
      <c r="C51" s="6">
        <v>1</v>
      </c>
      <c r="D51" s="292" t="s">
        <v>765</v>
      </c>
      <c r="E51" s="293" t="s">
        <v>1445</v>
      </c>
      <c r="F51" s="294"/>
      <c r="G51" s="293" t="s">
        <v>1356</v>
      </c>
      <c r="H51" s="370">
        <v>0</v>
      </c>
      <c r="I51" s="295">
        <v>0</v>
      </c>
      <c r="J51" s="295">
        <v>0</v>
      </c>
      <c r="K51" s="295">
        <v>0</v>
      </c>
      <c r="L51" s="296">
        <f t="shared" si="4"/>
        <v>0</v>
      </c>
      <c r="N51" s="297">
        <v>0</v>
      </c>
      <c r="O51" s="295">
        <v>0</v>
      </c>
      <c r="P51" s="295">
        <v>0</v>
      </c>
      <c r="Q51" s="295">
        <v>0</v>
      </c>
      <c r="R51" s="295">
        <v>0</v>
      </c>
      <c r="S51" s="296">
        <v>0</v>
      </c>
      <c r="U51" s="298">
        <f t="shared" si="3"/>
        <v>0</v>
      </c>
      <c r="Z51" s="305"/>
      <c r="AB51" s="305">
        <f t="shared" si="1"/>
        <v>0</v>
      </c>
    </row>
    <row r="52" spans="3:28" ht="18" customHeight="1">
      <c r="C52" s="6">
        <v>1</v>
      </c>
      <c r="D52" s="292" t="s">
        <v>766</v>
      </c>
      <c r="E52" s="293" t="s">
        <v>766</v>
      </c>
      <c r="F52" s="294"/>
      <c r="G52" s="293" t="s">
        <v>767</v>
      </c>
      <c r="H52" s="370">
        <v>0</v>
      </c>
      <c r="I52" s="295">
        <v>0</v>
      </c>
      <c r="J52" s="295">
        <v>0</v>
      </c>
      <c r="K52" s="295">
        <v>0</v>
      </c>
      <c r="L52" s="296">
        <f t="shared" si="4"/>
        <v>0</v>
      </c>
      <c r="N52" s="297">
        <v>0</v>
      </c>
      <c r="O52" s="295">
        <v>0</v>
      </c>
      <c r="P52" s="295">
        <v>0</v>
      </c>
      <c r="Q52" s="295">
        <v>0</v>
      </c>
      <c r="R52" s="295">
        <v>0</v>
      </c>
      <c r="S52" s="296">
        <v>0</v>
      </c>
      <c r="U52" s="298">
        <f t="shared" si="3"/>
        <v>0</v>
      </c>
      <c r="Z52" s="305">
        <v>0</v>
      </c>
      <c r="AB52" s="305">
        <f t="shared" si="1"/>
        <v>0</v>
      </c>
    </row>
    <row r="53" spans="3:28" ht="18" customHeight="1">
      <c r="C53" s="6">
        <v>1</v>
      </c>
      <c r="D53" s="292" t="s">
        <v>768</v>
      </c>
      <c r="E53" s="293" t="s">
        <v>768</v>
      </c>
      <c r="F53" s="294"/>
      <c r="G53" s="293" t="s">
        <v>769</v>
      </c>
      <c r="H53" s="370">
        <v>0</v>
      </c>
      <c r="I53" s="295">
        <v>0</v>
      </c>
      <c r="J53" s="295">
        <v>0</v>
      </c>
      <c r="K53" s="295">
        <v>0</v>
      </c>
      <c r="L53" s="296">
        <f t="shared" si="4"/>
        <v>0</v>
      </c>
      <c r="N53" s="297">
        <v>0</v>
      </c>
      <c r="O53" s="295">
        <v>0</v>
      </c>
      <c r="P53" s="295">
        <v>0</v>
      </c>
      <c r="Q53" s="295">
        <v>0</v>
      </c>
      <c r="R53" s="295">
        <v>0</v>
      </c>
      <c r="S53" s="296">
        <v>0</v>
      </c>
      <c r="U53" s="298">
        <f t="shared" si="3"/>
        <v>0</v>
      </c>
      <c r="Z53" s="305">
        <v>0</v>
      </c>
      <c r="AB53" s="305">
        <f t="shared" si="1"/>
        <v>0</v>
      </c>
    </row>
    <row r="54" spans="3:28" ht="18" customHeight="1">
      <c r="C54" s="6">
        <v>1</v>
      </c>
      <c r="D54" s="292" t="s">
        <v>770</v>
      </c>
      <c r="E54" s="293" t="s">
        <v>770</v>
      </c>
      <c r="F54" s="294"/>
      <c r="G54" s="293" t="s">
        <v>771</v>
      </c>
      <c r="H54" s="370">
        <v>0</v>
      </c>
      <c r="I54" s="295">
        <v>0</v>
      </c>
      <c r="J54" s="295">
        <v>0</v>
      </c>
      <c r="K54" s="295">
        <v>0</v>
      </c>
      <c r="L54" s="296">
        <f t="shared" si="4"/>
        <v>0</v>
      </c>
      <c r="N54" s="297">
        <v>0</v>
      </c>
      <c r="O54" s="295">
        <v>0</v>
      </c>
      <c r="P54" s="295">
        <v>0</v>
      </c>
      <c r="Q54" s="295">
        <v>0</v>
      </c>
      <c r="R54" s="295">
        <v>0</v>
      </c>
      <c r="S54" s="296">
        <v>0</v>
      </c>
      <c r="U54" s="298">
        <f t="shared" si="3"/>
        <v>0</v>
      </c>
      <c r="Z54" s="305">
        <v>0</v>
      </c>
      <c r="AB54" s="305">
        <f t="shared" si="1"/>
        <v>0</v>
      </c>
    </row>
    <row r="55" spans="3:28" ht="18" customHeight="1">
      <c r="C55" s="6">
        <v>1</v>
      </c>
      <c r="D55" s="292" t="s">
        <v>772</v>
      </c>
      <c r="E55" s="293" t="s">
        <v>772</v>
      </c>
      <c r="F55" s="294"/>
      <c r="G55" s="293" t="s">
        <v>260</v>
      </c>
      <c r="H55" s="370">
        <v>0</v>
      </c>
      <c r="I55" s="295">
        <v>0</v>
      </c>
      <c r="J55" s="295">
        <v>0</v>
      </c>
      <c r="K55" s="295">
        <v>0</v>
      </c>
      <c r="L55" s="296">
        <f t="shared" si="4"/>
        <v>0</v>
      </c>
      <c r="N55" s="297">
        <v>0</v>
      </c>
      <c r="O55" s="295">
        <v>0</v>
      </c>
      <c r="P55" s="295">
        <v>0</v>
      </c>
      <c r="Q55" s="295">
        <v>0</v>
      </c>
      <c r="R55" s="295">
        <v>0</v>
      </c>
      <c r="S55" s="296">
        <v>0</v>
      </c>
      <c r="U55" s="298">
        <f t="shared" si="3"/>
        <v>0</v>
      </c>
      <c r="Z55" s="305">
        <v>0</v>
      </c>
      <c r="AB55" s="305">
        <f t="shared" si="1"/>
        <v>0</v>
      </c>
    </row>
    <row r="56" spans="3:28" ht="18" customHeight="1">
      <c r="C56" s="6">
        <v>1</v>
      </c>
      <c r="D56" s="292" t="s">
        <v>773</v>
      </c>
      <c r="E56" s="293" t="s">
        <v>773</v>
      </c>
      <c r="F56" s="294"/>
      <c r="G56" s="293" t="s">
        <v>774</v>
      </c>
      <c r="H56" s="370">
        <v>0</v>
      </c>
      <c r="I56" s="295">
        <v>0</v>
      </c>
      <c r="J56" s="295">
        <v>0</v>
      </c>
      <c r="K56" s="295">
        <v>0</v>
      </c>
      <c r="L56" s="296">
        <f t="shared" si="4"/>
        <v>0</v>
      </c>
      <c r="N56" s="297">
        <v>0</v>
      </c>
      <c r="O56" s="295">
        <v>0</v>
      </c>
      <c r="P56" s="295">
        <v>0</v>
      </c>
      <c r="Q56" s="295">
        <v>0</v>
      </c>
      <c r="R56" s="295">
        <v>0</v>
      </c>
      <c r="S56" s="296">
        <v>0</v>
      </c>
      <c r="U56" s="298">
        <f t="shared" si="3"/>
        <v>0</v>
      </c>
      <c r="Z56" s="305">
        <v>0</v>
      </c>
      <c r="AB56" s="305">
        <f t="shared" si="1"/>
        <v>0</v>
      </c>
    </row>
    <row r="57" spans="3:28" ht="18" customHeight="1">
      <c r="C57" s="6">
        <v>1</v>
      </c>
      <c r="D57" s="292" t="s">
        <v>775</v>
      </c>
      <c r="E57" s="293" t="s">
        <v>775</v>
      </c>
      <c r="F57" s="294"/>
      <c r="G57" s="293" t="s">
        <v>776</v>
      </c>
      <c r="H57" s="370">
        <v>0</v>
      </c>
      <c r="I57" s="295">
        <v>0</v>
      </c>
      <c r="J57" s="295">
        <v>0</v>
      </c>
      <c r="K57" s="295">
        <v>0</v>
      </c>
      <c r="L57" s="296">
        <f t="shared" si="4"/>
        <v>0</v>
      </c>
      <c r="N57" s="297">
        <v>0</v>
      </c>
      <c r="O57" s="295">
        <v>0</v>
      </c>
      <c r="P57" s="295">
        <v>0</v>
      </c>
      <c r="Q57" s="295">
        <v>0</v>
      </c>
      <c r="R57" s="295">
        <v>0</v>
      </c>
      <c r="S57" s="296">
        <v>0</v>
      </c>
      <c r="U57" s="298">
        <f t="shared" si="3"/>
        <v>0</v>
      </c>
      <c r="Z57" s="305">
        <v>0</v>
      </c>
      <c r="AB57" s="305">
        <f t="shared" si="1"/>
        <v>0</v>
      </c>
    </row>
    <row r="58" spans="3:28" ht="18" customHeight="1">
      <c r="C58" s="6">
        <v>1</v>
      </c>
      <c r="D58" s="292" t="s">
        <v>777</v>
      </c>
      <c r="E58" s="293" t="s">
        <v>777</v>
      </c>
      <c r="F58" s="294"/>
      <c r="G58" s="293" t="s">
        <v>778</v>
      </c>
      <c r="H58" s="370">
        <v>0</v>
      </c>
      <c r="I58" s="295">
        <v>0</v>
      </c>
      <c r="J58" s="295">
        <v>0</v>
      </c>
      <c r="K58" s="295">
        <v>0</v>
      </c>
      <c r="L58" s="296">
        <f t="shared" si="4"/>
        <v>0</v>
      </c>
      <c r="N58" s="297">
        <v>0</v>
      </c>
      <c r="O58" s="295">
        <v>0</v>
      </c>
      <c r="P58" s="295">
        <v>0</v>
      </c>
      <c r="Q58" s="295">
        <v>0</v>
      </c>
      <c r="R58" s="295">
        <v>0</v>
      </c>
      <c r="S58" s="296">
        <v>0</v>
      </c>
      <c r="U58" s="298">
        <f t="shared" si="3"/>
        <v>0</v>
      </c>
      <c r="Z58" s="305">
        <v>0</v>
      </c>
      <c r="AB58" s="305">
        <f t="shared" si="1"/>
        <v>0</v>
      </c>
    </row>
    <row r="59" spans="3:28" ht="18" customHeight="1">
      <c r="C59" s="6">
        <v>1</v>
      </c>
      <c r="D59" s="292" t="s">
        <v>779</v>
      </c>
      <c r="E59" s="293" t="s">
        <v>779</v>
      </c>
      <c r="F59" s="294"/>
      <c r="G59" s="293" t="s">
        <v>780</v>
      </c>
      <c r="H59" s="370">
        <v>0</v>
      </c>
      <c r="I59" s="295">
        <v>0</v>
      </c>
      <c r="J59" s="295">
        <v>0</v>
      </c>
      <c r="K59" s="295">
        <v>0</v>
      </c>
      <c r="L59" s="296">
        <f t="shared" si="4"/>
        <v>0</v>
      </c>
      <c r="N59" s="297">
        <v>0</v>
      </c>
      <c r="O59" s="295">
        <v>0</v>
      </c>
      <c r="P59" s="295">
        <v>0</v>
      </c>
      <c r="Q59" s="295">
        <v>0</v>
      </c>
      <c r="R59" s="295">
        <v>0</v>
      </c>
      <c r="S59" s="296">
        <v>0</v>
      </c>
      <c r="U59" s="298">
        <f t="shared" si="3"/>
        <v>0</v>
      </c>
      <c r="Z59" s="305">
        <v>0</v>
      </c>
      <c r="AB59" s="305">
        <f t="shared" si="1"/>
        <v>0</v>
      </c>
    </row>
    <row r="60" spans="3:28" ht="18" customHeight="1">
      <c r="C60" s="6">
        <v>1</v>
      </c>
      <c r="D60" s="292" t="s">
        <v>781</v>
      </c>
      <c r="E60" s="293" t="s">
        <v>781</v>
      </c>
      <c r="F60" s="294" t="s">
        <v>1849</v>
      </c>
      <c r="G60" s="293" t="s">
        <v>688</v>
      </c>
      <c r="H60" s="370">
        <v>773433</v>
      </c>
      <c r="I60" s="295">
        <v>0</v>
      </c>
      <c r="J60" s="295">
        <v>0</v>
      </c>
      <c r="K60" s="295">
        <v>0</v>
      </c>
      <c r="L60" s="296">
        <f t="shared" si="4"/>
        <v>773433</v>
      </c>
      <c r="N60" s="297">
        <v>0</v>
      </c>
      <c r="O60" s="295">
        <v>0</v>
      </c>
      <c r="P60" s="295">
        <v>0</v>
      </c>
      <c r="Q60" s="295">
        <v>0</v>
      </c>
      <c r="R60" s="295">
        <v>0</v>
      </c>
      <c r="S60" s="296">
        <v>0</v>
      </c>
      <c r="U60" s="298">
        <f t="shared" si="3"/>
        <v>773433</v>
      </c>
      <c r="Z60" s="305">
        <v>773433</v>
      </c>
      <c r="AB60" s="305">
        <f t="shared" si="1"/>
        <v>0</v>
      </c>
    </row>
    <row r="61" spans="3:28" ht="18" customHeight="1">
      <c r="C61" s="6">
        <v>1</v>
      </c>
      <c r="D61" s="292" t="s">
        <v>782</v>
      </c>
      <c r="E61" s="293" t="s">
        <v>782</v>
      </c>
      <c r="F61" s="294" t="s">
        <v>681</v>
      </c>
      <c r="G61" s="293" t="s">
        <v>681</v>
      </c>
      <c r="H61" s="370">
        <v>242754091</v>
      </c>
      <c r="I61" s="295">
        <v>49208960</v>
      </c>
      <c r="J61" s="295">
        <v>1210083</v>
      </c>
      <c r="K61" s="452">
        <v>54867813</v>
      </c>
      <c r="L61" s="296">
        <f t="shared" si="4"/>
        <v>348040947</v>
      </c>
      <c r="N61" s="297">
        <v>0</v>
      </c>
      <c r="O61" s="295">
        <v>0</v>
      </c>
      <c r="P61" s="295">
        <v>-47128749</v>
      </c>
      <c r="Q61" s="295">
        <v>0</v>
      </c>
      <c r="R61" s="295">
        <v>0</v>
      </c>
      <c r="S61" s="296">
        <v>-47128749</v>
      </c>
      <c r="U61" s="298">
        <f t="shared" si="3"/>
        <v>300912198</v>
      </c>
      <c r="W61" s="7">
        <f>ROUND(SUM(T_IS!X88:X91),0)-ROUND(U61,0)</f>
        <v>-68622031</v>
      </c>
      <c r="Z61" s="305">
        <v>254634747</v>
      </c>
      <c r="AB61" s="305">
        <f t="shared" si="1"/>
        <v>46277451</v>
      </c>
    </row>
    <row r="62" spans="3:28" ht="18" customHeight="1">
      <c r="C62" s="6">
        <v>1</v>
      </c>
      <c r="D62" s="292" t="s">
        <v>783</v>
      </c>
      <c r="E62" s="293" t="s">
        <v>783</v>
      </c>
      <c r="F62" s="294" t="s">
        <v>380</v>
      </c>
      <c r="G62" s="293" t="s">
        <v>380</v>
      </c>
      <c r="H62" s="370">
        <v>258216482</v>
      </c>
      <c r="I62" s="295">
        <v>0</v>
      </c>
      <c r="J62" s="295">
        <v>0</v>
      </c>
      <c r="K62" s="295">
        <v>0</v>
      </c>
      <c r="L62" s="296">
        <f t="shared" si="4"/>
        <v>258216482</v>
      </c>
      <c r="N62" s="297">
        <v>0</v>
      </c>
      <c r="O62" s="295">
        <v>0</v>
      </c>
      <c r="P62" s="295">
        <v>0</v>
      </c>
      <c r="Q62" s="295">
        <v>0</v>
      </c>
      <c r="R62" s="295">
        <v>0</v>
      </c>
      <c r="S62" s="296">
        <v>0</v>
      </c>
      <c r="U62" s="298">
        <f t="shared" si="3"/>
        <v>258216482</v>
      </c>
      <c r="W62" s="6" t="b">
        <f>U62=T_IS!X126</f>
        <v>0</v>
      </c>
      <c r="Z62" s="305">
        <v>480535403</v>
      </c>
      <c r="AB62" s="305">
        <f t="shared" si="1"/>
        <v>-222318921</v>
      </c>
    </row>
    <row r="63" spans="3:28" ht="18" customHeight="1">
      <c r="C63" s="6">
        <v>1</v>
      </c>
      <c r="D63" s="292" t="s">
        <v>784</v>
      </c>
      <c r="E63" s="293" t="s">
        <v>784</v>
      </c>
      <c r="F63" s="294"/>
      <c r="G63" s="293" t="s">
        <v>785</v>
      </c>
      <c r="H63" s="370">
        <v>0</v>
      </c>
      <c r="I63" s="295">
        <v>0</v>
      </c>
      <c r="J63" s="295">
        <v>0</v>
      </c>
      <c r="K63" s="295">
        <v>0</v>
      </c>
      <c r="L63" s="296">
        <f t="shared" si="4"/>
        <v>0</v>
      </c>
      <c r="N63" s="297">
        <v>0</v>
      </c>
      <c r="O63" s="295">
        <v>0</v>
      </c>
      <c r="P63" s="295">
        <v>0</v>
      </c>
      <c r="Q63" s="295">
        <v>0</v>
      </c>
      <c r="R63" s="295">
        <v>0</v>
      </c>
      <c r="S63" s="296">
        <v>0</v>
      </c>
      <c r="U63" s="298">
        <f t="shared" si="3"/>
        <v>0</v>
      </c>
      <c r="Z63" s="305">
        <v>0</v>
      </c>
      <c r="AB63" s="305">
        <f t="shared" si="1"/>
        <v>0</v>
      </c>
    </row>
    <row r="64" spans="3:28" ht="18" customHeight="1">
      <c r="C64" s="6">
        <v>1</v>
      </c>
      <c r="D64" s="292" t="s">
        <v>786</v>
      </c>
      <c r="E64" s="293" t="s">
        <v>786</v>
      </c>
      <c r="F64" s="294"/>
      <c r="G64" s="293" t="s">
        <v>787</v>
      </c>
      <c r="H64" s="370">
        <v>0</v>
      </c>
      <c r="I64" s="295">
        <v>0</v>
      </c>
      <c r="J64" s="295">
        <v>0</v>
      </c>
      <c r="K64" s="295">
        <v>0</v>
      </c>
      <c r="L64" s="296">
        <f t="shared" si="4"/>
        <v>0</v>
      </c>
      <c r="N64" s="297">
        <v>0</v>
      </c>
      <c r="O64" s="295">
        <v>0</v>
      </c>
      <c r="P64" s="295">
        <v>0</v>
      </c>
      <c r="Q64" s="295">
        <v>0</v>
      </c>
      <c r="R64" s="295">
        <v>0</v>
      </c>
      <c r="S64" s="296">
        <v>0</v>
      </c>
      <c r="U64" s="298">
        <f t="shared" si="3"/>
        <v>0</v>
      </c>
      <c r="Z64" s="305">
        <v>0</v>
      </c>
      <c r="AB64" s="305">
        <f t="shared" si="1"/>
        <v>0</v>
      </c>
    </row>
    <row r="65" spans="3:29" ht="18" customHeight="1">
      <c r="C65" s="6">
        <v>1</v>
      </c>
      <c r="D65" s="292" t="s">
        <v>788</v>
      </c>
      <c r="E65" s="293" t="s">
        <v>788</v>
      </c>
      <c r="F65" s="294"/>
      <c r="G65" s="293" t="s">
        <v>789</v>
      </c>
      <c r="H65" s="370">
        <v>0</v>
      </c>
      <c r="I65" s="295">
        <v>0</v>
      </c>
      <c r="J65" s="295">
        <v>0</v>
      </c>
      <c r="K65" s="295">
        <v>0</v>
      </c>
      <c r="L65" s="296">
        <f t="shared" si="4"/>
        <v>0</v>
      </c>
      <c r="N65" s="297">
        <v>0</v>
      </c>
      <c r="O65" s="295">
        <v>0</v>
      </c>
      <c r="P65" s="295">
        <v>0</v>
      </c>
      <c r="Q65" s="295">
        <v>0</v>
      </c>
      <c r="R65" s="295">
        <v>0</v>
      </c>
      <c r="S65" s="296">
        <v>0</v>
      </c>
      <c r="U65" s="298">
        <f t="shared" si="3"/>
        <v>0</v>
      </c>
      <c r="Z65" s="305">
        <v>0</v>
      </c>
      <c r="AB65" s="305">
        <f t="shared" si="1"/>
        <v>0</v>
      </c>
    </row>
    <row r="66" spans="3:29" ht="18" customHeight="1">
      <c r="C66" s="6">
        <v>1</v>
      </c>
      <c r="D66" s="292" t="s">
        <v>790</v>
      </c>
      <c r="E66" s="293" t="s">
        <v>790</v>
      </c>
      <c r="F66" s="294"/>
      <c r="G66" s="293" t="s">
        <v>791</v>
      </c>
      <c r="H66" s="370">
        <v>0</v>
      </c>
      <c r="I66" s="295">
        <v>0</v>
      </c>
      <c r="J66" s="295">
        <v>0</v>
      </c>
      <c r="K66" s="295">
        <v>0</v>
      </c>
      <c r="L66" s="296">
        <f t="shared" si="4"/>
        <v>0</v>
      </c>
      <c r="N66" s="297">
        <v>0</v>
      </c>
      <c r="O66" s="295">
        <v>0</v>
      </c>
      <c r="P66" s="295">
        <v>0</v>
      </c>
      <c r="Q66" s="295">
        <v>0</v>
      </c>
      <c r="R66" s="295">
        <v>0</v>
      </c>
      <c r="S66" s="296">
        <v>0</v>
      </c>
      <c r="U66" s="298">
        <f t="shared" si="3"/>
        <v>0</v>
      </c>
      <c r="Z66" s="305">
        <v>0</v>
      </c>
      <c r="AB66" s="305">
        <f t="shared" si="1"/>
        <v>0</v>
      </c>
    </row>
    <row r="67" spans="3:29" ht="18" customHeight="1">
      <c r="C67" s="6">
        <v>1</v>
      </c>
      <c r="D67" s="292" t="s">
        <v>792</v>
      </c>
      <c r="E67" s="293" t="s">
        <v>792</v>
      </c>
      <c r="F67" s="294"/>
      <c r="G67" s="293" t="s">
        <v>793</v>
      </c>
      <c r="H67" s="370">
        <v>0</v>
      </c>
      <c r="I67" s="295">
        <v>0</v>
      </c>
      <c r="J67" s="295">
        <v>0</v>
      </c>
      <c r="K67" s="295">
        <v>0</v>
      </c>
      <c r="L67" s="296">
        <f t="shared" si="4"/>
        <v>0</v>
      </c>
      <c r="N67" s="297">
        <v>0</v>
      </c>
      <c r="O67" s="295">
        <v>0</v>
      </c>
      <c r="P67" s="295">
        <v>0</v>
      </c>
      <c r="Q67" s="295">
        <v>0</v>
      </c>
      <c r="R67" s="295">
        <v>0</v>
      </c>
      <c r="S67" s="296">
        <v>0</v>
      </c>
      <c r="U67" s="298">
        <f t="shared" si="3"/>
        <v>0</v>
      </c>
      <c r="Z67" s="305">
        <v>0</v>
      </c>
      <c r="AB67" s="305">
        <f t="shared" si="1"/>
        <v>0</v>
      </c>
    </row>
    <row r="68" spans="3:29" ht="18" customHeight="1">
      <c r="C68" s="6">
        <v>1</v>
      </c>
      <c r="D68" s="292" t="s">
        <v>794</v>
      </c>
      <c r="E68" s="293" t="s">
        <v>794</v>
      </c>
      <c r="F68" s="294"/>
      <c r="G68" s="293" t="s">
        <v>795</v>
      </c>
      <c r="H68" s="370">
        <v>0</v>
      </c>
      <c r="I68" s="295">
        <v>0</v>
      </c>
      <c r="J68" s="295">
        <v>0</v>
      </c>
      <c r="K68" s="295">
        <v>0</v>
      </c>
      <c r="L68" s="296">
        <f t="shared" si="4"/>
        <v>0</v>
      </c>
      <c r="N68" s="297">
        <v>0</v>
      </c>
      <c r="O68" s="295">
        <v>0</v>
      </c>
      <c r="P68" s="295">
        <v>0</v>
      </c>
      <c r="Q68" s="295">
        <v>0</v>
      </c>
      <c r="R68" s="295">
        <v>0</v>
      </c>
      <c r="S68" s="296">
        <v>0</v>
      </c>
      <c r="U68" s="298">
        <f t="shared" si="3"/>
        <v>0</v>
      </c>
      <c r="Z68" s="305">
        <v>0</v>
      </c>
      <c r="AB68" s="305">
        <f t="shared" si="1"/>
        <v>0</v>
      </c>
    </row>
    <row r="69" spans="3:29" ht="18" customHeight="1">
      <c r="C69" s="6">
        <v>1</v>
      </c>
      <c r="D69" s="292" t="s">
        <v>796</v>
      </c>
      <c r="E69" s="293" t="s">
        <v>796</v>
      </c>
      <c r="F69" s="294"/>
      <c r="G69" s="293" t="s">
        <v>797</v>
      </c>
      <c r="H69" s="370">
        <v>0</v>
      </c>
      <c r="I69" s="295">
        <v>0</v>
      </c>
      <c r="J69" s="295">
        <v>0</v>
      </c>
      <c r="K69" s="295">
        <v>0</v>
      </c>
      <c r="L69" s="296">
        <f t="shared" si="4"/>
        <v>0</v>
      </c>
      <c r="N69" s="297">
        <v>0</v>
      </c>
      <c r="O69" s="295">
        <v>0</v>
      </c>
      <c r="P69" s="295">
        <v>0</v>
      </c>
      <c r="Q69" s="295">
        <v>0</v>
      </c>
      <c r="R69" s="295">
        <v>0</v>
      </c>
      <c r="S69" s="296">
        <v>0</v>
      </c>
      <c r="U69" s="298">
        <f t="shared" si="3"/>
        <v>0</v>
      </c>
      <c r="Z69" s="305">
        <v>0</v>
      </c>
      <c r="AB69" s="305">
        <f t="shared" si="1"/>
        <v>0</v>
      </c>
    </row>
    <row r="70" spans="3:29" ht="18" customHeight="1">
      <c r="C70" s="6">
        <v>1</v>
      </c>
      <c r="D70" s="292" t="s">
        <v>798</v>
      </c>
      <c r="E70" s="293" t="s">
        <v>798</v>
      </c>
      <c r="F70" s="294"/>
      <c r="G70" s="293" t="s">
        <v>799</v>
      </c>
      <c r="H70" s="370">
        <v>0</v>
      </c>
      <c r="I70" s="295">
        <v>0</v>
      </c>
      <c r="J70" s="295">
        <v>0</v>
      </c>
      <c r="K70" s="295">
        <v>0</v>
      </c>
      <c r="L70" s="296">
        <f t="shared" si="4"/>
        <v>0</v>
      </c>
      <c r="N70" s="297">
        <v>0</v>
      </c>
      <c r="O70" s="295">
        <v>0</v>
      </c>
      <c r="P70" s="295">
        <v>0</v>
      </c>
      <c r="Q70" s="295">
        <v>0</v>
      </c>
      <c r="R70" s="295">
        <v>0</v>
      </c>
      <c r="S70" s="296">
        <v>0</v>
      </c>
      <c r="U70" s="298">
        <f t="shared" si="3"/>
        <v>0</v>
      </c>
      <c r="Z70" s="305">
        <v>0</v>
      </c>
      <c r="AB70" s="305">
        <f t="shared" si="1"/>
        <v>0</v>
      </c>
    </row>
    <row r="71" spans="3:29" ht="18" customHeight="1">
      <c r="C71" s="6">
        <v>1</v>
      </c>
      <c r="D71" s="292" t="s">
        <v>800</v>
      </c>
      <c r="E71" s="293" t="s">
        <v>800</v>
      </c>
      <c r="F71" s="458" t="s">
        <v>2201</v>
      </c>
      <c r="G71" s="293" t="s">
        <v>801</v>
      </c>
      <c r="H71" s="370">
        <v>23145377285</v>
      </c>
      <c r="I71" s="295">
        <v>0</v>
      </c>
      <c r="J71" s="295">
        <v>0</v>
      </c>
      <c r="K71" s="295">
        <v>0</v>
      </c>
      <c r="L71" s="296">
        <f t="shared" si="4"/>
        <v>23145377285</v>
      </c>
      <c r="N71" s="297">
        <v>0</v>
      </c>
      <c r="O71" s="295">
        <v>0</v>
      </c>
      <c r="P71" s="295">
        <v>0</v>
      </c>
      <c r="Q71" s="295">
        <v>0</v>
      </c>
      <c r="R71" s="295">
        <v>0</v>
      </c>
      <c r="S71" s="296">
        <v>0</v>
      </c>
      <c r="U71" s="298">
        <f t="shared" si="3"/>
        <v>23145377285</v>
      </c>
      <c r="Z71" s="305">
        <v>7995295060</v>
      </c>
      <c r="AB71" s="305">
        <f t="shared" si="1"/>
        <v>15150082225</v>
      </c>
    </row>
    <row r="72" spans="3:29" s="301" customFormat="1" ht="18" customHeight="1">
      <c r="C72" s="6">
        <v>1</v>
      </c>
      <c r="D72" s="300" t="s">
        <v>736</v>
      </c>
      <c r="E72" s="301" t="s">
        <v>1767</v>
      </c>
      <c r="F72" s="302" t="s">
        <v>686</v>
      </c>
      <c r="G72" s="301" t="s">
        <v>1766</v>
      </c>
      <c r="H72" s="370">
        <v>0</v>
      </c>
      <c r="I72" s="295">
        <v>0</v>
      </c>
      <c r="J72" s="295">
        <v>0</v>
      </c>
      <c r="K72" s="295">
        <v>0</v>
      </c>
      <c r="L72" s="303">
        <f t="shared" si="4"/>
        <v>0</v>
      </c>
      <c r="N72" s="304">
        <v>0</v>
      </c>
      <c r="O72" s="299">
        <v>0</v>
      </c>
      <c r="P72" s="299">
        <v>0</v>
      </c>
      <c r="Q72" s="299">
        <v>0</v>
      </c>
      <c r="R72" s="299">
        <v>0</v>
      </c>
      <c r="S72" s="303">
        <v>0</v>
      </c>
      <c r="U72" s="298">
        <f t="shared" si="3"/>
        <v>0</v>
      </c>
      <c r="Z72" s="305">
        <v>0</v>
      </c>
      <c r="AB72" s="305">
        <f t="shared" ref="AB72:AB135" si="5">U72-Z72</f>
        <v>0</v>
      </c>
    </row>
    <row r="73" spans="3:29" ht="18" customHeight="1">
      <c r="C73" s="6">
        <v>1</v>
      </c>
      <c r="D73" s="292" t="s">
        <v>802</v>
      </c>
      <c r="E73" s="293" t="s">
        <v>802</v>
      </c>
      <c r="F73" s="458"/>
      <c r="G73" s="293" t="s">
        <v>803</v>
      </c>
      <c r="H73" s="370">
        <v>0</v>
      </c>
      <c r="I73" s="295">
        <v>0</v>
      </c>
      <c r="J73" s="295">
        <v>0</v>
      </c>
      <c r="K73" s="295">
        <v>0</v>
      </c>
      <c r="L73" s="296">
        <f t="shared" si="4"/>
        <v>0</v>
      </c>
      <c r="N73" s="297">
        <v>0</v>
      </c>
      <c r="O73" s="295">
        <v>0</v>
      </c>
      <c r="P73" s="295">
        <v>0</v>
      </c>
      <c r="Q73" s="295">
        <v>0</v>
      </c>
      <c r="R73" s="295">
        <v>0</v>
      </c>
      <c r="S73" s="296">
        <v>0</v>
      </c>
      <c r="U73" s="298">
        <f t="shared" si="3"/>
        <v>0</v>
      </c>
      <c r="Z73" s="305">
        <v>0</v>
      </c>
      <c r="AB73" s="305">
        <f t="shared" si="5"/>
        <v>0</v>
      </c>
    </row>
    <row r="74" spans="3:29" ht="18" customHeight="1">
      <c r="C74" s="6">
        <v>1</v>
      </c>
      <c r="D74" s="285" t="s">
        <v>804</v>
      </c>
      <c r="E74" s="286" t="s">
        <v>804</v>
      </c>
      <c r="F74" s="287"/>
      <c r="G74" s="286" t="s">
        <v>805</v>
      </c>
      <c r="H74" s="288">
        <f>SUM(H75:H124)</f>
        <v>-6674024419</v>
      </c>
      <c r="I74" s="288">
        <f>SUM(I75:I124)</f>
        <v>-2813829</v>
      </c>
      <c r="J74" s="288">
        <f>SUM(J75:J124)</f>
        <v>-50425</v>
      </c>
      <c r="K74" s="288">
        <f>SUM(K75:K124)</f>
        <v>-802997972</v>
      </c>
      <c r="L74" s="289">
        <f>SUM(L75:L124)</f>
        <v>-7479886645</v>
      </c>
      <c r="N74" s="290">
        <v>0</v>
      </c>
      <c r="O74" s="288">
        <v>0</v>
      </c>
      <c r="P74" s="288">
        <v>47128749</v>
      </c>
      <c r="Q74" s="288">
        <v>0</v>
      </c>
      <c r="R74" s="288">
        <v>-24157280</v>
      </c>
      <c r="S74" s="289">
        <v>22971469</v>
      </c>
      <c r="U74" s="291">
        <f>SUM(U75:U124)</f>
        <v>-7456915176</v>
      </c>
      <c r="V74" s="6" t="b">
        <f>U74=SUM(U75:U124)</f>
        <v>1</v>
      </c>
      <c r="Z74" s="291">
        <v>-5678328332</v>
      </c>
      <c r="AA74" s="6" t="b">
        <f>Z74=SUM(Z75:Z124)</f>
        <v>1</v>
      </c>
      <c r="AB74" s="291">
        <f t="shared" si="5"/>
        <v>-1778586844</v>
      </c>
      <c r="AC74" s="6" t="b">
        <f>AB74=SUM(AB75:AB124)</f>
        <v>1</v>
      </c>
    </row>
    <row r="75" spans="3:29" ht="18" customHeight="1">
      <c r="C75" s="6">
        <v>1</v>
      </c>
      <c r="D75" s="292" t="s">
        <v>806</v>
      </c>
      <c r="E75" s="293" t="s">
        <v>806</v>
      </c>
      <c r="F75" s="294" t="s">
        <v>675</v>
      </c>
      <c r="G75" s="293" t="s">
        <v>675</v>
      </c>
      <c r="H75" s="370">
        <v>-1318864233</v>
      </c>
      <c r="I75" s="370">
        <v>0</v>
      </c>
      <c r="J75" s="295">
        <v>0</v>
      </c>
      <c r="K75" s="295">
        <v>0</v>
      </c>
      <c r="L75" s="296">
        <f t="shared" ref="L75:L106" si="6">SUM(H75:K75)</f>
        <v>-1318864233</v>
      </c>
      <c r="N75" s="297">
        <v>0</v>
      </c>
      <c r="O75" s="295">
        <v>0</v>
      </c>
      <c r="P75" s="295">
        <v>0</v>
      </c>
      <c r="Q75" s="295">
        <v>0</v>
      </c>
      <c r="R75" s="295">
        <v>0</v>
      </c>
      <c r="S75" s="296">
        <v>0</v>
      </c>
      <c r="U75" s="298">
        <f t="shared" ref="U75:U124" si="7">ROUND(S75+L75,0)</f>
        <v>-1318864233</v>
      </c>
      <c r="Z75" s="305">
        <v>-1178540399</v>
      </c>
      <c r="AB75" s="305">
        <f t="shared" si="5"/>
        <v>-140323834</v>
      </c>
    </row>
    <row r="76" spans="3:29" ht="18" customHeight="1">
      <c r="C76" s="6">
        <v>1</v>
      </c>
      <c r="D76" s="292" t="s">
        <v>807</v>
      </c>
      <c r="E76" s="293" t="s">
        <v>807</v>
      </c>
      <c r="F76" s="294" t="s">
        <v>1419</v>
      </c>
      <c r="G76" s="293" t="s">
        <v>808</v>
      </c>
      <c r="H76" s="370">
        <v>0</v>
      </c>
      <c r="I76" s="295">
        <v>0</v>
      </c>
      <c r="J76" s="295">
        <v>0</v>
      </c>
      <c r="K76" s="295">
        <v>0</v>
      </c>
      <c r="L76" s="296">
        <f t="shared" si="6"/>
        <v>0</v>
      </c>
      <c r="N76" s="297">
        <v>0</v>
      </c>
      <c r="O76" s="295">
        <v>0</v>
      </c>
      <c r="P76" s="295">
        <v>0</v>
      </c>
      <c r="Q76" s="295">
        <v>0</v>
      </c>
      <c r="R76" s="295">
        <v>0</v>
      </c>
      <c r="S76" s="296">
        <v>0</v>
      </c>
      <c r="U76" s="298">
        <f t="shared" si="7"/>
        <v>0</v>
      </c>
      <c r="Z76" s="305">
        <v>0</v>
      </c>
      <c r="AB76" s="305">
        <f t="shared" si="5"/>
        <v>0</v>
      </c>
    </row>
    <row r="77" spans="3:29" ht="18" customHeight="1">
      <c r="C77" s="6">
        <v>1</v>
      </c>
      <c r="D77" s="292" t="s">
        <v>809</v>
      </c>
      <c r="E77" s="293" t="s">
        <v>809</v>
      </c>
      <c r="F77" s="294" t="s">
        <v>881</v>
      </c>
      <c r="G77" s="293" t="s">
        <v>810</v>
      </c>
      <c r="H77" s="370">
        <v>0</v>
      </c>
      <c r="I77" s="295">
        <v>0</v>
      </c>
      <c r="J77" s="295">
        <v>0</v>
      </c>
      <c r="K77" s="295">
        <v>0</v>
      </c>
      <c r="L77" s="296">
        <f t="shared" si="6"/>
        <v>0</v>
      </c>
      <c r="N77" s="297">
        <v>0</v>
      </c>
      <c r="O77" s="295">
        <v>0</v>
      </c>
      <c r="P77" s="295">
        <v>0</v>
      </c>
      <c r="Q77" s="295">
        <v>0</v>
      </c>
      <c r="R77" s="295">
        <v>0</v>
      </c>
      <c r="S77" s="296">
        <v>0</v>
      </c>
      <c r="U77" s="298">
        <f t="shared" si="7"/>
        <v>0</v>
      </c>
      <c r="Z77" s="305">
        <v>0</v>
      </c>
      <c r="AB77" s="305">
        <f t="shared" si="5"/>
        <v>0</v>
      </c>
    </row>
    <row r="78" spans="3:29" ht="18" customHeight="1">
      <c r="C78" s="6">
        <v>1</v>
      </c>
      <c r="D78" s="292" t="s">
        <v>811</v>
      </c>
      <c r="E78" s="293" t="s">
        <v>811</v>
      </c>
      <c r="F78" s="294"/>
      <c r="G78" s="293" t="s">
        <v>812</v>
      </c>
      <c r="H78" s="370">
        <v>0</v>
      </c>
      <c r="I78" s="295">
        <v>0</v>
      </c>
      <c r="J78" s="295">
        <v>0</v>
      </c>
      <c r="K78" s="295">
        <v>0</v>
      </c>
      <c r="L78" s="296">
        <f t="shared" si="6"/>
        <v>0</v>
      </c>
      <c r="N78" s="297">
        <v>0</v>
      </c>
      <c r="O78" s="295">
        <v>0</v>
      </c>
      <c r="P78" s="295">
        <v>0</v>
      </c>
      <c r="Q78" s="295">
        <v>0</v>
      </c>
      <c r="R78" s="295">
        <v>0</v>
      </c>
      <c r="S78" s="296">
        <v>0</v>
      </c>
      <c r="U78" s="298">
        <f t="shared" si="7"/>
        <v>0</v>
      </c>
      <c r="Z78" s="305">
        <v>0</v>
      </c>
      <c r="AB78" s="305">
        <f t="shared" si="5"/>
        <v>0</v>
      </c>
    </row>
    <row r="79" spans="3:29" ht="18" customHeight="1">
      <c r="C79" s="6">
        <v>1</v>
      </c>
      <c r="D79" s="292" t="s">
        <v>813</v>
      </c>
      <c r="E79" s="293" t="s">
        <v>813</v>
      </c>
      <c r="F79" s="294"/>
      <c r="G79" s="293" t="s">
        <v>814</v>
      </c>
      <c r="H79" s="370">
        <v>0</v>
      </c>
      <c r="I79" s="295">
        <v>0</v>
      </c>
      <c r="J79" s="295">
        <v>0</v>
      </c>
      <c r="K79" s="295">
        <v>0</v>
      </c>
      <c r="L79" s="296">
        <f t="shared" si="6"/>
        <v>0</v>
      </c>
      <c r="N79" s="297">
        <v>0</v>
      </c>
      <c r="O79" s="295">
        <v>0</v>
      </c>
      <c r="P79" s="295">
        <v>0</v>
      </c>
      <c r="Q79" s="295">
        <v>0</v>
      </c>
      <c r="R79" s="295">
        <v>0</v>
      </c>
      <c r="S79" s="296">
        <v>0</v>
      </c>
      <c r="U79" s="298">
        <f t="shared" si="7"/>
        <v>0</v>
      </c>
      <c r="Z79" s="305">
        <v>0</v>
      </c>
      <c r="AB79" s="305">
        <f t="shared" si="5"/>
        <v>0</v>
      </c>
    </row>
    <row r="80" spans="3:29" ht="18" customHeight="1">
      <c r="C80" s="6">
        <v>1</v>
      </c>
      <c r="D80" s="292" t="s">
        <v>815</v>
      </c>
      <c r="E80" s="293" t="s">
        <v>815</v>
      </c>
      <c r="F80" s="294" t="s">
        <v>1471</v>
      </c>
      <c r="G80" s="293" t="s">
        <v>816</v>
      </c>
      <c r="H80" s="370">
        <v>0</v>
      </c>
      <c r="I80" s="295">
        <v>0</v>
      </c>
      <c r="J80" s="295">
        <v>0</v>
      </c>
      <c r="K80" s="295">
        <v>0</v>
      </c>
      <c r="L80" s="296">
        <f t="shared" si="6"/>
        <v>0</v>
      </c>
      <c r="N80" s="297">
        <v>0</v>
      </c>
      <c r="O80" s="295">
        <v>0</v>
      </c>
      <c r="P80" s="295">
        <v>0</v>
      </c>
      <c r="Q80" s="295">
        <v>0</v>
      </c>
      <c r="R80" s="295">
        <v>0</v>
      </c>
      <c r="S80" s="296">
        <v>0</v>
      </c>
      <c r="U80" s="298">
        <f t="shared" si="7"/>
        <v>0</v>
      </c>
      <c r="Z80" s="305">
        <v>0</v>
      </c>
      <c r="AB80" s="305">
        <f t="shared" si="5"/>
        <v>0</v>
      </c>
    </row>
    <row r="81" spans="3:28" ht="18" customHeight="1">
      <c r="C81" s="6">
        <v>1</v>
      </c>
      <c r="D81" s="292" t="s">
        <v>817</v>
      </c>
      <c r="E81" s="293" t="s">
        <v>817</v>
      </c>
      <c r="F81" s="294"/>
      <c r="G81" s="293" t="s">
        <v>818</v>
      </c>
      <c r="H81" s="370">
        <v>0</v>
      </c>
      <c r="I81" s="295">
        <v>0</v>
      </c>
      <c r="J81" s="295">
        <v>0</v>
      </c>
      <c r="K81" s="295">
        <v>0</v>
      </c>
      <c r="L81" s="296">
        <f t="shared" si="6"/>
        <v>0</v>
      </c>
      <c r="N81" s="297">
        <v>0</v>
      </c>
      <c r="O81" s="295">
        <v>0</v>
      </c>
      <c r="P81" s="295">
        <v>0</v>
      </c>
      <c r="Q81" s="295">
        <v>0</v>
      </c>
      <c r="R81" s="295">
        <v>-24157280</v>
      </c>
      <c r="S81" s="296">
        <v>-24157280</v>
      </c>
      <c r="U81" s="298">
        <f t="shared" si="7"/>
        <v>-24157280</v>
      </c>
      <c r="Z81" s="305">
        <v>0</v>
      </c>
      <c r="AB81" s="305">
        <f t="shared" si="5"/>
        <v>-24157280</v>
      </c>
    </row>
    <row r="82" spans="3:28" ht="18" customHeight="1">
      <c r="C82" s="6">
        <v>1</v>
      </c>
      <c r="D82" s="292" t="s">
        <v>819</v>
      </c>
      <c r="E82" s="293" t="s">
        <v>819</v>
      </c>
      <c r="F82" s="294"/>
      <c r="G82" s="293" t="s">
        <v>820</v>
      </c>
      <c r="H82" s="370">
        <v>0</v>
      </c>
      <c r="I82" s="295">
        <v>0</v>
      </c>
      <c r="J82" s="295">
        <v>0</v>
      </c>
      <c r="K82" s="295">
        <v>0</v>
      </c>
      <c r="L82" s="296">
        <f t="shared" si="6"/>
        <v>0</v>
      </c>
      <c r="N82" s="297">
        <v>0</v>
      </c>
      <c r="O82" s="295">
        <v>0</v>
      </c>
      <c r="P82" s="295">
        <v>0</v>
      </c>
      <c r="Q82" s="295">
        <v>0</v>
      </c>
      <c r="R82" s="295">
        <v>0</v>
      </c>
      <c r="S82" s="296">
        <v>0</v>
      </c>
      <c r="U82" s="298">
        <f t="shared" si="7"/>
        <v>0</v>
      </c>
      <c r="Z82" s="305">
        <v>0</v>
      </c>
      <c r="AB82" s="305">
        <f t="shared" si="5"/>
        <v>0</v>
      </c>
    </row>
    <row r="83" spans="3:28" ht="18" customHeight="1">
      <c r="C83" s="6">
        <v>1</v>
      </c>
      <c r="D83" s="292" t="s">
        <v>821</v>
      </c>
      <c r="E83" s="293" t="s">
        <v>821</v>
      </c>
      <c r="F83" s="294"/>
      <c r="G83" s="293" t="s">
        <v>822</v>
      </c>
      <c r="H83" s="370">
        <v>0</v>
      </c>
      <c r="I83" s="295">
        <v>0</v>
      </c>
      <c r="J83" s="295">
        <v>0</v>
      </c>
      <c r="K83" s="295">
        <v>0</v>
      </c>
      <c r="L83" s="296">
        <f t="shared" si="6"/>
        <v>0</v>
      </c>
      <c r="N83" s="297">
        <v>0</v>
      </c>
      <c r="O83" s="295">
        <v>0</v>
      </c>
      <c r="P83" s="295">
        <v>0</v>
      </c>
      <c r="Q83" s="295">
        <v>0</v>
      </c>
      <c r="R83" s="295">
        <v>0</v>
      </c>
      <c r="S83" s="296">
        <v>0</v>
      </c>
      <c r="U83" s="298">
        <f t="shared" si="7"/>
        <v>0</v>
      </c>
      <c r="Z83" s="305">
        <v>0</v>
      </c>
      <c r="AB83" s="305">
        <f t="shared" si="5"/>
        <v>0</v>
      </c>
    </row>
    <row r="84" spans="3:28" ht="18" customHeight="1">
      <c r="C84" s="6">
        <v>1</v>
      </c>
      <c r="D84" s="292" t="s">
        <v>823</v>
      </c>
      <c r="E84" s="293" t="s">
        <v>823</v>
      </c>
      <c r="F84" s="294"/>
      <c r="G84" s="293" t="s">
        <v>824</v>
      </c>
      <c r="H84" s="370">
        <v>0</v>
      </c>
      <c r="I84" s="295">
        <v>0</v>
      </c>
      <c r="J84" s="295">
        <v>0</v>
      </c>
      <c r="K84" s="295">
        <v>0</v>
      </c>
      <c r="L84" s="296">
        <f t="shared" si="6"/>
        <v>0</v>
      </c>
      <c r="N84" s="297">
        <v>0</v>
      </c>
      <c r="O84" s="295">
        <v>0</v>
      </c>
      <c r="P84" s="295">
        <v>0</v>
      </c>
      <c r="Q84" s="295">
        <v>0</v>
      </c>
      <c r="R84" s="295">
        <v>0</v>
      </c>
      <c r="S84" s="296">
        <v>0</v>
      </c>
      <c r="U84" s="298">
        <f t="shared" si="7"/>
        <v>0</v>
      </c>
      <c r="Z84" s="305">
        <v>0</v>
      </c>
      <c r="AB84" s="305">
        <f t="shared" si="5"/>
        <v>0</v>
      </c>
    </row>
    <row r="85" spans="3:28" ht="18" customHeight="1">
      <c r="C85" s="6">
        <v>1</v>
      </c>
      <c r="D85" s="292" t="s">
        <v>825</v>
      </c>
      <c r="E85" s="293" t="s">
        <v>825</v>
      </c>
      <c r="F85" s="294"/>
      <c r="G85" s="293" t="s">
        <v>826</v>
      </c>
      <c r="H85" s="370">
        <v>0</v>
      </c>
      <c r="I85" s="295">
        <v>0</v>
      </c>
      <c r="J85" s="295">
        <v>0</v>
      </c>
      <c r="K85" s="295">
        <v>0</v>
      </c>
      <c r="L85" s="296">
        <f t="shared" si="6"/>
        <v>0</v>
      </c>
      <c r="N85" s="297">
        <v>0</v>
      </c>
      <c r="O85" s="295">
        <v>0</v>
      </c>
      <c r="P85" s="295">
        <v>0</v>
      </c>
      <c r="Q85" s="295">
        <v>0</v>
      </c>
      <c r="R85" s="295">
        <v>0</v>
      </c>
      <c r="S85" s="296">
        <v>0</v>
      </c>
      <c r="U85" s="298">
        <f t="shared" si="7"/>
        <v>0</v>
      </c>
      <c r="Z85" s="305">
        <v>0</v>
      </c>
      <c r="AB85" s="305">
        <f t="shared" si="5"/>
        <v>0</v>
      </c>
    </row>
    <row r="86" spans="3:28" ht="18" customHeight="1">
      <c r="C86" s="6">
        <v>1</v>
      </c>
      <c r="D86" s="292" t="s">
        <v>827</v>
      </c>
      <c r="E86" s="293" t="s">
        <v>827</v>
      </c>
      <c r="F86" s="294"/>
      <c r="G86" s="293" t="s">
        <v>828</v>
      </c>
      <c r="H86" s="370">
        <v>0</v>
      </c>
      <c r="I86" s="295">
        <v>0</v>
      </c>
      <c r="J86" s="295">
        <v>0</v>
      </c>
      <c r="K86" s="295">
        <v>0</v>
      </c>
      <c r="L86" s="296">
        <f t="shared" si="6"/>
        <v>0</v>
      </c>
      <c r="N86" s="297">
        <v>0</v>
      </c>
      <c r="O86" s="295">
        <v>0</v>
      </c>
      <c r="P86" s="295">
        <v>0</v>
      </c>
      <c r="Q86" s="295">
        <v>0</v>
      </c>
      <c r="R86" s="295">
        <v>0</v>
      </c>
      <c r="S86" s="296">
        <v>0</v>
      </c>
      <c r="U86" s="298">
        <f t="shared" si="7"/>
        <v>0</v>
      </c>
      <c r="Z86" s="305">
        <v>0</v>
      </c>
      <c r="AB86" s="305">
        <f t="shared" si="5"/>
        <v>0</v>
      </c>
    </row>
    <row r="87" spans="3:28" ht="18" customHeight="1">
      <c r="C87" s="6">
        <v>1</v>
      </c>
      <c r="D87" s="292" t="s">
        <v>829</v>
      </c>
      <c r="E87" s="293" t="s">
        <v>829</v>
      </c>
      <c r="F87" s="294"/>
      <c r="G87" s="293" t="s">
        <v>830</v>
      </c>
      <c r="H87" s="370">
        <v>0</v>
      </c>
      <c r="I87" s="295">
        <v>0</v>
      </c>
      <c r="J87" s="295">
        <v>0</v>
      </c>
      <c r="K87" s="295">
        <v>0</v>
      </c>
      <c r="L87" s="296">
        <f t="shared" si="6"/>
        <v>0</v>
      </c>
      <c r="N87" s="297">
        <v>0</v>
      </c>
      <c r="O87" s="295">
        <v>0</v>
      </c>
      <c r="P87" s="295">
        <v>0</v>
      </c>
      <c r="Q87" s="295">
        <v>0</v>
      </c>
      <c r="R87" s="295">
        <v>0</v>
      </c>
      <c r="S87" s="296">
        <v>0</v>
      </c>
      <c r="U87" s="298">
        <f t="shared" si="7"/>
        <v>0</v>
      </c>
      <c r="Z87" s="305">
        <v>0</v>
      </c>
      <c r="AB87" s="305">
        <f t="shared" si="5"/>
        <v>0</v>
      </c>
    </row>
    <row r="88" spans="3:28" ht="18" customHeight="1">
      <c r="C88" s="6">
        <v>1</v>
      </c>
      <c r="D88" s="292" t="s">
        <v>831</v>
      </c>
      <c r="E88" s="293" t="s">
        <v>831</v>
      </c>
      <c r="F88" s="294"/>
      <c r="G88" s="293" t="s">
        <v>832</v>
      </c>
      <c r="H88" s="370">
        <v>0</v>
      </c>
      <c r="I88" s="295">
        <v>0</v>
      </c>
      <c r="J88" s="295">
        <v>0</v>
      </c>
      <c r="K88" s="295">
        <v>0</v>
      </c>
      <c r="L88" s="296">
        <f t="shared" si="6"/>
        <v>0</v>
      </c>
      <c r="N88" s="297">
        <v>0</v>
      </c>
      <c r="O88" s="295">
        <v>0</v>
      </c>
      <c r="P88" s="295">
        <v>0</v>
      </c>
      <c r="Q88" s="295">
        <v>0</v>
      </c>
      <c r="R88" s="295">
        <v>0</v>
      </c>
      <c r="S88" s="296">
        <v>0</v>
      </c>
      <c r="U88" s="298">
        <f t="shared" si="7"/>
        <v>0</v>
      </c>
      <c r="Z88" s="305">
        <v>0</v>
      </c>
      <c r="AB88" s="305">
        <f t="shared" si="5"/>
        <v>0</v>
      </c>
    </row>
    <row r="89" spans="3:28" ht="18" customHeight="1">
      <c r="C89" s="6">
        <v>1</v>
      </c>
      <c r="D89" s="292" t="s">
        <v>833</v>
      </c>
      <c r="E89" s="293" t="s">
        <v>833</v>
      </c>
      <c r="F89" s="294" t="s">
        <v>678</v>
      </c>
      <c r="G89" s="293" t="s">
        <v>678</v>
      </c>
      <c r="H89" s="370">
        <v>-5241227</v>
      </c>
      <c r="I89" s="295">
        <v>0</v>
      </c>
      <c r="J89" s="295">
        <v>0</v>
      </c>
      <c r="K89" s="295">
        <v>0</v>
      </c>
      <c r="L89" s="296">
        <f t="shared" si="6"/>
        <v>-5241227</v>
      </c>
      <c r="N89" s="297">
        <v>0</v>
      </c>
      <c r="O89" s="295">
        <v>0</v>
      </c>
      <c r="P89" s="295">
        <v>0</v>
      </c>
      <c r="Q89" s="295">
        <v>0</v>
      </c>
      <c r="R89" s="295">
        <v>0</v>
      </c>
      <c r="S89" s="296">
        <v>0</v>
      </c>
      <c r="U89" s="298">
        <f t="shared" si="7"/>
        <v>-5241227</v>
      </c>
      <c r="Z89" s="305">
        <v>-5241227</v>
      </c>
      <c r="AB89" s="305">
        <f t="shared" si="5"/>
        <v>0</v>
      </c>
    </row>
    <row r="90" spans="3:28" ht="18" customHeight="1">
      <c r="C90" s="6">
        <v>1</v>
      </c>
      <c r="D90" s="292" t="s">
        <v>834</v>
      </c>
      <c r="E90" s="293" t="s">
        <v>834</v>
      </c>
      <c r="F90" s="294"/>
      <c r="G90" s="293" t="s">
        <v>835</v>
      </c>
      <c r="H90" s="370">
        <v>0</v>
      </c>
      <c r="I90" s="295">
        <v>0</v>
      </c>
      <c r="J90" s="295">
        <v>0</v>
      </c>
      <c r="K90" s="295">
        <v>0</v>
      </c>
      <c r="L90" s="296">
        <f t="shared" si="6"/>
        <v>0</v>
      </c>
      <c r="N90" s="297">
        <v>0</v>
      </c>
      <c r="O90" s="295">
        <v>0</v>
      </c>
      <c r="P90" s="295">
        <v>0</v>
      </c>
      <c r="Q90" s="295">
        <v>0</v>
      </c>
      <c r="R90" s="295">
        <v>0</v>
      </c>
      <c r="S90" s="296">
        <v>0</v>
      </c>
      <c r="U90" s="298">
        <f t="shared" si="7"/>
        <v>0</v>
      </c>
      <c r="Z90" s="305">
        <v>0</v>
      </c>
      <c r="AB90" s="305">
        <f t="shared" si="5"/>
        <v>0</v>
      </c>
    </row>
    <row r="91" spans="3:28" ht="18" customHeight="1">
      <c r="C91" s="6">
        <v>1</v>
      </c>
      <c r="D91" s="292" t="s">
        <v>836</v>
      </c>
      <c r="E91" s="293" t="s">
        <v>836</v>
      </c>
      <c r="F91" s="294" t="s">
        <v>679</v>
      </c>
      <c r="G91" s="293" t="s">
        <v>679</v>
      </c>
      <c r="H91" s="370">
        <v>0</v>
      </c>
      <c r="I91" s="295">
        <v>0</v>
      </c>
      <c r="J91" s="295">
        <v>0</v>
      </c>
      <c r="K91" s="295">
        <v>0</v>
      </c>
      <c r="L91" s="296">
        <f t="shared" si="6"/>
        <v>0</v>
      </c>
      <c r="N91" s="297">
        <v>0</v>
      </c>
      <c r="O91" s="295">
        <v>0</v>
      </c>
      <c r="P91" s="295">
        <v>0</v>
      </c>
      <c r="Q91" s="295">
        <v>0</v>
      </c>
      <c r="R91" s="295">
        <v>0</v>
      </c>
      <c r="S91" s="296">
        <v>0</v>
      </c>
      <c r="U91" s="298">
        <f t="shared" si="7"/>
        <v>0</v>
      </c>
      <c r="Z91" s="305">
        <v>0</v>
      </c>
      <c r="AB91" s="305">
        <f t="shared" si="5"/>
        <v>0</v>
      </c>
    </row>
    <row r="92" spans="3:28" ht="18" customHeight="1">
      <c r="C92" s="6">
        <v>1</v>
      </c>
      <c r="D92" s="292" t="s">
        <v>837</v>
      </c>
      <c r="E92" s="293" t="s">
        <v>837</v>
      </c>
      <c r="F92" s="294"/>
      <c r="G92" s="293" t="s">
        <v>838</v>
      </c>
      <c r="H92" s="370">
        <v>0</v>
      </c>
      <c r="I92" s="295">
        <v>0</v>
      </c>
      <c r="J92" s="295">
        <v>0</v>
      </c>
      <c r="K92" s="295">
        <v>0</v>
      </c>
      <c r="L92" s="296">
        <f t="shared" si="6"/>
        <v>0</v>
      </c>
      <c r="N92" s="297">
        <v>0</v>
      </c>
      <c r="O92" s="295">
        <v>0</v>
      </c>
      <c r="P92" s="295">
        <v>0</v>
      </c>
      <c r="Q92" s="295">
        <v>0</v>
      </c>
      <c r="R92" s="295">
        <v>0</v>
      </c>
      <c r="S92" s="296">
        <v>0</v>
      </c>
      <c r="U92" s="298">
        <f t="shared" si="7"/>
        <v>0</v>
      </c>
      <c r="Z92" s="305">
        <v>0</v>
      </c>
      <c r="AB92" s="305">
        <f t="shared" si="5"/>
        <v>0</v>
      </c>
    </row>
    <row r="93" spans="3:28" ht="18" customHeight="1">
      <c r="C93" s="6">
        <v>1</v>
      </c>
      <c r="D93" s="292" t="s">
        <v>839</v>
      </c>
      <c r="E93" s="293" t="s">
        <v>839</v>
      </c>
      <c r="F93" s="294" t="s">
        <v>2054</v>
      </c>
      <c r="G93" s="293" t="s">
        <v>840</v>
      </c>
      <c r="H93" s="370">
        <v>-3845569576</v>
      </c>
      <c r="I93" s="295">
        <v>0</v>
      </c>
      <c r="J93" s="295">
        <v>0</v>
      </c>
      <c r="K93" s="295">
        <v>-762700648</v>
      </c>
      <c r="L93" s="296">
        <f t="shared" si="6"/>
        <v>-4608270224</v>
      </c>
      <c r="N93" s="297">
        <v>0</v>
      </c>
      <c r="O93" s="295">
        <v>0</v>
      </c>
      <c r="P93" s="295">
        <v>0</v>
      </c>
      <c r="Q93" s="295">
        <v>0</v>
      </c>
      <c r="R93" s="295">
        <v>0</v>
      </c>
      <c r="S93" s="296">
        <v>0</v>
      </c>
      <c r="U93" s="298">
        <f t="shared" si="7"/>
        <v>-4608270224</v>
      </c>
      <c r="Z93" s="305">
        <v>-4013885227</v>
      </c>
      <c r="AB93" s="305">
        <f t="shared" si="5"/>
        <v>-594384997</v>
      </c>
    </row>
    <row r="94" spans="3:28" ht="18" customHeight="1">
      <c r="C94" s="6">
        <v>1</v>
      </c>
      <c r="D94" s="292" t="s">
        <v>841</v>
      </c>
      <c r="E94" s="293" t="s">
        <v>841</v>
      </c>
      <c r="F94" s="294"/>
      <c r="G94" s="293" t="s">
        <v>842</v>
      </c>
      <c r="H94" s="370">
        <v>0</v>
      </c>
      <c r="I94" s="295">
        <v>0</v>
      </c>
      <c r="J94" s="295">
        <v>0</v>
      </c>
      <c r="K94" s="295">
        <v>0</v>
      </c>
      <c r="L94" s="296">
        <f t="shared" si="6"/>
        <v>0</v>
      </c>
      <c r="N94" s="297">
        <v>0</v>
      </c>
      <c r="O94" s="295">
        <v>0</v>
      </c>
      <c r="P94" s="295">
        <v>0</v>
      </c>
      <c r="Q94" s="295">
        <v>0</v>
      </c>
      <c r="R94" s="295">
        <v>0</v>
      </c>
      <c r="S94" s="296">
        <v>0</v>
      </c>
      <c r="U94" s="298">
        <f t="shared" si="7"/>
        <v>0</v>
      </c>
      <c r="Z94" s="305">
        <v>0</v>
      </c>
      <c r="AB94" s="305">
        <f t="shared" si="5"/>
        <v>0</v>
      </c>
    </row>
    <row r="95" spans="3:28" ht="18" customHeight="1">
      <c r="C95" s="6">
        <v>1</v>
      </c>
      <c r="D95" s="292" t="s">
        <v>843</v>
      </c>
      <c r="E95" s="293" t="s">
        <v>843</v>
      </c>
      <c r="F95" s="294"/>
      <c r="G95" s="293" t="s">
        <v>844</v>
      </c>
      <c r="H95" s="370">
        <v>0</v>
      </c>
      <c r="I95" s="295">
        <v>0</v>
      </c>
      <c r="J95" s="295">
        <v>0</v>
      </c>
      <c r="K95" s="295">
        <v>0</v>
      </c>
      <c r="L95" s="296">
        <f t="shared" si="6"/>
        <v>0</v>
      </c>
      <c r="N95" s="297">
        <v>0</v>
      </c>
      <c r="O95" s="295">
        <v>0</v>
      </c>
      <c r="P95" s="295">
        <v>0</v>
      </c>
      <c r="Q95" s="295">
        <v>0</v>
      </c>
      <c r="R95" s="295">
        <v>0</v>
      </c>
      <c r="S95" s="296">
        <v>0</v>
      </c>
      <c r="U95" s="298">
        <f t="shared" si="7"/>
        <v>0</v>
      </c>
      <c r="Z95" s="305">
        <v>0</v>
      </c>
      <c r="AB95" s="305">
        <f t="shared" si="5"/>
        <v>0</v>
      </c>
    </row>
    <row r="96" spans="3:28" ht="18" customHeight="1">
      <c r="C96" s="6">
        <v>1</v>
      </c>
      <c r="D96" s="292" t="s">
        <v>845</v>
      </c>
      <c r="E96" s="293" t="s">
        <v>845</v>
      </c>
      <c r="F96" s="294"/>
      <c r="G96" s="293" t="s">
        <v>846</v>
      </c>
      <c r="H96" s="370">
        <v>0</v>
      </c>
      <c r="I96" s="295">
        <v>0</v>
      </c>
      <c r="J96" s="295">
        <v>0</v>
      </c>
      <c r="K96" s="295">
        <v>0</v>
      </c>
      <c r="L96" s="296">
        <f t="shared" si="6"/>
        <v>0</v>
      </c>
      <c r="N96" s="297">
        <v>0</v>
      </c>
      <c r="O96" s="295">
        <v>0</v>
      </c>
      <c r="P96" s="295">
        <v>0</v>
      </c>
      <c r="Q96" s="295">
        <v>0</v>
      </c>
      <c r="R96" s="295">
        <v>0</v>
      </c>
      <c r="S96" s="296">
        <v>0</v>
      </c>
      <c r="U96" s="298">
        <f t="shared" si="7"/>
        <v>0</v>
      </c>
      <c r="Z96" s="305">
        <v>0</v>
      </c>
      <c r="AB96" s="305">
        <f t="shared" si="5"/>
        <v>0</v>
      </c>
    </row>
    <row r="97" spans="3:28" ht="18" customHeight="1">
      <c r="C97" s="6">
        <v>1</v>
      </c>
      <c r="D97" s="292" t="s">
        <v>847</v>
      </c>
      <c r="E97" s="293" t="s">
        <v>847</v>
      </c>
      <c r="F97" s="294"/>
      <c r="G97" s="293" t="s">
        <v>848</v>
      </c>
      <c r="H97" s="370">
        <v>0</v>
      </c>
      <c r="I97" s="295">
        <v>0</v>
      </c>
      <c r="J97" s="295">
        <v>0</v>
      </c>
      <c r="K97" s="295">
        <v>0</v>
      </c>
      <c r="L97" s="296">
        <f t="shared" si="6"/>
        <v>0</v>
      </c>
      <c r="N97" s="297">
        <v>0</v>
      </c>
      <c r="O97" s="295">
        <v>0</v>
      </c>
      <c r="P97" s="295">
        <v>0</v>
      </c>
      <c r="Q97" s="295">
        <v>0</v>
      </c>
      <c r="R97" s="295">
        <v>0</v>
      </c>
      <c r="S97" s="296">
        <v>0</v>
      </c>
      <c r="U97" s="298">
        <f t="shared" si="7"/>
        <v>0</v>
      </c>
      <c r="Z97" s="305">
        <v>0</v>
      </c>
      <c r="AB97" s="305">
        <f t="shared" si="5"/>
        <v>0</v>
      </c>
    </row>
    <row r="98" spans="3:28" ht="18" customHeight="1">
      <c r="C98" s="6">
        <v>1</v>
      </c>
      <c r="D98" s="292" t="s">
        <v>849</v>
      </c>
      <c r="E98" s="293" t="s">
        <v>849</v>
      </c>
      <c r="F98" s="294"/>
      <c r="G98" s="293" t="s">
        <v>850</v>
      </c>
      <c r="H98" s="370">
        <v>0</v>
      </c>
      <c r="I98" s="295">
        <v>0</v>
      </c>
      <c r="J98" s="295">
        <v>0</v>
      </c>
      <c r="K98" s="295">
        <v>0</v>
      </c>
      <c r="L98" s="296">
        <f t="shared" si="6"/>
        <v>0</v>
      </c>
      <c r="N98" s="297">
        <v>0</v>
      </c>
      <c r="O98" s="295">
        <v>0</v>
      </c>
      <c r="P98" s="295">
        <v>0</v>
      </c>
      <c r="Q98" s="295">
        <v>0</v>
      </c>
      <c r="R98" s="295">
        <v>0</v>
      </c>
      <c r="S98" s="296">
        <v>0</v>
      </c>
      <c r="U98" s="298">
        <f t="shared" si="7"/>
        <v>0</v>
      </c>
      <c r="Z98" s="305">
        <v>0</v>
      </c>
      <c r="AB98" s="305">
        <f t="shared" si="5"/>
        <v>0</v>
      </c>
    </row>
    <row r="99" spans="3:28" ht="18" customHeight="1">
      <c r="C99" s="6">
        <v>1</v>
      </c>
      <c r="D99" s="292" t="s">
        <v>851</v>
      </c>
      <c r="E99" s="293" t="s">
        <v>851</v>
      </c>
      <c r="F99" s="294"/>
      <c r="G99" s="293" t="s">
        <v>852</v>
      </c>
      <c r="H99" s="370">
        <v>0</v>
      </c>
      <c r="I99" s="295">
        <v>0</v>
      </c>
      <c r="J99" s="295">
        <v>0</v>
      </c>
      <c r="K99" s="295">
        <v>0</v>
      </c>
      <c r="L99" s="296">
        <f t="shared" si="6"/>
        <v>0</v>
      </c>
      <c r="N99" s="297">
        <v>0</v>
      </c>
      <c r="O99" s="295">
        <v>0</v>
      </c>
      <c r="P99" s="295">
        <v>0</v>
      </c>
      <c r="Q99" s="295">
        <v>0</v>
      </c>
      <c r="R99" s="295">
        <v>0</v>
      </c>
      <c r="S99" s="296">
        <v>0</v>
      </c>
      <c r="U99" s="298">
        <f t="shared" si="7"/>
        <v>0</v>
      </c>
      <c r="Z99" s="305">
        <v>0</v>
      </c>
      <c r="AB99" s="305">
        <f t="shared" si="5"/>
        <v>0</v>
      </c>
    </row>
    <row r="100" spans="3:28" ht="18" customHeight="1">
      <c r="C100" s="6">
        <v>1</v>
      </c>
      <c r="D100" s="292" t="s">
        <v>853</v>
      </c>
      <c r="E100" s="293" t="s">
        <v>853</v>
      </c>
      <c r="F100" s="294"/>
      <c r="G100" s="293" t="s">
        <v>854</v>
      </c>
      <c r="H100" s="370">
        <v>0</v>
      </c>
      <c r="I100" s="295">
        <v>0</v>
      </c>
      <c r="J100" s="295">
        <v>0</v>
      </c>
      <c r="K100" s="295">
        <v>0</v>
      </c>
      <c r="L100" s="296">
        <f t="shared" si="6"/>
        <v>0</v>
      </c>
      <c r="N100" s="297">
        <v>0</v>
      </c>
      <c r="O100" s="295">
        <v>0</v>
      </c>
      <c r="P100" s="295">
        <v>0</v>
      </c>
      <c r="Q100" s="295">
        <v>0</v>
      </c>
      <c r="R100" s="295">
        <v>0</v>
      </c>
      <c r="S100" s="296">
        <v>0</v>
      </c>
      <c r="U100" s="298">
        <f t="shared" si="7"/>
        <v>0</v>
      </c>
      <c r="Z100" s="305">
        <v>0</v>
      </c>
      <c r="AB100" s="305">
        <f t="shared" si="5"/>
        <v>0</v>
      </c>
    </row>
    <row r="101" spans="3:28" ht="18" customHeight="1">
      <c r="C101" s="6">
        <v>1</v>
      </c>
      <c r="D101" s="292" t="s">
        <v>855</v>
      </c>
      <c r="E101" s="293" t="s">
        <v>855</v>
      </c>
      <c r="F101" s="294"/>
      <c r="G101" s="293" t="s">
        <v>856</v>
      </c>
      <c r="H101" s="370">
        <v>0</v>
      </c>
      <c r="I101" s="295">
        <v>0</v>
      </c>
      <c r="J101" s="295">
        <v>0</v>
      </c>
      <c r="K101" s="295">
        <v>0</v>
      </c>
      <c r="L101" s="296">
        <f t="shared" si="6"/>
        <v>0</v>
      </c>
      <c r="N101" s="297">
        <v>0</v>
      </c>
      <c r="O101" s="295">
        <v>0</v>
      </c>
      <c r="P101" s="295">
        <v>0</v>
      </c>
      <c r="Q101" s="295">
        <v>0</v>
      </c>
      <c r="R101" s="295">
        <v>0</v>
      </c>
      <c r="S101" s="296">
        <v>0</v>
      </c>
      <c r="U101" s="298">
        <f t="shared" si="7"/>
        <v>0</v>
      </c>
      <c r="Z101" s="305">
        <v>0</v>
      </c>
      <c r="AB101" s="305">
        <f t="shared" si="5"/>
        <v>0</v>
      </c>
    </row>
    <row r="102" spans="3:28" ht="18" customHeight="1">
      <c r="C102" s="6">
        <v>1</v>
      </c>
      <c r="D102" s="292" t="s">
        <v>857</v>
      </c>
      <c r="E102" s="293" t="s">
        <v>857</v>
      </c>
      <c r="F102" s="294"/>
      <c r="G102" s="293" t="s">
        <v>858</v>
      </c>
      <c r="H102" s="370">
        <v>0</v>
      </c>
      <c r="I102" s="295">
        <v>0</v>
      </c>
      <c r="J102" s="295">
        <v>0</v>
      </c>
      <c r="K102" s="295">
        <v>0</v>
      </c>
      <c r="L102" s="296">
        <f t="shared" si="6"/>
        <v>0</v>
      </c>
      <c r="N102" s="297">
        <v>0</v>
      </c>
      <c r="O102" s="295">
        <v>0</v>
      </c>
      <c r="P102" s="295">
        <v>0</v>
      </c>
      <c r="Q102" s="295">
        <v>0</v>
      </c>
      <c r="R102" s="295">
        <v>0</v>
      </c>
      <c r="S102" s="296">
        <v>0</v>
      </c>
      <c r="U102" s="298">
        <f t="shared" si="7"/>
        <v>0</v>
      </c>
      <c r="Z102" s="305">
        <v>0</v>
      </c>
      <c r="AB102" s="305">
        <f t="shared" si="5"/>
        <v>0</v>
      </c>
    </row>
    <row r="103" spans="3:28" ht="18" customHeight="1">
      <c r="C103" s="6">
        <v>1</v>
      </c>
      <c r="D103" s="292" t="s">
        <v>859</v>
      </c>
      <c r="E103" s="293" t="s">
        <v>859</v>
      </c>
      <c r="F103" s="294"/>
      <c r="G103" s="293" t="s">
        <v>860</v>
      </c>
      <c r="H103" s="370">
        <v>0</v>
      </c>
      <c r="I103" s="295">
        <v>0</v>
      </c>
      <c r="J103" s="295">
        <v>0</v>
      </c>
      <c r="K103" s="295">
        <v>0</v>
      </c>
      <c r="L103" s="296">
        <f t="shared" si="6"/>
        <v>0</v>
      </c>
      <c r="N103" s="297">
        <v>0</v>
      </c>
      <c r="O103" s="295">
        <v>0</v>
      </c>
      <c r="P103" s="295">
        <v>0</v>
      </c>
      <c r="Q103" s="295">
        <v>0</v>
      </c>
      <c r="R103" s="295">
        <v>0</v>
      </c>
      <c r="S103" s="296">
        <v>0</v>
      </c>
      <c r="U103" s="298">
        <f t="shared" si="7"/>
        <v>0</v>
      </c>
      <c r="Z103" s="305">
        <v>0</v>
      </c>
      <c r="AB103" s="305">
        <f t="shared" si="5"/>
        <v>0</v>
      </c>
    </row>
    <row r="104" spans="3:28" ht="18" customHeight="1">
      <c r="C104" s="6">
        <v>1</v>
      </c>
      <c r="D104" s="292" t="s">
        <v>861</v>
      </c>
      <c r="E104" s="293" t="s">
        <v>861</v>
      </c>
      <c r="F104" s="294"/>
      <c r="G104" s="293" t="s">
        <v>862</v>
      </c>
      <c r="H104" s="370">
        <v>0</v>
      </c>
      <c r="I104" s="295">
        <v>0</v>
      </c>
      <c r="J104" s="295">
        <v>0</v>
      </c>
      <c r="K104" s="295">
        <v>0</v>
      </c>
      <c r="L104" s="296">
        <f t="shared" si="6"/>
        <v>0</v>
      </c>
      <c r="N104" s="297">
        <v>0</v>
      </c>
      <c r="O104" s="295">
        <v>0</v>
      </c>
      <c r="P104" s="295">
        <v>0</v>
      </c>
      <c r="Q104" s="295">
        <v>0</v>
      </c>
      <c r="R104" s="295">
        <v>0</v>
      </c>
      <c r="S104" s="296">
        <v>0</v>
      </c>
      <c r="U104" s="298">
        <f t="shared" si="7"/>
        <v>0</v>
      </c>
      <c r="Z104" s="305">
        <v>0</v>
      </c>
      <c r="AB104" s="305">
        <f t="shared" si="5"/>
        <v>0</v>
      </c>
    </row>
    <row r="105" spans="3:28" ht="18" customHeight="1">
      <c r="C105" s="6">
        <v>1</v>
      </c>
      <c r="D105" s="292" t="s">
        <v>863</v>
      </c>
      <c r="E105" s="293" t="s">
        <v>863</v>
      </c>
      <c r="F105" s="294"/>
      <c r="G105" s="293" t="s">
        <v>864</v>
      </c>
      <c r="H105" s="370">
        <v>0</v>
      </c>
      <c r="I105" s="295">
        <v>0</v>
      </c>
      <c r="J105" s="295">
        <v>0</v>
      </c>
      <c r="K105" s="295">
        <v>0</v>
      </c>
      <c r="L105" s="296">
        <f t="shared" si="6"/>
        <v>0</v>
      </c>
      <c r="N105" s="297">
        <v>0</v>
      </c>
      <c r="O105" s="295">
        <v>0</v>
      </c>
      <c r="P105" s="295">
        <v>0</v>
      </c>
      <c r="Q105" s="295">
        <v>0</v>
      </c>
      <c r="R105" s="295">
        <v>0</v>
      </c>
      <c r="S105" s="296">
        <v>0</v>
      </c>
      <c r="U105" s="298">
        <f t="shared" si="7"/>
        <v>0</v>
      </c>
      <c r="Z105" s="305">
        <v>0</v>
      </c>
      <c r="AB105" s="305">
        <f t="shared" si="5"/>
        <v>0</v>
      </c>
    </row>
    <row r="106" spans="3:28" ht="18" customHeight="1">
      <c r="C106" s="6">
        <v>1</v>
      </c>
      <c r="D106" s="292" t="s">
        <v>865</v>
      </c>
      <c r="E106" s="293" t="s">
        <v>865</v>
      </c>
      <c r="F106" s="294"/>
      <c r="G106" s="293" t="s">
        <v>866</v>
      </c>
      <c r="H106" s="370">
        <v>0</v>
      </c>
      <c r="I106" s="295">
        <v>0</v>
      </c>
      <c r="J106" s="295">
        <v>0</v>
      </c>
      <c r="K106" s="295">
        <v>0</v>
      </c>
      <c r="L106" s="296">
        <f t="shared" si="6"/>
        <v>0</v>
      </c>
      <c r="N106" s="297">
        <v>0</v>
      </c>
      <c r="O106" s="295">
        <v>0</v>
      </c>
      <c r="P106" s="295">
        <v>0</v>
      </c>
      <c r="Q106" s="295">
        <v>0</v>
      </c>
      <c r="R106" s="295">
        <v>0</v>
      </c>
      <c r="S106" s="296">
        <v>0</v>
      </c>
      <c r="U106" s="298">
        <f t="shared" si="7"/>
        <v>0</v>
      </c>
      <c r="Z106" s="305">
        <v>0</v>
      </c>
      <c r="AB106" s="305">
        <f t="shared" si="5"/>
        <v>0</v>
      </c>
    </row>
    <row r="107" spans="3:28" ht="18" customHeight="1">
      <c r="C107" s="6">
        <v>1</v>
      </c>
      <c r="D107" s="292" t="s">
        <v>867</v>
      </c>
      <c r="E107" s="293" t="s">
        <v>867</v>
      </c>
      <c r="F107" s="294"/>
      <c r="G107" s="293" t="s">
        <v>868</v>
      </c>
      <c r="H107" s="370">
        <v>0</v>
      </c>
      <c r="I107" s="295">
        <v>0</v>
      </c>
      <c r="J107" s="295">
        <v>0</v>
      </c>
      <c r="K107" s="295">
        <v>0</v>
      </c>
      <c r="L107" s="296">
        <f t="shared" ref="L107:L124" si="8">SUM(H107:K107)</f>
        <v>0</v>
      </c>
      <c r="N107" s="297">
        <v>0</v>
      </c>
      <c r="O107" s="295">
        <v>0</v>
      </c>
      <c r="P107" s="295">
        <v>0</v>
      </c>
      <c r="Q107" s="295">
        <v>0</v>
      </c>
      <c r="R107" s="295">
        <v>0</v>
      </c>
      <c r="S107" s="296">
        <v>0</v>
      </c>
      <c r="U107" s="298">
        <f t="shared" si="7"/>
        <v>0</v>
      </c>
      <c r="Z107" s="305">
        <v>0</v>
      </c>
      <c r="AB107" s="305">
        <f t="shared" si="5"/>
        <v>0</v>
      </c>
    </row>
    <row r="108" spans="3:28" ht="18" customHeight="1">
      <c r="C108" s="6">
        <v>1</v>
      </c>
      <c r="D108" s="292" t="s">
        <v>869</v>
      </c>
      <c r="E108" s="293" t="s">
        <v>869</v>
      </c>
      <c r="F108" s="294"/>
      <c r="G108" s="293" t="s">
        <v>870</v>
      </c>
      <c r="H108" s="370">
        <v>0</v>
      </c>
      <c r="I108" s="295">
        <v>0</v>
      </c>
      <c r="J108" s="295">
        <v>0</v>
      </c>
      <c r="K108" s="295">
        <v>0</v>
      </c>
      <c r="L108" s="296">
        <f t="shared" si="8"/>
        <v>0</v>
      </c>
      <c r="N108" s="297">
        <v>0</v>
      </c>
      <c r="O108" s="295">
        <v>0</v>
      </c>
      <c r="P108" s="295">
        <v>0</v>
      </c>
      <c r="Q108" s="295">
        <v>0</v>
      </c>
      <c r="R108" s="295">
        <v>0</v>
      </c>
      <c r="S108" s="296">
        <v>0</v>
      </c>
      <c r="U108" s="298">
        <f t="shared" si="7"/>
        <v>0</v>
      </c>
      <c r="Z108" s="305">
        <v>0</v>
      </c>
      <c r="AB108" s="305">
        <f t="shared" si="5"/>
        <v>0</v>
      </c>
    </row>
    <row r="109" spans="3:28" ht="18" customHeight="1">
      <c r="C109" s="6">
        <v>1</v>
      </c>
      <c r="D109" s="292" t="s">
        <v>871</v>
      </c>
      <c r="E109" s="293" t="s">
        <v>871</v>
      </c>
      <c r="F109" s="294"/>
      <c r="G109" s="293" t="s">
        <v>872</v>
      </c>
      <c r="H109" s="370">
        <v>0</v>
      </c>
      <c r="I109" s="295">
        <v>0</v>
      </c>
      <c r="J109" s="295">
        <v>0</v>
      </c>
      <c r="K109" s="295">
        <v>0</v>
      </c>
      <c r="L109" s="296">
        <f t="shared" si="8"/>
        <v>0</v>
      </c>
      <c r="N109" s="297">
        <v>0</v>
      </c>
      <c r="O109" s="295">
        <v>0</v>
      </c>
      <c r="P109" s="295">
        <v>0</v>
      </c>
      <c r="Q109" s="295">
        <v>0</v>
      </c>
      <c r="R109" s="295">
        <v>0</v>
      </c>
      <c r="S109" s="296">
        <v>0</v>
      </c>
      <c r="U109" s="298">
        <f t="shared" si="7"/>
        <v>0</v>
      </c>
      <c r="Z109" s="305">
        <v>0</v>
      </c>
      <c r="AB109" s="305">
        <f t="shared" si="5"/>
        <v>0</v>
      </c>
    </row>
    <row r="110" spans="3:28" ht="18" customHeight="1">
      <c r="C110" s="6">
        <v>1</v>
      </c>
      <c r="D110" s="292" t="s">
        <v>873</v>
      </c>
      <c r="E110" s="293" t="s">
        <v>873</v>
      </c>
      <c r="F110" s="294" t="s">
        <v>673</v>
      </c>
      <c r="G110" s="293" t="s">
        <v>673</v>
      </c>
      <c r="H110" s="370">
        <v>-733661400</v>
      </c>
      <c r="I110" s="295">
        <v>-2813829</v>
      </c>
      <c r="J110" s="295">
        <v>-50425</v>
      </c>
      <c r="K110" s="295">
        <v>-20567502</v>
      </c>
      <c r="L110" s="296">
        <f t="shared" si="8"/>
        <v>-757093156</v>
      </c>
      <c r="N110" s="297">
        <v>0</v>
      </c>
      <c r="O110" s="295">
        <v>0</v>
      </c>
      <c r="P110" s="295">
        <v>47128749</v>
      </c>
      <c r="Q110" s="295">
        <v>0</v>
      </c>
      <c r="R110" s="295">
        <v>0</v>
      </c>
      <c r="S110" s="296">
        <v>47128749</v>
      </c>
      <c r="U110" s="298">
        <f t="shared" si="7"/>
        <v>-709964407</v>
      </c>
      <c r="W110" s="6" t="b">
        <f>U110=-SUM(T_IS!X77:X78)</f>
        <v>0</v>
      </c>
      <c r="Z110" s="305">
        <v>-460300719</v>
      </c>
      <c r="AB110" s="305">
        <f t="shared" si="5"/>
        <v>-249663688</v>
      </c>
    </row>
    <row r="111" spans="3:28" ht="18" customHeight="1">
      <c r="C111" s="6">
        <v>1</v>
      </c>
      <c r="D111" s="292" t="s">
        <v>874</v>
      </c>
      <c r="E111" s="293" t="s">
        <v>874</v>
      </c>
      <c r="F111" s="294"/>
      <c r="G111" s="293" t="s">
        <v>875</v>
      </c>
      <c r="H111" s="370">
        <v>0</v>
      </c>
      <c r="I111" s="295">
        <v>0</v>
      </c>
      <c r="J111" s="295">
        <v>0</v>
      </c>
      <c r="K111" s="295">
        <v>0</v>
      </c>
      <c r="L111" s="296">
        <f t="shared" si="8"/>
        <v>0</v>
      </c>
      <c r="N111" s="297">
        <v>0</v>
      </c>
      <c r="O111" s="295">
        <v>0</v>
      </c>
      <c r="P111" s="295">
        <v>0</v>
      </c>
      <c r="Q111" s="295">
        <v>0</v>
      </c>
      <c r="R111" s="295">
        <v>0</v>
      </c>
      <c r="S111" s="296">
        <v>0</v>
      </c>
      <c r="U111" s="298">
        <f t="shared" si="7"/>
        <v>0</v>
      </c>
      <c r="Z111" s="305">
        <v>0</v>
      </c>
      <c r="AB111" s="305">
        <f t="shared" si="5"/>
        <v>0</v>
      </c>
    </row>
    <row r="112" spans="3:28" ht="18" customHeight="1">
      <c r="C112" s="6">
        <v>1</v>
      </c>
      <c r="D112" s="292" t="s">
        <v>876</v>
      </c>
      <c r="E112" s="293" t="s">
        <v>876</v>
      </c>
      <c r="F112" s="294"/>
      <c r="G112" s="293" t="s">
        <v>877</v>
      </c>
      <c r="H112" s="370">
        <v>0</v>
      </c>
      <c r="I112" s="295">
        <v>0</v>
      </c>
      <c r="J112" s="295">
        <v>0</v>
      </c>
      <c r="K112" s="295">
        <v>0</v>
      </c>
      <c r="L112" s="296">
        <f t="shared" si="8"/>
        <v>0</v>
      </c>
      <c r="N112" s="297">
        <v>0</v>
      </c>
      <c r="O112" s="295">
        <v>0</v>
      </c>
      <c r="P112" s="295">
        <v>0</v>
      </c>
      <c r="Q112" s="295">
        <v>0</v>
      </c>
      <c r="R112" s="295">
        <v>0</v>
      </c>
      <c r="S112" s="296">
        <v>0</v>
      </c>
      <c r="U112" s="298">
        <f t="shared" si="7"/>
        <v>0</v>
      </c>
      <c r="Z112" s="305">
        <v>0</v>
      </c>
      <c r="AB112" s="305">
        <f t="shared" si="5"/>
        <v>0</v>
      </c>
    </row>
    <row r="113" spans="3:29" ht="18" customHeight="1">
      <c r="C113" s="6">
        <v>1</v>
      </c>
      <c r="D113" s="292" t="s">
        <v>878</v>
      </c>
      <c r="E113" s="293" t="s">
        <v>878</v>
      </c>
      <c r="F113" s="294"/>
      <c r="G113" s="293" t="s">
        <v>879</v>
      </c>
      <c r="H113" s="370">
        <v>0</v>
      </c>
      <c r="I113" s="295">
        <v>0</v>
      </c>
      <c r="J113" s="295">
        <v>0</v>
      </c>
      <c r="K113" s="295">
        <v>0</v>
      </c>
      <c r="L113" s="296">
        <f t="shared" si="8"/>
        <v>0</v>
      </c>
      <c r="N113" s="297">
        <v>0</v>
      </c>
      <c r="O113" s="295">
        <v>0</v>
      </c>
      <c r="P113" s="295">
        <v>0</v>
      </c>
      <c r="Q113" s="295">
        <v>0</v>
      </c>
      <c r="R113" s="295">
        <v>0</v>
      </c>
      <c r="S113" s="296">
        <v>0</v>
      </c>
      <c r="U113" s="298">
        <f t="shared" si="7"/>
        <v>0</v>
      </c>
      <c r="Z113" s="305">
        <v>0</v>
      </c>
      <c r="AB113" s="305">
        <f t="shared" si="5"/>
        <v>0</v>
      </c>
    </row>
    <row r="114" spans="3:29" s="28" customFormat="1" ht="18" customHeight="1">
      <c r="C114" s="6">
        <v>1</v>
      </c>
      <c r="D114" s="300" t="s">
        <v>809</v>
      </c>
      <c r="E114" s="301" t="s">
        <v>880</v>
      </c>
      <c r="F114" s="302" t="s">
        <v>1418</v>
      </c>
      <c r="G114" s="301" t="s">
        <v>881</v>
      </c>
      <c r="H114" s="370">
        <v>-770071633</v>
      </c>
      <c r="I114" s="295">
        <v>0</v>
      </c>
      <c r="J114" s="295">
        <v>0</v>
      </c>
      <c r="K114" s="295">
        <v>0</v>
      </c>
      <c r="L114" s="296">
        <f t="shared" si="8"/>
        <v>-770071633</v>
      </c>
      <c r="N114" s="304">
        <v>0</v>
      </c>
      <c r="O114" s="299">
        <v>0</v>
      </c>
      <c r="P114" s="299">
        <v>0</v>
      </c>
      <c r="Q114" s="299">
        <v>0</v>
      </c>
      <c r="R114" s="299">
        <v>0</v>
      </c>
      <c r="S114" s="303">
        <v>0</v>
      </c>
      <c r="U114" s="298">
        <f t="shared" si="7"/>
        <v>-770071633</v>
      </c>
      <c r="Z114" s="305">
        <v>0</v>
      </c>
      <c r="AB114" s="305">
        <f t="shared" si="5"/>
        <v>-770071633</v>
      </c>
    </row>
    <row r="115" spans="3:29" s="28" customFormat="1" ht="18" customHeight="1">
      <c r="C115" s="6">
        <v>1</v>
      </c>
      <c r="D115" s="300" t="s">
        <v>807</v>
      </c>
      <c r="E115" s="301" t="s">
        <v>882</v>
      </c>
      <c r="F115" s="302" t="s">
        <v>1419</v>
      </c>
      <c r="G115" s="301" t="s">
        <v>883</v>
      </c>
      <c r="H115" s="370">
        <v>0</v>
      </c>
      <c r="I115" s="295">
        <v>0</v>
      </c>
      <c r="J115" s="295">
        <v>0</v>
      </c>
      <c r="K115" s="295">
        <v>0</v>
      </c>
      <c r="L115" s="296">
        <f t="shared" si="8"/>
        <v>0</v>
      </c>
      <c r="N115" s="304">
        <v>0</v>
      </c>
      <c r="O115" s="299">
        <v>0</v>
      </c>
      <c r="P115" s="299">
        <v>0</v>
      </c>
      <c r="Q115" s="299">
        <v>0</v>
      </c>
      <c r="R115" s="299">
        <v>0</v>
      </c>
      <c r="S115" s="303">
        <v>0</v>
      </c>
      <c r="U115" s="298">
        <f t="shared" si="7"/>
        <v>0</v>
      </c>
      <c r="Z115" s="305">
        <v>0</v>
      </c>
      <c r="AB115" s="305">
        <f t="shared" si="5"/>
        <v>0</v>
      </c>
    </row>
    <row r="116" spans="3:29" ht="18" customHeight="1">
      <c r="C116" s="6">
        <v>1</v>
      </c>
      <c r="D116" s="292" t="s">
        <v>884</v>
      </c>
      <c r="E116" s="293" t="s">
        <v>884</v>
      </c>
      <c r="F116" s="294"/>
      <c r="G116" s="293" t="s">
        <v>885</v>
      </c>
      <c r="H116" s="370">
        <v>0</v>
      </c>
      <c r="I116" s="295">
        <v>0</v>
      </c>
      <c r="J116" s="295">
        <v>0</v>
      </c>
      <c r="K116" s="295">
        <v>0</v>
      </c>
      <c r="L116" s="296">
        <f t="shared" si="8"/>
        <v>0</v>
      </c>
      <c r="N116" s="297">
        <v>0</v>
      </c>
      <c r="O116" s="295">
        <v>0</v>
      </c>
      <c r="P116" s="295">
        <v>0</v>
      </c>
      <c r="Q116" s="295">
        <v>0</v>
      </c>
      <c r="R116" s="295">
        <v>0</v>
      </c>
      <c r="S116" s="296">
        <v>0</v>
      </c>
      <c r="U116" s="298">
        <f t="shared" si="7"/>
        <v>0</v>
      </c>
      <c r="Z116" s="305">
        <v>0</v>
      </c>
      <c r="AB116" s="305">
        <f t="shared" si="5"/>
        <v>0</v>
      </c>
    </row>
    <row r="117" spans="3:29" ht="18" customHeight="1">
      <c r="C117" s="6">
        <v>1</v>
      </c>
      <c r="D117" s="292" t="s">
        <v>886</v>
      </c>
      <c r="E117" s="293" t="s">
        <v>886</v>
      </c>
      <c r="F117" s="294"/>
      <c r="G117" s="293" t="s">
        <v>887</v>
      </c>
      <c r="H117" s="370">
        <v>0</v>
      </c>
      <c r="I117" s="295">
        <v>0</v>
      </c>
      <c r="J117" s="295">
        <v>0</v>
      </c>
      <c r="K117" s="295">
        <v>0</v>
      </c>
      <c r="L117" s="296">
        <f t="shared" si="8"/>
        <v>0</v>
      </c>
      <c r="N117" s="297">
        <v>0</v>
      </c>
      <c r="O117" s="295">
        <v>0</v>
      </c>
      <c r="P117" s="295">
        <v>0</v>
      </c>
      <c r="Q117" s="295">
        <v>0</v>
      </c>
      <c r="R117" s="295">
        <v>0</v>
      </c>
      <c r="S117" s="296">
        <v>0</v>
      </c>
      <c r="U117" s="298">
        <f t="shared" si="7"/>
        <v>0</v>
      </c>
      <c r="Z117" s="305">
        <v>0</v>
      </c>
      <c r="AB117" s="305">
        <f t="shared" si="5"/>
        <v>0</v>
      </c>
    </row>
    <row r="118" spans="3:29" ht="18" customHeight="1">
      <c r="C118" s="6">
        <v>1</v>
      </c>
      <c r="D118" s="292" t="s">
        <v>888</v>
      </c>
      <c r="E118" s="293" t="s">
        <v>888</v>
      </c>
      <c r="F118" s="294"/>
      <c r="G118" s="293" t="s">
        <v>889</v>
      </c>
      <c r="H118" s="370">
        <v>0</v>
      </c>
      <c r="I118" s="295">
        <v>0</v>
      </c>
      <c r="J118" s="295">
        <v>0</v>
      </c>
      <c r="K118" s="295">
        <v>0</v>
      </c>
      <c r="L118" s="296">
        <f t="shared" si="8"/>
        <v>0</v>
      </c>
      <c r="N118" s="297">
        <v>0</v>
      </c>
      <c r="O118" s="295">
        <v>0</v>
      </c>
      <c r="P118" s="295">
        <v>0</v>
      </c>
      <c r="Q118" s="295">
        <v>0</v>
      </c>
      <c r="R118" s="295">
        <v>0</v>
      </c>
      <c r="S118" s="296">
        <v>0</v>
      </c>
      <c r="U118" s="298">
        <f t="shared" si="7"/>
        <v>0</v>
      </c>
      <c r="Z118" s="305">
        <v>0</v>
      </c>
      <c r="AB118" s="305">
        <f t="shared" si="5"/>
        <v>0</v>
      </c>
    </row>
    <row r="119" spans="3:29" ht="18" customHeight="1">
      <c r="C119" s="6">
        <v>1</v>
      </c>
      <c r="D119" s="292" t="s">
        <v>890</v>
      </c>
      <c r="E119" s="293" t="s">
        <v>890</v>
      </c>
      <c r="F119" s="294"/>
      <c r="G119" s="293" t="s">
        <v>891</v>
      </c>
      <c r="H119" s="370">
        <v>0</v>
      </c>
      <c r="I119" s="295">
        <v>0</v>
      </c>
      <c r="J119" s="295">
        <v>0</v>
      </c>
      <c r="K119" s="295">
        <v>0</v>
      </c>
      <c r="L119" s="296">
        <f t="shared" si="8"/>
        <v>0</v>
      </c>
      <c r="N119" s="297">
        <v>0</v>
      </c>
      <c r="O119" s="295">
        <v>0</v>
      </c>
      <c r="P119" s="295">
        <v>0</v>
      </c>
      <c r="Q119" s="295">
        <v>0</v>
      </c>
      <c r="R119" s="295">
        <v>0</v>
      </c>
      <c r="S119" s="296">
        <v>0</v>
      </c>
      <c r="U119" s="298">
        <f t="shared" si="7"/>
        <v>0</v>
      </c>
      <c r="Z119" s="305">
        <v>0</v>
      </c>
      <c r="AB119" s="305">
        <f t="shared" si="5"/>
        <v>0</v>
      </c>
    </row>
    <row r="120" spans="3:29" ht="18" customHeight="1">
      <c r="C120" s="6">
        <v>1</v>
      </c>
      <c r="D120" s="292" t="s">
        <v>892</v>
      </c>
      <c r="E120" s="293" t="s">
        <v>892</v>
      </c>
      <c r="F120" s="294"/>
      <c r="G120" s="293" t="s">
        <v>893</v>
      </c>
      <c r="H120" s="370">
        <v>0</v>
      </c>
      <c r="I120" s="295">
        <v>0</v>
      </c>
      <c r="J120" s="295">
        <v>0</v>
      </c>
      <c r="K120" s="295">
        <v>0</v>
      </c>
      <c r="L120" s="296">
        <f t="shared" si="8"/>
        <v>0</v>
      </c>
      <c r="N120" s="297">
        <v>0</v>
      </c>
      <c r="O120" s="295">
        <v>0</v>
      </c>
      <c r="P120" s="295">
        <v>0</v>
      </c>
      <c r="Q120" s="295">
        <v>0</v>
      </c>
      <c r="R120" s="295">
        <v>0</v>
      </c>
      <c r="S120" s="296">
        <v>0</v>
      </c>
      <c r="U120" s="298">
        <f t="shared" si="7"/>
        <v>0</v>
      </c>
      <c r="Z120" s="305">
        <v>0</v>
      </c>
      <c r="AB120" s="305">
        <f t="shared" si="5"/>
        <v>0</v>
      </c>
    </row>
    <row r="121" spans="3:29" ht="18" customHeight="1">
      <c r="C121" s="6">
        <v>1</v>
      </c>
      <c r="D121" s="292" t="s">
        <v>894</v>
      </c>
      <c r="E121" s="293" t="s">
        <v>894</v>
      </c>
      <c r="F121" s="294"/>
      <c r="G121" s="293" t="s">
        <v>895</v>
      </c>
      <c r="H121" s="370">
        <v>0</v>
      </c>
      <c r="I121" s="295">
        <v>0</v>
      </c>
      <c r="J121" s="295">
        <v>0</v>
      </c>
      <c r="K121" s="295">
        <v>0</v>
      </c>
      <c r="L121" s="296">
        <f t="shared" si="8"/>
        <v>0</v>
      </c>
      <c r="N121" s="297">
        <v>0</v>
      </c>
      <c r="O121" s="295">
        <v>0</v>
      </c>
      <c r="P121" s="295">
        <v>0</v>
      </c>
      <c r="Q121" s="295">
        <v>0</v>
      </c>
      <c r="R121" s="295">
        <v>0</v>
      </c>
      <c r="S121" s="296">
        <v>0</v>
      </c>
      <c r="U121" s="298">
        <f t="shared" si="7"/>
        <v>0</v>
      </c>
      <c r="Z121" s="305">
        <v>0</v>
      </c>
      <c r="AB121" s="305">
        <f t="shared" si="5"/>
        <v>0</v>
      </c>
    </row>
    <row r="122" spans="3:29" ht="18" customHeight="1">
      <c r="C122" s="6">
        <v>1</v>
      </c>
      <c r="D122" s="292" t="s">
        <v>896</v>
      </c>
      <c r="E122" s="293" t="s">
        <v>896</v>
      </c>
      <c r="F122" s="294"/>
      <c r="G122" s="293" t="s">
        <v>897</v>
      </c>
      <c r="H122" s="370">
        <v>0</v>
      </c>
      <c r="I122" s="295">
        <v>0</v>
      </c>
      <c r="J122" s="295">
        <v>0</v>
      </c>
      <c r="K122" s="295">
        <v>0</v>
      </c>
      <c r="L122" s="296">
        <f t="shared" si="8"/>
        <v>0</v>
      </c>
      <c r="N122" s="297">
        <v>0</v>
      </c>
      <c r="O122" s="295">
        <v>0</v>
      </c>
      <c r="P122" s="295">
        <v>0</v>
      </c>
      <c r="Q122" s="295">
        <v>0</v>
      </c>
      <c r="R122" s="295">
        <v>0</v>
      </c>
      <c r="S122" s="296">
        <v>0</v>
      </c>
      <c r="U122" s="298">
        <f t="shared" si="7"/>
        <v>0</v>
      </c>
      <c r="Z122" s="305">
        <v>0</v>
      </c>
      <c r="AB122" s="305">
        <f t="shared" si="5"/>
        <v>0</v>
      </c>
    </row>
    <row r="123" spans="3:29" ht="18" customHeight="1">
      <c r="C123" s="6">
        <v>1</v>
      </c>
      <c r="D123" s="292" t="s">
        <v>898</v>
      </c>
      <c r="E123" s="293" t="s">
        <v>898</v>
      </c>
      <c r="F123" s="294"/>
      <c r="G123" s="293" t="s">
        <v>899</v>
      </c>
      <c r="H123" s="370">
        <v>0</v>
      </c>
      <c r="I123" s="295">
        <v>0</v>
      </c>
      <c r="J123" s="295">
        <v>0</v>
      </c>
      <c r="K123" s="295">
        <v>0</v>
      </c>
      <c r="L123" s="296">
        <f t="shared" si="8"/>
        <v>0</v>
      </c>
      <c r="N123" s="297">
        <v>0</v>
      </c>
      <c r="O123" s="295">
        <v>0</v>
      </c>
      <c r="P123" s="295">
        <v>0</v>
      </c>
      <c r="Q123" s="295">
        <v>0</v>
      </c>
      <c r="R123" s="295">
        <v>0</v>
      </c>
      <c r="S123" s="296">
        <v>0</v>
      </c>
      <c r="U123" s="298">
        <f t="shared" si="7"/>
        <v>0</v>
      </c>
      <c r="Z123" s="305">
        <v>0</v>
      </c>
      <c r="AB123" s="305">
        <f t="shared" si="5"/>
        <v>0</v>
      </c>
    </row>
    <row r="124" spans="3:29" ht="18" customHeight="1">
      <c r="C124" s="6">
        <v>1</v>
      </c>
      <c r="D124" s="292" t="s">
        <v>900</v>
      </c>
      <c r="E124" s="293" t="s">
        <v>900</v>
      </c>
      <c r="F124" s="294" t="s">
        <v>901</v>
      </c>
      <c r="G124" s="293" t="s">
        <v>901</v>
      </c>
      <c r="H124" s="370">
        <v>-616350</v>
      </c>
      <c r="I124" s="295">
        <v>0</v>
      </c>
      <c r="J124" s="295">
        <v>0</v>
      </c>
      <c r="K124" s="295">
        <v>-19729822</v>
      </c>
      <c r="L124" s="296">
        <f t="shared" si="8"/>
        <v>-20346172</v>
      </c>
      <c r="N124" s="297">
        <v>0</v>
      </c>
      <c r="O124" s="295">
        <v>0</v>
      </c>
      <c r="P124" s="295">
        <v>0</v>
      </c>
      <c r="Q124" s="295">
        <v>0</v>
      </c>
      <c r="R124" s="295">
        <v>0</v>
      </c>
      <c r="S124" s="296">
        <v>0</v>
      </c>
      <c r="U124" s="298">
        <f t="shared" si="7"/>
        <v>-20346172</v>
      </c>
      <c r="Z124" s="305">
        <v>-20360760</v>
      </c>
      <c r="AB124" s="305">
        <f t="shared" si="5"/>
        <v>14588</v>
      </c>
    </row>
    <row r="125" spans="3:29" ht="18" customHeight="1">
      <c r="C125" s="6">
        <v>1</v>
      </c>
      <c r="D125" s="285" t="s">
        <v>902</v>
      </c>
      <c r="E125" s="286" t="s">
        <v>902</v>
      </c>
      <c r="F125" s="287"/>
      <c r="G125" s="286" t="s">
        <v>903</v>
      </c>
      <c r="H125" s="288">
        <f>SUM(H126:H174)</f>
        <v>-13099288860</v>
      </c>
      <c r="I125" s="288">
        <f>SUM(I126:I174)</f>
        <v>-160005792</v>
      </c>
      <c r="J125" s="288">
        <f>SUM(J126:J174)</f>
        <v>322496905</v>
      </c>
      <c r="K125" s="288">
        <f>SUM(K126:K174)</f>
        <v>981664114</v>
      </c>
      <c r="L125" s="289">
        <f>SUM(L126:L174)</f>
        <v>-11955133633</v>
      </c>
      <c r="N125" s="290">
        <v>0</v>
      </c>
      <c r="O125" s="288">
        <v>-172052596</v>
      </c>
      <c r="P125" s="288">
        <v>2333333</v>
      </c>
      <c r="Q125" s="288">
        <v>0</v>
      </c>
      <c r="R125" s="288">
        <v>0</v>
      </c>
      <c r="S125" s="289">
        <v>-169719263</v>
      </c>
      <c r="U125" s="291">
        <f>SUM(U126:U174)</f>
        <v>-12124852896</v>
      </c>
      <c r="V125" s="6" t="b">
        <f>U125=SUM(U126:U174)</f>
        <v>1</v>
      </c>
      <c r="W125" s="7">
        <f>U125-'CFS(연간)'!K105</f>
        <v>-14591938547</v>
      </c>
      <c r="Z125" s="291">
        <v>-22698779217</v>
      </c>
      <c r="AA125" s="6" t="b">
        <f>Z125=SUM(Z126:Z174)</f>
        <v>1</v>
      </c>
      <c r="AB125" s="291">
        <f t="shared" si="5"/>
        <v>10573926321</v>
      </c>
      <c r="AC125" s="6" t="b">
        <f>AB125=SUM(AB126:AB174)</f>
        <v>1</v>
      </c>
    </row>
    <row r="126" spans="3:29" ht="18" customHeight="1">
      <c r="C126" s="6">
        <v>1</v>
      </c>
      <c r="D126" s="292" t="s">
        <v>904</v>
      </c>
      <c r="E126" s="293" t="s">
        <v>904</v>
      </c>
      <c r="F126" s="461" t="s">
        <v>2265</v>
      </c>
      <c r="G126" s="293" t="s">
        <v>905</v>
      </c>
      <c r="H126" s="370">
        <v>3816567372</v>
      </c>
      <c r="I126" s="295">
        <v>-539310000</v>
      </c>
      <c r="J126" s="295">
        <v>367963459</v>
      </c>
      <c r="K126" s="295">
        <v>43083183</v>
      </c>
      <c r="L126" s="296">
        <f t="shared" ref="L126:L157" si="9">SUM(H126:K126)</f>
        <v>3688304014</v>
      </c>
      <c r="N126" s="297">
        <v>0</v>
      </c>
      <c r="O126" s="295">
        <v>0</v>
      </c>
      <c r="P126" s="295">
        <v>199024361</v>
      </c>
      <c r="Q126" s="295">
        <v>0</v>
      </c>
      <c r="R126" s="295">
        <v>0</v>
      </c>
      <c r="S126" s="296">
        <v>199024361</v>
      </c>
      <c r="U126" s="298">
        <f t="shared" ref="U126:U174" si="10">ROUND(S126+L126,0)</f>
        <v>3887328375</v>
      </c>
      <c r="Z126" s="305">
        <v>2216549063</v>
      </c>
      <c r="AB126" s="305">
        <f t="shared" si="5"/>
        <v>1670779312</v>
      </c>
    </row>
    <row r="127" spans="3:29" ht="18" customHeight="1">
      <c r="C127" s="6">
        <v>1</v>
      </c>
      <c r="D127" s="292" t="s">
        <v>906</v>
      </c>
      <c r="E127" s="293" t="s">
        <v>906</v>
      </c>
      <c r="F127" s="294" t="s">
        <v>1423</v>
      </c>
      <c r="G127" s="293" t="s">
        <v>907</v>
      </c>
      <c r="H127" s="370">
        <v>-7091341891</v>
      </c>
      <c r="I127" s="295">
        <v>0</v>
      </c>
      <c r="J127" s="295">
        <v>-3337410</v>
      </c>
      <c r="K127" s="295">
        <v>12422509</v>
      </c>
      <c r="L127" s="296">
        <f t="shared" si="9"/>
        <v>-7082256792</v>
      </c>
      <c r="N127" s="297">
        <v>0</v>
      </c>
      <c r="O127" s="295">
        <v>0</v>
      </c>
      <c r="P127" s="295">
        <v>-29826534</v>
      </c>
      <c r="Q127" s="295">
        <v>0</v>
      </c>
      <c r="R127" s="295">
        <v>0</v>
      </c>
      <c r="S127" s="296">
        <v>-29826534</v>
      </c>
      <c r="U127" s="298">
        <f t="shared" si="10"/>
        <v>-7112083326</v>
      </c>
      <c r="Z127" s="305">
        <v>-5530241717</v>
      </c>
      <c r="AB127" s="305">
        <f t="shared" si="5"/>
        <v>-1581841609</v>
      </c>
    </row>
    <row r="128" spans="3:29" ht="18" customHeight="1">
      <c r="C128" s="6">
        <v>1</v>
      </c>
      <c r="D128" s="292" t="s">
        <v>908</v>
      </c>
      <c r="E128" s="293" t="s">
        <v>908</v>
      </c>
      <c r="F128" s="294" t="s">
        <v>1423</v>
      </c>
      <c r="G128" s="293" t="s">
        <v>909</v>
      </c>
      <c r="H128" s="370">
        <v>0</v>
      </c>
      <c r="I128" s="295">
        <v>0</v>
      </c>
      <c r="J128" s="295">
        <v>0</v>
      </c>
      <c r="K128" s="295">
        <v>0</v>
      </c>
      <c r="L128" s="296">
        <f t="shared" si="9"/>
        <v>0</v>
      </c>
      <c r="N128" s="297">
        <v>0</v>
      </c>
      <c r="O128" s="295">
        <v>0</v>
      </c>
      <c r="P128" s="295">
        <v>31359947</v>
      </c>
      <c r="Q128" s="295">
        <v>0</v>
      </c>
      <c r="R128" s="295">
        <v>0</v>
      </c>
      <c r="S128" s="296">
        <v>31359947</v>
      </c>
      <c r="U128" s="298">
        <f t="shared" si="10"/>
        <v>31359947</v>
      </c>
      <c r="Z128" s="305">
        <v>19828440</v>
      </c>
      <c r="AB128" s="305">
        <f t="shared" si="5"/>
        <v>11531507</v>
      </c>
    </row>
    <row r="129" spans="3:28" ht="18" customHeight="1">
      <c r="C129" s="6">
        <v>1</v>
      </c>
      <c r="D129" s="292" t="s">
        <v>910</v>
      </c>
      <c r="E129" s="293" t="s">
        <v>910</v>
      </c>
      <c r="F129" s="294" t="s">
        <v>1424</v>
      </c>
      <c r="G129" s="293" t="s">
        <v>911</v>
      </c>
      <c r="H129" s="370">
        <v>-10738737908</v>
      </c>
      <c r="I129" s="295">
        <v>5481900</v>
      </c>
      <c r="J129" s="295">
        <v>6426590</v>
      </c>
      <c r="K129" s="295">
        <v>-21495351</v>
      </c>
      <c r="L129" s="296">
        <f t="shared" si="9"/>
        <v>-10748324769</v>
      </c>
      <c r="N129" s="297">
        <v>0</v>
      </c>
      <c r="O129" s="295">
        <v>-193111111</v>
      </c>
      <c r="P129" s="295">
        <v>2333333</v>
      </c>
      <c r="Q129" s="295">
        <v>0</v>
      </c>
      <c r="R129" s="295">
        <v>0</v>
      </c>
      <c r="S129" s="296">
        <v>-190777778</v>
      </c>
      <c r="U129" s="298">
        <f t="shared" si="10"/>
        <v>-10939102547</v>
      </c>
      <c r="Z129" s="305">
        <v>-10086073991</v>
      </c>
      <c r="AB129" s="305">
        <f t="shared" si="5"/>
        <v>-853028556</v>
      </c>
    </row>
    <row r="130" spans="3:28" ht="18" customHeight="1">
      <c r="C130" s="6">
        <v>1</v>
      </c>
      <c r="D130" s="292" t="s">
        <v>912</v>
      </c>
      <c r="E130" s="293" t="s">
        <v>912</v>
      </c>
      <c r="F130" s="294"/>
      <c r="G130" s="293" t="s">
        <v>913</v>
      </c>
      <c r="H130" s="370">
        <v>0</v>
      </c>
      <c r="I130" s="295">
        <v>0</v>
      </c>
      <c r="J130" s="295">
        <v>0</v>
      </c>
      <c r="K130" s="295">
        <v>0</v>
      </c>
      <c r="L130" s="296">
        <f t="shared" si="9"/>
        <v>0</v>
      </c>
      <c r="N130" s="297">
        <v>0</v>
      </c>
      <c r="O130" s="295">
        <v>0</v>
      </c>
      <c r="P130" s="295">
        <v>0</v>
      </c>
      <c r="Q130" s="295">
        <v>0</v>
      </c>
      <c r="R130" s="295">
        <v>0</v>
      </c>
      <c r="S130" s="296">
        <v>0</v>
      </c>
      <c r="U130" s="298">
        <f t="shared" si="10"/>
        <v>0</v>
      </c>
      <c r="Z130" s="305">
        <v>0</v>
      </c>
      <c r="AB130" s="305">
        <f t="shared" si="5"/>
        <v>0</v>
      </c>
    </row>
    <row r="131" spans="3:28" ht="18" customHeight="1">
      <c r="C131" s="6">
        <v>1</v>
      </c>
      <c r="D131" s="292" t="s">
        <v>914</v>
      </c>
      <c r="E131" s="293" t="s">
        <v>914</v>
      </c>
      <c r="F131" s="294" t="s">
        <v>1424</v>
      </c>
      <c r="G131" s="293" t="s">
        <v>915</v>
      </c>
      <c r="H131" s="370">
        <v>-1272079906</v>
      </c>
      <c r="I131" s="295">
        <v>0</v>
      </c>
      <c r="J131" s="295">
        <v>0</v>
      </c>
      <c r="K131" s="295">
        <v>3437524</v>
      </c>
      <c r="L131" s="296">
        <f t="shared" si="9"/>
        <v>-1268642382</v>
      </c>
      <c r="N131" s="297">
        <v>0</v>
      </c>
      <c r="O131" s="295">
        <v>0</v>
      </c>
      <c r="P131" s="295">
        <v>0</v>
      </c>
      <c r="Q131" s="295">
        <v>0</v>
      </c>
      <c r="R131" s="295">
        <v>0</v>
      </c>
      <c r="S131" s="296">
        <v>0</v>
      </c>
      <c r="U131" s="298">
        <f t="shared" si="10"/>
        <v>-1268642382</v>
      </c>
      <c r="Z131" s="305">
        <v>-1557812708</v>
      </c>
      <c r="AB131" s="305">
        <f t="shared" si="5"/>
        <v>289170326</v>
      </c>
    </row>
    <row r="132" spans="3:28" ht="18" customHeight="1">
      <c r="C132" s="6">
        <v>1</v>
      </c>
      <c r="D132" s="292" t="s">
        <v>916</v>
      </c>
      <c r="E132" s="293" t="s">
        <v>916</v>
      </c>
      <c r="F132" s="294" t="s">
        <v>1423</v>
      </c>
      <c r="G132" s="293" t="s">
        <v>917</v>
      </c>
      <c r="H132" s="370">
        <v>0</v>
      </c>
      <c r="I132" s="295">
        <v>0</v>
      </c>
      <c r="J132" s="295">
        <v>0</v>
      </c>
      <c r="K132" s="295">
        <v>0</v>
      </c>
      <c r="L132" s="296">
        <f t="shared" si="9"/>
        <v>0</v>
      </c>
      <c r="N132" s="297">
        <v>0</v>
      </c>
      <c r="O132" s="295">
        <v>0</v>
      </c>
      <c r="P132" s="295">
        <v>0</v>
      </c>
      <c r="Q132" s="295">
        <v>0</v>
      </c>
      <c r="R132" s="295">
        <v>0</v>
      </c>
      <c r="S132" s="296">
        <v>0</v>
      </c>
      <c r="U132" s="298">
        <f t="shared" si="10"/>
        <v>0</v>
      </c>
      <c r="Z132" s="305">
        <v>0</v>
      </c>
      <c r="AB132" s="305">
        <f t="shared" si="5"/>
        <v>0</v>
      </c>
    </row>
    <row r="133" spans="3:28" ht="18" customHeight="1">
      <c r="C133" s="6">
        <v>1</v>
      </c>
      <c r="D133" s="292" t="s">
        <v>918</v>
      </c>
      <c r="E133" s="293" t="s">
        <v>918</v>
      </c>
      <c r="F133" s="294"/>
      <c r="G133" s="293" t="s">
        <v>919</v>
      </c>
      <c r="H133" s="370">
        <v>0</v>
      </c>
      <c r="I133" s="295">
        <v>0</v>
      </c>
      <c r="J133" s="295">
        <v>0</v>
      </c>
      <c r="K133" s="295">
        <v>0</v>
      </c>
      <c r="L133" s="296">
        <f t="shared" si="9"/>
        <v>0</v>
      </c>
      <c r="N133" s="297">
        <v>0</v>
      </c>
      <c r="O133" s="295">
        <v>0</v>
      </c>
      <c r="P133" s="295">
        <v>0</v>
      </c>
      <c r="Q133" s="295">
        <v>0</v>
      </c>
      <c r="R133" s="295">
        <v>0</v>
      </c>
      <c r="S133" s="296">
        <v>0</v>
      </c>
      <c r="U133" s="298">
        <f t="shared" si="10"/>
        <v>0</v>
      </c>
      <c r="Z133" s="305">
        <v>0</v>
      </c>
      <c r="AB133" s="305">
        <f t="shared" si="5"/>
        <v>0</v>
      </c>
    </row>
    <row r="134" spans="3:28" ht="18" customHeight="1">
      <c r="C134" s="6">
        <v>1</v>
      </c>
      <c r="D134" s="292" t="s">
        <v>920</v>
      </c>
      <c r="E134" s="293" t="s">
        <v>920</v>
      </c>
      <c r="F134" s="294" t="s">
        <v>1424</v>
      </c>
      <c r="G134" s="293" t="s">
        <v>921</v>
      </c>
      <c r="H134" s="370">
        <v>354388</v>
      </c>
      <c r="I134" s="295">
        <v>0</v>
      </c>
      <c r="J134" s="295">
        <v>0</v>
      </c>
      <c r="K134" s="295">
        <v>-237449309</v>
      </c>
      <c r="L134" s="296">
        <f t="shared" si="9"/>
        <v>-237094921</v>
      </c>
      <c r="N134" s="297">
        <v>0</v>
      </c>
      <c r="O134" s="295">
        <v>0</v>
      </c>
      <c r="P134" s="295">
        <v>0</v>
      </c>
      <c r="Q134" s="295">
        <v>0</v>
      </c>
      <c r="R134" s="295">
        <v>367910377</v>
      </c>
      <c r="S134" s="296">
        <v>367910377</v>
      </c>
      <c r="U134" s="298">
        <f t="shared" si="10"/>
        <v>130815456</v>
      </c>
      <c r="Z134" s="305">
        <v>125159836</v>
      </c>
      <c r="AB134" s="305">
        <f t="shared" si="5"/>
        <v>5655620</v>
      </c>
    </row>
    <row r="135" spans="3:28" ht="18" customHeight="1">
      <c r="C135" s="6">
        <v>1</v>
      </c>
      <c r="D135" s="292" t="s">
        <v>922</v>
      </c>
      <c r="E135" s="293" t="s">
        <v>922</v>
      </c>
      <c r="F135" s="294" t="s">
        <v>2266</v>
      </c>
      <c r="G135" s="293" t="s">
        <v>923</v>
      </c>
      <c r="H135" s="451">
        <v>-1496691299</v>
      </c>
      <c r="I135" s="370">
        <v>0</v>
      </c>
      <c r="J135" s="295">
        <v>-265308</v>
      </c>
      <c r="K135" s="295">
        <v>255336171</v>
      </c>
      <c r="L135" s="296">
        <f t="shared" si="9"/>
        <v>-1241620436</v>
      </c>
      <c r="N135" s="297">
        <v>0</v>
      </c>
      <c r="O135" s="295">
        <v>21058515</v>
      </c>
      <c r="P135" s="295">
        <v>0</v>
      </c>
      <c r="Q135" s="295">
        <v>0</v>
      </c>
      <c r="R135" s="295">
        <v>0</v>
      </c>
      <c r="S135" s="296">
        <v>21058515</v>
      </c>
      <c r="U135" s="298">
        <f t="shared" si="10"/>
        <v>-1220561921</v>
      </c>
      <c r="Z135" s="305">
        <v>-1690977573</v>
      </c>
      <c r="AB135" s="305">
        <f t="shared" si="5"/>
        <v>470415652</v>
      </c>
    </row>
    <row r="136" spans="3:28" ht="18" customHeight="1">
      <c r="C136" s="6">
        <v>1</v>
      </c>
      <c r="D136" s="292" t="s">
        <v>924</v>
      </c>
      <c r="E136" s="293" t="s">
        <v>924</v>
      </c>
      <c r="F136" s="294"/>
      <c r="G136" s="293" t="s">
        <v>925</v>
      </c>
      <c r="H136" s="370">
        <v>0</v>
      </c>
      <c r="I136" s="370">
        <v>0</v>
      </c>
      <c r="J136" s="295">
        <v>0</v>
      </c>
      <c r="K136" s="295">
        <v>0</v>
      </c>
      <c r="L136" s="296">
        <f t="shared" si="9"/>
        <v>0</v>
      </c>
      <c r="N136" s="297">
        <v>0</v>
      </c>
      <c r="O136" s="295">
        <v>0</v>
      </c>
      <c r="P136" s="295">
        <v>0</v>
      </c>
      <c r="Q136" s="295">
        <v>0</v>
      </c>
      <c r="R136" s="295">
        <v>0</v>
      </c>
      <c r="S136" s="296">
        <v>0</v>
      </c>
      <c r="U136" s="298">
        <f t="shared" si="10"/>
        <v>0</v>
      </c>
      <c r="Z136" s="305">
        <v>0</v>
      </c>
      <c r="AB136" s="305">
        <f t="shared" ref="AB136:AB199" si="11">U136-Z136</f>
        <v>0</v>
      </c>
    </row>
    <row r="137" spans="3:28" ht="18" customHeight="1">
      <c r="C137" s="6">
        <v>1</v>
      </c>
      <c r="D137" s="292" t="s">
        <v>926</v>
      </c>
      <c r="E137" s="293" t="s">
        <v>926</v>
      </c>
      <c r="F137" s="294"/>
      <c r="G137" s="293" t="s">
        <v>927</v>
      </c>
      <c r="H137" s="370">
        <v>0</v>
      </c>
      <c r="I137" s="295">
        <v>0</v>
      </c>
      <c r="J137" s="295">
        <v>0</v>
      </c>
      <c r="K137" s="295">
        <v>0</v>
      </c>
      <c r="L137" s="296">
        <f t="shared" si="9"/>
        <v>0</v>
      </c>
      <c r="N137" s="297">
        <v>0</v>
      </c>
      <c r="O137" s="295">
        <v>0</v>
      </c>
      <c r="P137" s="295">
        <v>0</v>
      </c>
      <c r="Q137" s="295">
        <v>0</v>
      </c>
      <c r="R137" s="295">
        <v>0</v>
      </c>
      <c r="S137" s="296">
        <v>0</v>
      </c>
      <c r="U137" s="298">
        <f t="shared" si="10"/>
        <v>0</v>
      </c>
      <c r="Z137" s="305">
        <v>0</v>
      </c>
      <c r="AB137" s="305">
        <f t="shared" si="11"/>
        <v>0</v>
      </c>
    </row>
    <row r="138" spans="3:28" ht="18" customHeight="1">
      <c r="C138" s="6">
        <v>1</v>
      </c>
      <c r="D138" s="292" t="s">
        <v>928</v>
      </c>
      <c r="E138" s="293" t="s">
        <v>928</v>
      </c>
      <c r="F138" s="294"/>
      <c r="G138" s="293" t="s">
        <v>929</v>
      </c>
      <c r="H138" s="370">
        <v>0</v>
      </c>
      <c r="I138" s="295">
        <v>0</v>
      </c>
      <c r="J138" s="295">
        <v>0</v>
      </c>
      <c r="K138" s="295">
        <v>0</v>
      </c>
      <c r="L138" s="296">
        <f t="shared" si="9"/>
        <v>0</v>
      </c>
      <c r="N138" s="297">
        <v>0</v>
      </c>
      <c r="O138" s="295">
        <v>0</v>
      </c>
      <c r="P138" s="295">
        <v>0</v>
      </c>
      <c r="Q138" s="295">
        <v>0</v>
      </c>
      <c r="R138" s="295">
        <v>0</v>
      </c>
      <c r="S138" s="296">
        <v>0</v>
      </c>
      <c r="U138" s="298">
        <f t="shared" si="10"/>
        <v>0</v>
      </c>
      <c r="Z138" s="305">
        <v>0</v>
      </c>
      <c r="AB138" s="305">
        <f t="shared" si="11"/>
        <v>0</v>
      </c>
    </row>
    <row r="139" spans="3:28" ht="18" customHeight="1">
      <c r="C139" s="6">
        <v>1</v>
      </c>
      <c r="D139" s="292" t="s">
        <v>930</v>
      </c>
      <c r="E139" s="293" t="s">
        <v>930</v>
      </c>
      <c r="F139" s="294"/>
      <c r="G139" s="293" t="s">
        <v>931</v>
      </c>
      <c r="H139" s="370">
        <v>0</v>
      </c>
      <c r="I139" s="295">
        <v>0</v>
      </c>
      <c r="J139" s="295">
        <v>0</v>
      </c>
      <c r="K139" s="295">
        <v>0</v>
      </c>
      <c r="L139" s="296">
        <f t="shared" si="9"/>
        <v>0</v>
      </c>
      <c r="N139" s="297">
        <v>0</v>
      </c>
      <c r="O139" s="295">
        <v>0</v>
      </c>
      <c r="P139" s="295">
        <v>0</v>
      </c>
      <c r="Q139" s="295">
        <v>0</v>
      </c>
      <c r="R139" s="295">
        <v>0</v>
      </c>
      <c r="S139" s="296">
        <v>0</v>
      </c>
      <c r="U139" s="298">
        <f t="shared" si="10"/>
        <v>0</v>
      </c>
      <c r="Z139" s="305">
        <v>0</v>
      </c>
      <c r="AB139" s="305">
        <f t="shared" si="11"/>
        <v>0</v>
      </c>
    </row>
    <row r="140" spans="3:28" ht="18" customHeight="1">
      <c r="C140" s="6">
        <v>1</v>
      </c>
      <c r="D140" s="292" t="s">
        <v>932</v>
      </c>
      <c r="E140" s="293" t="s">
        <v>932</v>
      </c>
      <c r="F140" s="294"/>
      <c r="G140" s="293" t="s">
        <v>933</v>
      </c>
      <c r="H140" s="370">
        <v>0</v>
      </c>
      <c r="I140" s="295">
        <v>0</v>
      </c>
      <c r="J140" s="295">
        <v>0</v>
      </c>
      <c r="K140" s="295">
        <v>0</v>
      </c>
      <c r="L140" s="296">
        <f t="shared" si="9"/>
        <v>0</v>
      </c>
      <c r="N140" s="297">
        <v>0</v>
      </c>
      <c r="O140" s="295">
        <v>0</v>
      </c>
      <c r="P140" s="295">
        <v>0</v>
      </c>
      <c r="Q140" s="295">
        <v>0</v>
      </c>
      <c r="R140" s="295">
        <v>0</v>
      </c>
      <c r="S140" s="296">
        <v>0</v>
      </c>
      <c r="U140" s="298">
        <f t="shared" si="10"/>
        <v>0</v>
      </c>
      <c r="Z140" s="305">
        <v>0</v>
      </c>
      <c r="AB140" s="305">
        <f t="shared" si="11"/>
        <v>0</v>
      </c>
    </row>
    <row r="141" spans="3:28" ht="18" customHeight="1">
      <c r="C141" s="6">
        <v>1</v>
      </c>
      <c r="D141" s="292" t="s">
        <v>934</v>
      </c>
      <c r="E141" s="293" t="s">
        <v>934</v>
      </c>
      <c r="F141" s="294" t="s">
        <v>1955</v>
      </c>
      <c r="G141" s="293" t="s">
        <v>935</v>
      </c>
      <c r="H141" s="370">
        <v>0</v>
      </c>
      <c r="I141" s="295">
        <v>0</v>
      </c>
      <c r="J141" s="295">
        <v>0</v>
      </c>
      <c r="K141" s="295">
        <v>0</v>
      </c>
      <c r="L141" s="296">
        <f t="shared" si="9"/>
        <v>0</v>
      </c>
      <c r="N141" s="297">
        <v>0</v>
      </c>
      <c r="O141" s="295">
        <v>0</v>
      </c>
      <c r="P141" s="295">
        <v>0</v>
      </c>
      <c r="Q141" s="295">
        <v>0</v>
      </c>
      <c r="R141" s="295">
        <v>0</v>
      </c>
      <c r="S141" s="296">
        <v>0</v>
      </c>
      <c r="U141" s="298">
        <f t="shared" si="10"/>
        <v>0</v>
      </c>
      <c r="Z141" s="305">
        <v>0</v>
      </c>
      <c r="AB141" s="305">
        <f t="shared" si="11"/>
        <v>0</v>
      </c>
    </row>
    <row r="142" spans="3:28" ht="18" customHeight="1">
      <c r="C142" s="6">
        <v>1</v>
      </c>
      <c r="D142" s="292" t="s">
        <v>936</v>
      </c>
      <c r="E142" s="293" t="s">
        <v>936</v>
      </c>
      <c r="F142" s="294"/>
      <c r="G142" s="293" t="s">
        <v>937</v>
      </c>
      <c r="H142" s="370">
        <v>0</v>
      </c>
      <c r="I142" s="295">
        <v>0</v>
      </c>
      <c r="J142" s="295">
        <v>0</v>
      </c>
      <c r="K142" s="295">
        <v>0</v>
      </c>
      <c r="L142" s="296">
        <f t="shared" si="9"/>
        <v>0</v>
      </c>
      <c r="N142" s="297">
        <v>0</v>
      </c>
      <c r="O142" s="295">
        <v>0</v>
      </c>
      <c r="P142" s="295">
        <v>0</v>
      </c>
      <c r="Q142" s="295">
        <v>0</v>
      </c>
      <c r="R142" s="295">
        <v>0</v>
      </c>
      <c r="S142" s="296">
        <v>0</v>
      </c>
      <c r="U142" s="298">
        <f t="shared" si="10"/>
        <v>0</v>
      </c>
      <c r="Z142" s="305">
        <v>0</v>
      </c>
      <c r="AB142" s="305">
        <f t="shared" si="11"/>
        <v>0</v>
      </c>
    </row>
    <row r="143" spans="3:28" ht="18" customHeight="1">
      <c r="C143" s="6">
        <v>1</v>
      </c>
      <c r="D143" s="292" t="s">
        <v>938</v>
      </c>
      <c r="E143" s="293" t="s">
        <v>938</v>
      </c>
      <c r="F143" s="294" t="s">
        <v>1676</v>
      </c>
      <c r="G143" s="293" t="s">
        <v>939</v>
      </c>
      <c r="H143" s="370">
        <v>0</v>
      </c>
      <c r="I143" s="295">
        <v>0</v>
      </c>
      <c r="J143" s="295">
        <v>0</v>
      </c>
      <c r="K143" s="295">
        <v>0</v>
      </c>
      <c r="L143" s="296">
        <f t="shared" si="9"/>
        <v>0</v>
      </c>
      <c r="N143" s="297">
        <v>0</v>
      </c>
      <c r="O143" s="295">
        <v>0</v>
      </c>
      <c r="P143" s="295">
        <v>0</v>
      </c>
      <c r="Q143" s="295">
        <v>0</v>
      </c>
      <c r="R143" s="295">
        <v>0</v>
      </c>
      <c r="S143" s="296">
        <v>0</v>
      </c>
      <c r="U143" s="298">
        <f t="shared" si="10"/>
        <v>0</v>
      </c>
      <c r="Z143" s="305">
        <v>0</v>
      </c>
      <c r="AB143" s="305">
        <f t="shared" si="11"/>
        <v>0</v>
      </c>
    </row>
    <row r="144" spans="3:28" ht="18" customHeight="1">
      <c r="C144" s="6">
        <v>1</v>
      </c>
      <c r="D144" s="292" t="s">
        <v>940</v>
      </c>
      <c r="E144" s="293" t="s">
        <v>940</v>
      </c>
      <c r="F144" s="294" t="s">
        <v>2267</v>
      </c>
      <c r="G144" s="293" t="s">
        <v>941</v>
      </c>
      <c r="H144" s="370">
        <v>1921310245</v>
      </c>
      <c r="I144" s="295">
        <v>-33957</v>
      </c>
      <c r="J144" s="299">
        <v>-1608062</v>
      </c>
      <c r="K144" s="295">
        <v>9362771</v>
      </c>
      <c r="L144" s="296">
        <f t="shared" si="9"/>
        <v>1929030997</v>
      </c>
      <c r="N144" s="297">
        <v>0</v>
      </c>
      <c r="O144" s="295">
        <v>0</v>
      </c>
      <c r="P144" s="295">
        <v>325374639</v>
      </c>
      <c r="Q144" s="295">
        <v>0</v>
      </c>
      <c r="R144" s="295">
        <v>0</v>
      </c>
      <c r="S144" s="296">
        <v>325374639</v>
      </c>
      <c r="U144" s="298">
        <f t="shared" si="10"/>
        <v>2254405636</v>
      </c>
      <c r="Z144" s="305">
        <v>2456769408</v>
      </c>
      <c r="AB144" s="305">
        <f t="shared" si="11"/>
        <v>-202363772</v>
      </c>
    </row>
    <row r="145" spans="3:28" ht="18" customHeight="1">
      <c r="C145" s="6">
        <v>1</v>
      </c>
      <c r="D145" s="292" t="s">
        <v>998</v>
      </c>
      <c r="E145" s="293" t="s">
        <v>942</v>
      </c>
      <c r="F145" s="294" t="s">
        <v>1428</v>
      </c>
      <c r="G145" s="293" t="s">
        <v>943</v>
      </c>
      <c r="H145" s="370">
        <v>-31840545</v>
      </c>
      <c r="I145" s="295">
        <v>-500</v>
      </c>
      <c r="J145" s="299">
        <v>0</v>
      </c>
      <c r="K145" s="295">
        <v>-1094647</v>
      </c>
      <c r="L145" s="296">
        <f t="shared" si="9"/>
        <v>-32935692</v>
      </c>
      <c r="N145" s="297">
        <v>0</v>
      </c>
      <c r="O145" s="295">
        <v>0</v>
      </c>
      <c r="P145" s="295">
        <v>0</v>
      </c>
      <c r="Q145" s="295">
        <v>0</v>
      </c>
      <c r="R145" s="295">
        <v>0</v>
      </c>
      <c r="S145" s="296">
        <v>0</v>
      </c>
      <c r="U145" s="298">
        <f t="shared" si="10"/>
        <v>-32935692</v>
      </c>
      <c r="Z145" s="305">
        <v>-334237518</v>
      </c>
      <c r="AB145" s="305">
        <f t="shared" si="11"/>
        <v>301301826</v>
      </c>
    </row>
    <row r="146" spans="3:28" ht="18" customHeight="1">
      <c r="C146" s="6">
        <v>1</v>
      </c>
      <c r="D146" s="292" t="s">
        <v>944</v>
      </c>
      <c r="E146" s="293" t="s">
        <v>944</v>
      </c>
      <c r="F146" s="294" t="s">
        <v>1428</v>
      </c>
      <c r="G146" s="293" t="s">
        <v>945</v>
      </c>
      <c r="H146" s="370">
        <v>-310616099</v>
      </c>
      <c r="I146" s="295">
        <v>98084930</v>
      </c>
      <c r="J146" s="299">
        <v>-29134903</v>
      </c>
      <c r="K146" s="295">
        <v>1947449</v>
      </c>
      <c r="L146" s="296">
        <f t="shared" si="9"/>
        <v>-239718623</v>
      </c>
      <c r="N146" s="297">
        <v>0</v>
      </c>
      <c r="O146" s="295">
        <v>0</v>
      </c>
      <c r="P146" s="295">
        <v>0</v>
      </c>
      <c r="Q146" s="295">
        <v>0</v>
      </c>
      <c r="R146" s="295">
        <v>0</v>
      </c>
      <c r="S146" s="296">
        <v>0</v>
      </c>
      <c r="U146" s="298">
        <f t="shared" si="10"/>
        <v>-239718623</v>
      </c>
      <c r="Z146" s="305">
        <v>-647023238</v>
      </c>
      <c r="AB146" s="305">
        <f t="shared" si="11"/>
        <v>407304615</v>
      </c>
    </row>
    <row r="147" spans="3:28" ht="18" customHeight="1">
      <c r="C147" s="6">
        <v>1</v>
      </c>
      <c r="D147" s="292" t="s">
        <v>998</v>
      </c>
      <c r="E147" s="293" t="s">
        <v>946</v>
      </c>
      <c r="F147" s="294" t="s">
        <v>1428</v>
      </c>
      <c r="G147" s="293" t="s">
        <v>947</v>
      </c>
      <c r="H147" s="370">
        <v>1748950128</v>
      </c>
      <c r="I147" s="295">
        <v>-5580000</v>
      </c>
      <c r="J147" s="295">
        <v>0</v>
      </c>
      <c r="K147" s="295">
        <v>0</v>
      </c>
      <c r="L147" s="296">
        <f t="shared" si="9"/>
        <v>1743370128</v>
      </c>
      <c r="N147" s="297">
        <v>0</v>
      </c>
      <c r="O147" s="295">
        <v>0</v>
      </c>
      <c r="P147" s="295">
        <v>0</v>
      </c>
      <c r="Q147" s="295">
        <v>0</v>
      </c>
      <c r="R147" s="295">
        <v>0</v>
      </c>
      <c r="S147" s="296">
        <v>0</v>
      </c>
      <c r="U147" s="298">
        <f t="shared" si="10"/>
        <v>1743370128</v>
      </c>
      <c r="Z147" s="305">
        <v>566490231</v>
      </c>
      <c r="AB147" s="305">
        <f t="shared" si="11"/>
        <v>1176879897</v>
      </c>
    </row>
    <row r="148" spans="3:28" ht="18" customHeight="1">
      <c r="C148" s="6">
        <v>1</v>
      </c>
      <c r="D148" s="292" t="s">
        <v>948</v>
      </c>
      <c r="E148" s="293" t="s">
        <v>948</v>
      </c>
      <c r="F148" s="294" t="s">
        <v>2268</v>
      </c>
      <c r="G148" s="293" t="s">
        <v>949</v>
      </c>
      <c r="H148" s="370">
        <v>1533233810</v>
      </c>
      <c r="I148" s="295">
        <v>70759800</v>
      </c>
      <c r="J148" s="295">
        <v>-20749566</v>
      </c>
      <c r="K148" s="295">
        <v>497364214</v>
      </c>
      <c r="L148" s="296">
        <f t="shared" si="9"/>
        <v>2080608258</v>
      </c>
      <c r="N148" s="297">
        <v>0</v>
      </c>
      <c r="O148" s="295">
        <v>0</v>
      </c>
      <c r="P148" s="295">
        <v>-494572466</v>
      </c>
      <c r="Q148" s="295">
        <v>0</v>
      </c>
      <c r="R148" s="295">
        <v>0</v>
      </c>
      <c r="S148" s="296">
        <v>-494572466</v>
      </c>
      <c r="U148" s="298">
        <f t="shared" si="10"/>
        <v>1586035792</v>
      </c>
      <c r="Z148" s="305">
        <v>-5930288741</v>
      </c>
      <c r="AB148" s="305">
        <f t="shared" si="11"/>
        <v>7516324533</v>
      </c>
    </row>
    <row r="149" spans="3:28" ht="18" customHeight="1">
      <c r="C149" s="6">
        <v>1</v>
      </c>
      <c r="D149" s="292" t="s">
        <v>950</v>
      </c>
      <c r="E149" s="293" t="s">
        <v>950</v>
      </c>
      <c r="F149" s="294" t="s">
        <v>2268</v>
      </c>
      <c r="G149" s="293" t="s">
        <v>951</v>
      </c>
      <c r="H149" s="370">
        <v>782611670</v>
      </c>
      <c r="I149" s="295">
        <v>210498247</v>
      </c>
      <c r="J149" s="295">
        <v>204944</v>
      </c>
      <c r="K149" s="295"/>
      <c r="L149" s="296">
        <f t="shared" si="9"/>
        <v>993314861</v>
      </c>
      <c r="N149" s="297">
        <v>0</v>
      </c>
      <c r="O149" s="295">
        <v>0</v>
      </c>
      <c r="P149" s="295">
        <v>-31359947</v>
      </c>
      <c r="Q149" s="295">
        <v>0</v>
      </c>
      <c r="R149" s="295">
        <v>0</v>
      </c>
      <c r="S149" s="296">
        <v>-31359947</v>
      </c>
      <c r="U149" s="298">
        <f t="shared" si="10"/>
        <v>961954914</v>
      </c>
      <c r="Z149" s="305">
        <v>-1291023749</v>
      </c>
      <c r="AB149" s="305">
        <f t="shared" si="11"/>
        <v>2252978663</v>
      </c>
    </row>
    <row r="150" spans="3:28" ht="18" customHeight="1">
      <c r="C150" s="6">
        <v>1</v>
      </c>
      <c r="D150" s="292" t="s">
        <v>952</v>
      </c>
      <c r="E150" s="293" t="s">
        <v>952</v>
      </c>
      <c r="F150" s="294" t="s">
        <v>1428</v>
      </c>
      <c r="G150" s="293" t="s">
        <v>953</v>
      </c>
      <c r="H150" s="370">
        <v>192569804</v>
      </c>
      <c r="I150" s="451">
        <v>93788</v>
      </c>
      <c r="J150" s="295">
        <v>2997161</v>
      </c>
      <c r="K150" s="295">
        <v>422613380</v>
      </c>
      <c r="L150" s="296">
        <f t="shared" si="9"/>
        <v>618274133</v>
      </c>
      <c r="N150" s="297">
        <v>0</v>
      </c>
      <c r="O150" s="295">
        <v>0</v>
      </c>
      <c r="P150" s="295">
        <v>0</v>
      </c>
      <c r="Q150" s="295">
        <v>0</v>
      </c>
      <c r="R150" s="295">
        <v>-367910377</v>
      </c>
      <c r="S150" s="296">
        <v>-367910377</v>
      </c>
      <c r="U150" s="298">
        <f t="shared" si="10"/>
        <v>250363756</v>
      </c>
      <c r="Z150" s="305">
        <v>-882598709</v>
      </c>
      <c r="AB150" s="305">
        <f t="shared" si="11"/>
        <v>1132962465</v>
      </c>
    </row>
    <row r="151" spans="3:28" ht="18" customHeight="1">
      <c r="C151" s="6">
        <v>1</v>
      </c>
      <c r="D151" s="292" t="s">
        <v>954</v>
      </c>
      <c r="E151" s="293" t="s">
        <v>954</v>
      </c>
      <c r="F151" s="294"/>
      <c r="G151" s="293" t="s">
        <v>955</v>
      </c>
      <c r="H151" s="370">
        <v>0</v>
      </c>
      <c r="I151" s="295">
        <v>0</v>
      </c>
      <c r="J151" s="295">
        <v>0</v>
      </c>
      <c r="K151" s="295">
        <v>0</v>
      </c>
      <c r="L151" s="296">
        <f t="shared" si="9"/>
        <v>0</v>
      </c>
      <c r="N151" s="297">
        <v>0</v>
      </c>
      <c r="O151" s="295">
        <v>0</v>
      </c>
      <c r="P151" s="295">
        <v>0</v>
      </c>
      <c r="Q151" s="295">
        <v>0</v>
      </c>
      <c r="R151" s="295">
        <v>0</v>
      </c>
      <c r="S151" s="296">
        <v>0</v>
      </c>
      <c r="U151" s="298">
        <f t="shared" si="10"/>
        <v>0</v>
      </c>
      <c r="Z151" s="305">
        <v>0</v>
      </c>
      <c r="AB151" s="305">
        <f t="shared" si="11"/>
        <v>0</v>
      </c>
    </row>
    <row r="152" spans="3:28" ht="18" customHeight="1">
      <c r="C152" s="6">
        <v>1</v>
      </c>
      <c r="D152" s="292" t="s">
        <v>956</v>
      </c>
      <c r="E152" s="293" t="s">
        <v>956</v>
      </c>
      <c r="F152" s="294"/>
      <c r="G152" s="293" t="s">
        <v>957</v>
      </c>
      <c r="H152" s="370">
        <v>0</v>
      </c>
      <c r="I152" s="295">
        <v>0</v>
      </c>
      <c r="J152" s="295">
        <v>0</v>
      </c>
      <c r="K152" s="295">
        <v>0</v>
      </c>
      <c r="L152" s="296">
        <f t="shared" si="9"/>
        <v>0</v>
      </c>
      <c r="N152" s="297">
        <v>0</v>
      </c>
      <c r="O152" s="295">
        <v>0</v>
      </c>
      <c r="P152" s="295">
        <v>0</v>
      </c>
      <c r="Q152" s="295">
        <v>0</v>
      </c>
      <c r="R152" s="295">
        <v>0</v>
      </c>
      <c r="S152" s="296">
        <v>0</v>
      </c>
      <c r="U152" s="298">
        <f t="shared" si="10"/>
        <v>0</v>
      </c>
      <c r="Z152" s="305">
        <v>0</v>
      </c>
      <c r="AB152" s="305">
        <f t="shared" si="11"/>
        <v>0</v>
      </c>
    </row>
    <row r="153" spans="3:28" ht="18" customHeight="1">
      <c r="C153" s="6">
        <v>1</v>
      </c>
      <c r="D153" s="292" t="s">
        <v>958</v>
      </c>
      <c r="E153" s="293" t="s">
        <v>958</v>
      </c>
      <c r="F153" s="294" t="s">
        <v>1428</v>
      </c>
      <c r="G153" s="293" t="s">
        <v>959</v>
      </c>
      <c r="H153" s="370">
        <v>0</v>
      </c>
      <c r="I153" s="295">
        <v>0</v>
      </c>
      <c r="J153" s="295">
        <v>0</v>
      </c>
      <c r="K153" s="295">
        <v>0</v>
      </c>
      <c r="L153" s="296">
        <f t="shared" si="9"/>
        <v>0</v>
      </c>
      <c r="N153" s="297">
        <v>0</v>
      </c>
      <c r="O153" s="295">
        <v>0</v>
      </c>
      <c r="P153" s="295">
        <v>0</v>
      </c>
      <c r="Q153" s="295">
        <v>0</v>
      </c>
      <c r="R153" s="295">
        <v>0</v>
      </c>
      <c r="S153" s="296">
        <v>0</v>
      </c>
      <c r="U153" s="298">
        <f t="shared" si="10"/>
        <v>0</v>
      </c>
      <c r="Z153" s="305">
        <v>0</v>
      </c>
      <c r="AB153" s="305">
        <f t="shared" si="11"/>
        <v>0</v>
      </c>
    </row>
    <row r="154" spans="3:28" ht="18" customHeight="1">
      <c r="C154" s="6">
        <v>1</v>
      </c>
      <c r="D154" s="292" t="s">
        <v>960</v>
      </c>
      <c r="E154" s="293" t="s">
        <v>960</v>
      </c>
      <c r="F154" s="294" t="s">
        <v>2269</v>
      </c>
      <c r="G154" s="293" t="s">
        <v>961</v>
      </c>
      <c r="H154" s="464">
        <v>0</v>
      </c>
      <c r="I154" s="295">
        <v>0</v>
      </c>
      <c r="J154" s="295">
        <v>0</v>
      </c>
      <c r="K154" s="295">
        <v>0</v>
      </c>
      <c r="L154" s="296">
        <f t="shared" si="9"/>
        <v>0</v>
      </c>
      <c r="N154" s="297">
        <v>0</v>
      </c>
      <c r="O154" s="295">
        <v>0</v>
      </c>
      <c r="P154" s="295">
        <v>0</v>
      </c>
      <c r="Q154" s="295">
        <v>0</v>
      </c>
      <c r="R154" s="295">
        <v>0</v>
      </c>
      <c r="S154" s="296">
        <v>0</v>
      </c>
      <c r="U154" s="298">
        <f t="shared" si="10"/>
        <v>0</v>
      </c>
      <c r="Z154" s="305">
        <v>0</v>
      </c>
      <c r="AB154" s="305">
        <f t="shared" si="11"/>
        <v>0</v>
      </c>
    </row>
    <row r="155" spans="3:28" ht="18" customHeight="1">
      <c r="C155" s="6">
        <v>1</v>
      </c>
      <c r="D155" s="292" t="s">
        <v>962</v>
      </c>
      <c r="E155" s="293" t="s">
        <v>962</v>
      </c>
      <c r="F155" s="294"/>
      <c r="G155" s="293" t="s">
        <v>963</v>
      </c>
      <c r="H155" s="370">
        <v>0</v>
      </c>
      <c r="I155" s="295">
        <v>0</v>
      </c>
      <c r="J155" s="295">
        <v>0</v>
      </c>
      <c r="K155" s="295">
        <v>0</v>
      </c>
      <c r="L155" s="296">
        <f t="shared" si="9"/>
        <v>0</v>
      </c>
      <c r="N155" s="297">
        <v>0</v>
      </c>
      <c r="O155" s="295">
        <v>0</v>
      </c>
      <c r="P155" s="295">
        <v>0</v>
      </c>
      <c r="Q155" s="295">
        <v>0</v>
      </c>
      <c r="R155" s="295">
        <v>0</v>
      </c>
      <c r="S155" s="296">
        <v>0</v>
      </c>
      <c r="U155" s="298">
        <f t="shared" si="10"/>
        <v>0</v>
      </c>
      <c r="Z155" s="305">
        <v>0</v>
      </c>
      <c r="AB155" s="305">
        <f t="shared" si="11"/>
        <v>0</v>
      </c>
    </row>
    <row r="156" spans="3:28" ht="18" customHeight="1">
      <c r="C156" s="6">
        <v>1</v>
      </c>
      <c r="D156" s="292" t="s">
        <v>964</v>
      </c>
      <c r="E156" s="293" t="s">
        <v>964</v>
      </c>
      <c r="F156" s="294" t="s">
        <v>2269</v>
      </c>
      <c r="G156" s="293" t="s">
        <v>965</v>
      </c>
      <c r="H156" s="370">
        <v>-1408799392</v>
      </c>
      <c r="I156" s="295">
        <v>0</v>
      </c>
      <c r="J156" s="295">
        <v>0</v>
      </c>
      <c r="K156" s="295">
        <v>0</v>
      </c>
      <c r="L156" s="296">
        <f t="shared" si="9"/>
        <v>-1408799392</v>
      </c>
      <c r="N156" s="297">
        <v>0</v>
      </c>
      <c r="O156" s="295">
        <v>0</v>
      </c>
      <c r="P156" s="295">
        <v>0</v>
      </c>
      <c r="Q156" s="295">
        <v>0</v>
      </c>
      <c r="R156" s="295">
        <v>0</v>
      </c>
      <c r="S156" s="296">
        <v>0</v>
      </c>
      <c r="U156" s="298">
        <f t="shared" si="10"/>
        <v>-1408799392</v>
      </c>
      <c r="Z156" s="305">
        <v>606430670</v>
      </c>
      <c r="AB156" s="305">
        <f t="shared" si="11"/>
        <v>-2015230062</v>
      </c>
    </row>
    <row r="157" spans="3:28" ht="18" customHeight="1">
      <c r="C157" s="6">
        <v>1</v>
      </c>
      <c r="D157" s="292" t="s">
        <v>966</v>
      </c>
      <c r="E157" s="293" t="s">
        <v>966</v>
      </c>
      <c r="F157" s="294"/>
      <c r="G157" s="293" t="s">
        <v>967</v>
      </c>
      <c r="H157" s="370">
        <v>0</v>
      </c>
      <c r="I157" s="295">
        <v>0</v>
      </c>
      <c r="J157" s="295">
        <v>0</v>
      </c>
      <c r="K157" s="295">
        <v>0</v>
      </c>
      <c r="L157" s="296">
        <f t="shared" si="9"/>
        <v>0</v>
      </c>
      <c r="N157" s="297">
        <v>0</v>
      </c>
      <c r="O157" s="295">
        <v>0</v>
      </c>
      <c r="P157" s="295">
        <v>0</v>
      </c>
      <c r="Q157" s="295">
        <v>0</v>
      </c>
      <c r="R157" s="295">
        <v>0</v>
      </c>
      <c r="S157" s="296">
        <v>0</v>
      </c>
      <c r="U157" s="298">
        <f t="shared" si="10"/>
        <v>0</v>
      </c>
      <c r="Z157" s="305">
        <v>0</v>
      </c>
      <c r="AB157" s="305">
        <f t="shared" si="11"/>
        <v>0</v>
      </c>
    </row>
    <row r="158" spans="3:28" ht="18" customHeight="1">
      <c r="C158" s="6">
        <v>1</v>
      </c>
      <c r="D158" s="292" t="s">
        <v>968</v>
      </c>
      <c r="E158" s="293" t="s">
        <v>968</v>
      </c>
      <c r="F158" s="294"/>
      <c r="G158" s="293" t="s">
        <v>969</v>
      </c>
      <c r="H158" s="370">
        <v>0</v>
      </c>
      <c r="I158" s="295">
        <v>0</v>
      </c>
      <c r="J158" s="295">
        <v>0</v>
      </c>
      <c r="K158" s="295">
        <v>0</v>
      </c>
      <c r="L158" s="296">
        <f t="shared" ref="L158:L174" si="12">SUM(H158:K158)</f>
        <v>0</v>
      </c>
      <c r="N158" s="297">
        <v>0</v>
      </c>
      <c r="O158" s="295">
        <v>0</v>
      </c>
      <c r="P158" s="295">
        <v>0</v>
      </c>
      <c r="Q158" s="295">
        <v>0</v>
      </c>
      <c r="R158" s="295">
        <v>0</v>
      </c>
      <c r="S158" s="296">
        <v>0</v>
      </c>
      <c r="U158" s="298">
        <f t="shared" si="10"/>
        <v>0</v>
      </c>
      <c r="Z158" s="305">
        <v>0</v>
      </c>
      <c r="AB158" s="305">
        <f t="shared" si="11"/>
        <v>0</v>
      </c>
    </row>
    <row r="159" spans="3:28" ht="18" customHeight="1">
      <c r="C159" s="6">
        <v>1</v>
      </c>
      <c r="D159" s="292" t="s">
        <v>970</v>
      </c>
      <c r="E159" s="293" t="s">
        <v>970</v>
      </c>
      <c r="F159" s="294" t="s">
        <v>2268</v>
      </c>
      <c r="G159" s="293" t="s">
        <v>971</v>
      </c>
      <c r="H159" s="370">
        <v>244953000</v>
      </c>
      <c r="I159" s="295">
        <v>0</v>
      </c>
      <c r="J159" s="295">
        <v>0</v>
      </c>
      <c r="K159" s="295">
        <v>0</v>
      </c>
      <c r="L159" s="296">
        <f t="shared" si="12"/>
        <v>244953000</v>
      </c>
      <c r="N159" s="297">
        <v>0</v>
      </c>
      <c r="O159" s="295">
        <v>0</v>
      </c>
      <c r="P159" s="295">
        <v>0</v>
      </c>
      <c r="Q159" s="295">
        <v>0</v>
      </c>
      <c r="R159" s="295">
        <v>0</v>
      </c>
      <c r="S159" s="296">
        <v>0</v>
      </c>
      <c r="U159" s="298">
        <f t="shared" si="10"/>
        <v>244953000</v>
      </c>
      <c r="Z159" s="305">
        <v>73197000</v>
      </c>
      <c r="AB159" s="305">
        <f t="shared" si="11"/>
        <v>171756000</v>
      </c>
    </row>
    <row r="160" spans="3:28" ht="18" customHeight="1">
      <c r="C160" s="6">
        <v>1</v>
      </c>
      <c r="D160" s="292" t="s">
        <v>972</v>
      </c>
      <c r="E160" s="293" t="s">
        <v>972</v>
      </c>
      <c r="F160" s="294" t="s">
        <v>1953</v>
      </c>
      <c r="G160" s="293" t="s">
        <v>973</v>
      </c>
      <c r="H160" s="370">
        <v>38740390</v>
      </c>
      <c r="I160" s="295">
        <v>0</v>
      </c>
      <c r="J160" s="295">
        <v>0</v>
      </c>
      <c r="K160" s="295">
        <v>0</v>
      </c>
      <c r="L160" s="296">
        <f t="shared" si="12"/>
        <v>38740390</v>
      </c>
      <c r="N160" s="297">
        <v>0</v>
      </c>
      <c r="O160" s="295">
        <v>0</v>
      </c>
      <c r="P160" s="295">
        <v>0</v>
      </c>
      <c r="Q160" s="295">
        <v>0</v>
      </c>
      <c r="R160" s="295">
        <v>0</v>
      </c>
      <c r="S160" s="296">
        <v>0</v>
      </c>
      <c r="U160" s="298">
        <f t="shared" si="10"/>
        <v>38740390</v>
      </c>
      <c r="Z160" s="305">
        <v>0</v>
      </c>
      <c r="AB160" s="305">
        <f t="shared" si="11"/>
        <v>38740390</v>
      </c>
    </row>
    <row r="161" spans="3:29" ht="18" customHeight="1">
      <c r="C161" s="6">
        <v>1</v>
      </c>
      <c r="D161" s="292" t="s">
        <v>974</v>
      </c>
      <c r="E161" s="293" t="s">
        <v>974</v>
      </c>
      <c r="F161" s="294"/>
      <c r="G161" s="293" t="s">
        <v>975</v>
      </c>
      <c r="H161" s="370">
        <v>0</v>
      </c>
      <c r="I161" s="295">
        <v>0</v>
      </c>
      <c r="J161" s="295">
        <v>0</v>
      </c>
      <c r="K161" s="295">
        <v>0</v>
      </c>
      <c r="L161" s="296">
        <f t="shared" si="12"/>
        <v>0</v>
      </c>
      <c r="N161" s="297">
        <v>0</v>
      </c>
      <c r="O161" s="295">
        <v>0</v>
      </c>
      <c r="P161" s="295">
        <v>0</v>
      </c>
      <c r="Q161" s="295">
        <v>0</v>
      </c>
      <c r="R161" s="295">
        <v>0</v>
      </c>
      <c r="S161" s="296">
        <v>0</v>
      </c>
      <c r="U161" s="298">
        <f t="shared" si="10"/>
        <v>0</v>
      </c>
      <c r="Z161" s="305">
        <v>0</v>
      </c>
      <c r="AB161" s="305">
        <f t="shared" si="11"/>
        <v>0</v>
      </c>
    </row>
    <row r="162" spans="3:29" ht="18" customHeight="1">
      <c r="C162" s="6">
        <v>1</v>
      </c>
      <c r="D162" s="292" t="s">
        <v>976</v>
      </c>
      <c r="E162" s="293" t="s">
        <v>976</v>
      </c>
      <c r="F162" s="294" t="s">
        <v>2269</v>
      </c>
      <c r="G162" s="293" t="s">
        <v>977</v>
      </c>
      <c r="H162" s="464">
        <v>-1012410643</v>
      </c>
      <c r="I162" s="295">
        <v>0</v>
      </c>
      <c r="J162" s="295">
        <v>0</v>
      </c>
      <c r="K162" s="295">
        <v>-3863780</v>
      </c>
      <c r="L162" s="296">
        <f t="shared" si="12"/>
        <v>-1016274423</v>
      </c>
      <c r="N162" s="297">
        <v>0</v>
      </c>
      <c r="O162" s="295">
        <v>0</v>
      </c>
      <c r="P162" s="295">
        <v>0</v>
      </c>
      <c r="Q162" s="295">
        <v>0</v>
      </c>
      <c r="R162" s="295">
        <v>0</v>
      </c>
      <c r="S162" s="296">
        <v>0</v>
      </c>
      <c r="U162" s="298">
        <f t="shared" si="10"/>
        <v>-1016274423</v>
      </c>
      <c r="Z162" s="305">
        <v>-817914048</v>
      </c>
      <c r="AB162" s="305">
        <f t="shared" si="11"/>
        <v>-198360375</v>
      </c>
    </row>
    <row r="163" spans="3:29" ht="18" customHeight="1">
      <c r="C163" s="6">
        <v>1</v>
      </c>
      <c r="D163" s="292" t="s">
        <v>978</v>
      </c>
      <c r="E163" s="293" t="s">
        <v>978</v>
      </c>
      <c r="F163" s="294" t="s">
        <v>2270</v>
      </c>
      <c r="G163" s="293" t="s">
        <v>979</v>
      </c>
      <c r="H163" s="370">
        <v>0</v>
      </c>
      <c r="I163" s="295">
        <v>0</v>
      </c>
      <c r="J163" s="295">
        <v>0</v>
      </c>
      <c r="K163" s="295">
        <v>0</v>
      </c>
      <c r="L163" s="296">
        <f t="shared" si="12"/>
        <v>0</v>
      </c>
      <c r="N163" s="297">
        <v>0</v>
      </c>
      <c r="O163" s="295">
        <v>0</v>
      </c>
      <c r="P163" s="295">
        <v>0</v>
      </c>
      <c r="Q163" s="295">
        <v>0</v>
      </c>
      <c r="R163" s="295">
        <v>0</v>
      </c>
      <c r="S163" s="296">
        <v>0</v>
      </c>
      <c r="U163" s="298">
        <f t="shared" si="10"/>
        <v>0</v>
      </c>
      <c r="Z163" s="305">
        <v>0</v>
      </c>
      <c r="AB163" s="305">
        <f t="shared" si="11"/>
        <v>0</v>
      </c>
    </row>
    <row r="164" spans="3:29" s="447" customFormat="1" ht="18" customHeight="1">
      <c r="C164" s="447">
        <v>1</v>
      </c>
      <c r="D164" s="448" t="s">
        <v>980</v>
      </c>
      <c r="E164" s="449" t="s">
        <v>980</v>
      </c>
      <c r="F164" s="450" t="s">
        <v>1428</v>
      </c>
      <c r="G164" s="449" t="s">
        <v>2198</v>
      </c>
      <c r="H164" s="452">
        <v>0</v>
      </c>
      <c r="I164" s="452">
        <v>0</v>
      </c>
      <c r="J164" s="452">
        <v>0</v>
      </c>
      <c r="K164" s="452">
        <v>0</v>
      </c>
      <c r="L164" s="453">
        <f t="shared" si="12"/>
        <v>0</v>
      </c>
      <c r="N164" s="454">
        <v>0</v>
      </c>
      <c r="O164" s="452">
        <v>0</v>
      </c>
      <c r="P164" s="452">
        <v>0</v>
      </c>
      <c r="Q164" s="452">
        <v>0</v>
      </c>
      <c r="R164" s="452">
        <v>0</v>
      </c>
      <c r="S164" s="453">
        <v>0</v>
      </c>
      <c r="U164" s="455">
        <f t="shared" si="10"/>
        <v>0</v>
      </c>
      <c r="Z164" s="474">
        <v>651388</v>
      </c>
      <c r="AB164" s="474">
        <f t="shared" si="11"/>
        <v>-651388</v>
      </c>
    </row>
    <row r="165" spans="3:29" ht="18" customHeight="1">
      <c r="C165" s="6">
        <v>1</v>
      </c>
      <c r="D165" s="292" t="s">
        <v>982</v>
      </c>
      <c r="E165" s="293" t="s">
        <v>982</v>
      </c>
      <c r="F165" s="294"/>
      <c r="G165" s="293" t="s">
        <v>983</v>
      </c>
      <c r="H165" s="370">
        <v>0</v>
      </c>
      <c r="I165" s="295">
        <v>0</v>
      </c>
      <c r="J165" s="295">
        <v>0</v>
      </c>
      <c r="K165" s="295">
        <v>0</v>
      </c>
      <c r="L165" s="296">
        <f t="shared" si="12"/>
        <v>0</v>
      </c>
      <c r="N165" s="297">
        <v>0</v>
      </c>
      <c r="O165" s="295">
        <v>0</v>
      </c>
      <c r="P165" s="295">
        <v>0</v>
      </c>
      <c r="Q165" s="295">
        <v>0</v>
      </c>
      <c r="R165" s="295">
        <v>0</v>
      </c>
      <c r="S165" s="296">
        <v>0</v>
      </c>
      <c r="U165" s="298">
        <f t="shared" si="10"/>
        <v>0</v>
      </c>
      <c r="Z165" s="305">
        <v>0</v>
      </c>
      <c r="AB165" s="305">
        <f t="shared" si="11"/>
        <v>0</v>
      </c>
    </row>
    <row r="166" spans="3:29" ht="18" customHeight="1">
      <c r="C166" s="6">
        <v>1</v>
      </c>
      <c r="D166" s="292" t="s">
        <v>984</v>
      </c>
      <c r="E166" s="293" t="s">
        <v>984</v>
      </c>
      <c r="F166" s="294"/>
      <c r="G166" s="293" t="s">
        <v>985</v>
      </c>
      <c r="H166" s="370">
        <v>0</v>
      </c>
      <c r="I166" s="295">
        <v>0</v>
      </c>
      <c r="J166" s="295">
        <v>0</v>
      </c>
      <c r="K166" s="295">
        <v>0</v>
      </c>
      <c r="L166" s="296">
        <f t="shared" si="12"/>
        <v>0</v>
      </c>
      <c r="N166" s="297">
        <v>0</v>
      </c>
      <c r="O166" s="295">
        <v>0</v>
      </c>
      <c r="P166" s="295">
        <v>0</v>
      </c>
      <c r="Q166" s="295">
        <v>0</v>
      </c>
      <c r="R166" s="295">
        <v>0</v>
      </c>
      <c r="S166" s="296">
        <v>0</v>
      </c>
      <c r="U166" s="298">
        <f t="shared" si="10"/>
        <v>0</v>
      </c>
      <c r="Z166" s="305">
        <v>0</v>
      </c>
      <c r="AB166" s="305">
        <f t="shared" si="11"/>
        <v>0</v>
      </c>
    </row>
    <row r="167" spans="3:29" ht="18" customHeight="1">
      <c r="C167" s="6">
        <v>1</v>
      </c>
      <c r="D167" s="292" t="s">
        <v>986</v>
      </c>
      <c r="E167" s="293" t="s">
        <v>986</v>
      </c>
      <c r="F167" s="294"/>
      <c r="G167" s="293" t="s">
        <v>987</v>
      </c>
      <c r="H167" s="370">
        <v>0</v>
      </c>
      <c r="I167" s="295">
        <v>0</v>
      </c>
      <c r="J167" s="295">
        <v>0</v>
      </c>
      <c r="K167" s="295">
        <v>0</v>
      </c>
      <c r="L167" s="296">
        <f t="shared" si="12"/>
        <v>0</v>
      </c>
      <c r="N167" s="297">
        <v>0</v>
      </c>
      <c r="O167" s="295">
        <v>0</v>
      </c>
      <c r="P167" s="295">
        <v>0</v>
      </c>
      <c r="Q167" s="295">
        <v>0</v>
      </c>
      <c r="R167" s="295">
        <v>0</v>
      </c>
      <c r="S167" s="296">
        <v>0</v>
      </c>
      <c r="U167" s="298">
        <f t="shared" si="10"/>
        <v>0</v>
      </c>
      <c r="Z167" s="305">
        <v>0</v>
      </c>
      <c r="AB167" s="305">
        <f t="shared" si="11"/>
        <v>0</v>
      </c>
    </row>
    <row r="168" spans="3:29" ht="18" customHeight="1">
      <c r="C168" s="6">
        <v>1</v>
      </c>
      <c r="D168" s="292" t="s">
        <v>988</v>
      </c>
      <c r="E168" s="293" t="s">
        <v>988</v>
      </c>
      <c r="F168" s="294"/>
      <c r="G168" s="293" t="s">
        <v>989</v>
      </c>
      <c r="H168" s="370">
        <v>0</v>
      </c>
      <c r="I168" s="295">
        <v>0</v>
      </c>
      <c r="J168" s="295">
        <v>0</v>
      </c>
      <c r="K168" s="295">
        <v>0</v>
      </c>
      <c r="L168" s="296">
        <f t="shared" si="12"/>
        <v>0</v>
      </c>
      <c r="N168" s="297">
        <v>0</v>
      </c>
      <c r="O168" s="295">
        <v>0</v>
      </c>
      <c r="P168" s="295">
        <v>0</v>
      </c>
      <c r="Q168" s="295">
        <v>0</v>
      </c>
      <c r="R168" s="295">
        <v>0</v>
      </c>
      <c r="S168" s="296">
        <v>0</v>
      </c>
      <c r="U168" s="298">
        <f t="shared" si="10"/>
        <v>0</v>
      </c>
      <c r="Z168" s="305">
        <v>0</v>
      </c>
      <c r="AB168" s="305">
        <f t="shared" si="11"/>
        <v>0</v>
      </c>
    </row>
    <row r="169" spans="3:29" ht="18" customHeight="1">
      <c r="C169" s="6">
        <v>1</v>
      </c>
      <c r="D169" s="292" t="s">
        <v>990</v>
      </c>
      <c r="E169" s="293" t="s">
        <v>990</v>
      </c>
      <c r="F169" s="294"/>
      <c r="G169" s="293" t="s">
        <v>991</v>
      </c>
      <c r="H169" s="370">
        <v>0</v>
      </c>
      <c r="I169" s="295">
        <v>0</v>
      </c>
      <c r="J169" s="295">
        <v>0</v>
      </c>
      <c r="K169" s="295">
        <v>0</v>
      </c>
      <c r="L169" s="296">
        <f t="shared" si="12"/>
        <v>0</v>
      </c>
      <c r="N169" s="297">
        <v>0</v>
      </c>
      <c r="O169" s="295">
        <v>0</v>
      </c>
      <c r="P169" s="295">
        <v>0</v>
      </c>
      <c r="Q169" s="295">
        <v>0</v>
      </c>
      <c r="R169" s="295">
        <v>0</v>
      </c>
      <c r="S169" s="296">
        <v>0</v>
      </c>
      <c r="U169" s="298">
        <f t="shared" si="10"/>
        <v>0</v>
      </c>
      <c r="Z169" s="305">
        <v>0</v>
      </c>
      <c r="AB169" s="305">
        <f t="shared" si="11"/>
        <v>0</v>
      </c>
    </row>
    <row r="170" spans="3:29" ht="18" customHeight="1">
      <c r="C170" s="6">
        <v>1</v>
      </c>
      <c r="D170" s="292" t="s">
        <v>992</v>
      </c>
      <c r="E170" s="293" t="s">
        <v>992</v>
      </c>
      <c r="F170" s="294"/>
      <c r="G170" s="293" t="s">
        <v>993</v>
      </c>
      <c r="H170" s="370">
        <v>0</v>
      </c>
      <c r="I170" s="295">
        <v>0</v>
      </c>
      <c r="J170" s="295">
        <v>0</v>
      </c>
      <c r="K170" s="295">
        <v>0</v>
      </c>
      <c r="L170" s="296">
        <f t="shared" si="12"/>
        <v>0</v>
      </c>
      <c r="N170" s="297">
        <v>0</v>
      </c>
      <c r="O170" s="295">
        <v>0</v>
      </c>
      <c r="P170" s="295">
        <v>0</v>
      </c>
      <c r="Q170" s="295">
        <v>0</v>
      </c>
      <c r="R170" s="295">
        <v>0</v>
      </c>
      <c r="S170" s="296">
        <v>0</v>
      </c>
      <c r="U170" s="298">
        <f t="shared" si="10"/>
        <v>0</v>
      </c>
      <c r="Z170" s="305"/>
      <c r="AB170" s="305">
        <f t="shared" si="11"/>
        <v>0</v>
      </c>
    </row>
    <row r="171" spans="3:29" ht="18" customHeight="1">
      <c r="C171" s="6">
        <v>1</v>
      </c>
      <c r="D171" s="293" t="s">
        <v>994</v>
      </c>
      <c r="E171" s="293" t="s">
        <v>994</v>
      </c>
      <c r="F171" s="294" t="s">
        <v>1424</v>
      </c>
      <c r="G171" s="293" t="s">
        <v>995</v>
      </c>
      <c r="H171" s="370">
        <v>7087617</v>
      </c>
      <c r="I171" s="370">
        <v>0</v>
      </c>
      <c r="J171" s="295">
        <v>0</v>
      </c>
      <c r="K171" s="295">
        <v>0</v>
      </c>
      <c r="L171" s="296">
        <f t="shared" si="12"/>
        <v>7087617</v>
      </c>
      <c r="N171" s="297">
        <v>0</v>
      </c>
      <c r="O171" s="295">
        <v>0</v>
      </c>
      <c r="P171" s="295">
        <v>0</v>
      </c>
      <c r="Q171" s="295">
        <v>0</v>
      </c>
      <c r="R171" s="295">
        <v>0</v>
      </c>
      <c r="S171" s="296">
        <v>0</v>
      </c>
      <c r="U171" s="298">
        <f t="shared" si="10"/>
        <v>7087617</v>
      </c>
      <c r="Z171" s="305">
        <v>-37035055</v>
      </c>
      <c r="AB171" s="305">
        <f t="shared" si="11"/>
        <v>44122672</v>
      </c>
    </row>
    <row r="172" spans="3:29" ht="18" customHeight="1">
      <c r="C172" s="6">
        <v>1</v>
      </c>
      <c r="D172" s="300" t="s">
        <v>996</v>
      </c>
      <c r="E172" s="293" t="s">
        <v>996</v>
      </c>
      <c r="F172" s="294"/>
      <c r="G172" s="293" t="s">
        <v>997</v>
      </c>
      <c r="H172" s="370">
        <v>0</v>
      </c>
      <c r="I172" s="295">
        <v>0</v>
      </c>
      <c r="J172" s="295">
        <v>0</v>
      </c>
      <c r="K172" s="295">
        <v>0</v>
      </c>
      <c r="L172" s="296">
        <f t="shared" si="12"/>
        <v>0</v>
      </c>
      <c r="N172" s="297">
        <v>0</v>
      </c>
      <c r="O172" s="295">
        <v>0</v>
      </c>
      <c r="P172" s="295">
        <v>0</v>
      </c>
      <c r="Q172" s="295">
        <v>0</v>
      </c>
      <c r="R172" s="295">
        <v>0</v>
      </c>
      <c r="S172" s="296">
        <v>0</v>
      </c>
      <c r="U172" s="298">
        <f t="shared" si="10"/>
        <v>0</v>
      </c>
      <c r="Z172" s="305">
        <v>0</v>
      </c>
      <c r="AB172" s="305">
        <f t="shared" si="11"/>
        <v>0</v>
      </c>
    </row>
    <row r="173" spans="3:29" ht="18" customHeight="1">
      <c r="C173" s="6">
        <v>1</v>
      </c>
      <c r="D173" s="300" t="s">
        <v>992</v>
      </c>
      <c r="E173" s="293" t="s">
        <v>998</v>
      </c>
      <c r="F173" s="294" t="s">
        <v>1428</v>
      </c>
      <c r="G173" s="293" t="s">
        <v>999</v>
      </c>
      <c r="H173" s="370">
        <v>-23149601</v>
      </c>
      <c r="I173" s="295">
        <v>0</v>
      </c>
      <c r="J173" s="295">
        <v>0</v>
      </c>
      <c r="K173" s="295">
        <v>0</v>
      </c>
      <c r="L173" s="296">
        <f t="shared" si="12"/>
        <v>-23149601</v>
      </c>
      <c r="N173" s="297">
        <v>0</v>
      </c>
      <c r="O173" s="295">
        <v>0</v>
      </c>
      <c r="P173" s="295">
        <v>0</v>
      </c>
      <c r="Q173" s="295">
        <v>0</v>
      </c>
      <c r="R173" s="295">
        <v>0</v>
      </c>
      <c r="S173" s="296">
        <v>0</v>
      </c>
      <c r="U173" s="298">
        <f t="shared" si="10"/>
        <v>-23149601</v>
      </c>
      <c r="Z173" s="305">
        <v>41371794</v>
      </c>
      <c r="AB173" s="305">
        <f t="shared" si="11"/>
        <v>-64521395</v>
      </c>
    </row>
    <row r="174" spans="3:29" ht="18" customHeight="1">
      <c r="C174" s="6">
        <v>1</v>
      </c>
      <c r="D174" s="292" t="s">
        <v>1000</v>
      </c>
      <c r="E174" s="293" t="s">
        <v>1000</v>
      </c>
      <c r="F174" s="294"/>
      <c r="G174" s="293" t="s">
        <v>1001</v>
      </c>
      <c r="H174" s="370">
        <v>0</v>
      </c>
      <c r="I174" s="295">
        <v>0</v>
      </c>
      <c r="J174" s="295">
        <v>0</v>
      </c>
      <c r="K174" s="295">
        <v>0</v>
      </c>
      <c r="L174" s="296">
        <f t="shared" si="12"/>
        <v>0</v>
      </c>
      <c r="N174" s="297">
        <v>0</v>
      </c>
      <c r="O174" s="295">
        <v>0</v>
      </c>
      <c r="P174" s="295">
        <v>0</v>
      </c>
      <c r="Q174" s="295">
        <v>0</v>
      </c>
      <c r="R174" s="295">
        <v>0</v>
      </c>
      <c r="S174" s="296">
        <v>0</v>
      </c>
      <c r="U174" s="298">
        <f t="shared" si="10"/>
        <v>0</v>
      </c>
      <c r="Z174" s="305">
        <v>0</v>
      </c>
      <c r="AB174" s="305">
        <f t="shared" si="11"/>
        <v>0</v>
      </c>
    </row>
    <row r="175" spans="3:29" ht="18" customHeight="1">
      <c r="C175" s="6">
        <v>1</v>
      </c>
      <c r="D175" s="285" t="s">
        <v>1002</v>
      </c>
      <c r="E175" s="286" t="s">
        <v>1002</v>
      </c>
      <c r="F175" s="287"/>
      <c r="G175" s="286" t="s">
        <v>1003</v>
      </c>
      <c r="H175" s="288">
        <f>SUM(H176:H180)</f>
        <v>112658595</v>
      </c>
      <c r="I175" s="288">
        <f>SUM(I176:I180)</f>
        <v>-4724551</v>
      </c>
      <c r="J175" s="288">
        <f>SUM(J176:J180)</f>
        <v>-2372392</v>
      </c>
      <c r="K175" s="288">
        <f>SUM(K176:K180)</f>
        <v>69402905</v>
      </c>
      <c r="L175" s="289">
        <f>SUM(L176:L180)</f>
        <v>174964557</v>
      </c>
      <c r="N175" s="290">
        <v>0</v>
      </c>
      <c r="O175" s="288">
        <v>0</v>
      </c>
      <c r="P175" s="288">
        <v>-141771.84849999845</v>
      </c>
      <c r="Q175" s="288">
        <v>0</v>
      </c>
      <c r="R175" s="288">
        <v>0</v>
      </c>
      <c r="S175" s="289">
        <v>-141771.84849999845</v>
      </c>
      <c r="U175" s="291">
        <f>SUM(U176:U180)</f>
        <v>174822785</v>
      </c>
      <c r="V175" s="6" t="b">
        <f>U175=SUM(U176:U180)</f>
        <v>1</v>
      </c>
      <c r="Z175" s="291">
        <v>57884132</v>
      </c>
      <c r="AA175" s="6" t="b">
        <f>Z175=SUM(Z176:Z180)</f>
        <v>1</v>
      </c>
      <c r="AB175" s="291">
        <f t="shared" si="11"/>
        <v>116938653</v>
      </c>
      <c r="AC175" s="6" t="b">
        <f>AB175=SUM(AB176:AB180)</f>
        <v>1</v>
      </c>
    </row>
    <row r="176" spans="3:29" ht="18" customHeight="1">
      <c r="C176" s="6">
        <v>1</v>
      </c>
      <c r="D176" s="292" t="s">
        <v>1004</v>
      </c>
      <c r="E176" s="293" t="s">
        <v>1004</v>
      </c>
      <c r="F176" s="294"/>
      <c r="G176" s="293" t="s">
        <v>1005</v>
      </c>
      <c r="H176" s="370">
        <v>0</v>
      </c>
      <c r="I176" s="295">
        <v>0</v>
      </c>
      <c r="J176" s="295">
        <v>0</v>
      </c>
      <c r="K176" s="299">
        <v>0</v>
      </c>
      <c r="L176" s="296">
        <f>SUM(H176:K176)</f>
        <v>0</v>
      </c>
      <c r="N176" s="297">
        <v>0</v>
      </c>
      <c r="O176" s="295">
        <v>0</v>
      </c>
      <c r="P176" s="295">
        <v>0</v>
      </c>
      <c r="Q176" s="295">
        <v>0</v>
      </c>
      <c r="R176" s="295">
        <v>0</v>
      </c>
      <c r="S176" s="296">
        <v>0</v>
      </c>
      <c r="U176" s="298">
        <f>ROUND(S176+L176,0)</f>
        <v>0</v>
      </c>
      <c r="Z176" s="305">
        <v>0</v>
      </c>
      <c r="AB176" s="305">
        <f t="shared" si="11"/>
        <v>0</v>
      </c>
    </row>
    <row r="177" spans="3:29" ht="18" customHeight="1">
      <c r="C177" s="6">
        <v>1</v>
      </c>
      <c r="D177" s="292" t="s">
        <v>1006</v>
      </c>
      <c r="E177" s="293" t="s">
        <v>1006</v>
      </c>
      <c r="F177" s="294" t="s">
        <v>1007</v>
      </c>
      <c r="G177" s="293" t="s">
        <v>1007</v>
      </c>
      <c r="H177" s="370">
        <v>507654012</v>
      </c>
      <c r="I177" s="370">
        <v>742854</v>
      </c>
      <c r="J177" s="295">
        <v>50425</v>
      </c>
      <c r="K177" s="295">
        <v>48917</v>
      </c>
      <c r="L177" s="296">
        <f>SUM(H177:K177)</f>
        <v>508496208</v>
      </c>
      <c r="N177" s="297">
        <v>0</v>
      </c>
      <c r="O177" s="295">
        <v>0</v>
      </c>
      <c r="P177" s="295">
        <v>-15768802</v>
      </c>
      <c r="Q177" s="295">
        <v>0</v>
      </c>
      <c r="R177" s="295">
        <v>0</v>
      </c>
      <c r="S177" s="296">
        <v>-15768802</v>
      </c>
      <c r="U177" s="298">
        <f>ROUND(S177+L177,0)</f>
        <v>492727406</v>
      </c>
      <c r="Z177" s="305">
        <v>299624780</v>
      </c>
      <c r="AB177" s="305">
        <f t="shared" si="11"/>
        <v>193102626</v>
      </c>
    </row>
    <row r="178" spans="3:29" ht="18" customHeight="1">
      <c r="C178" s="6">
        <v>1</v>
      </c>
      <c r="D178" s="292" t="s">
        <v>1008</v>
      </c>
      <c r="E178" s="293" t="s">
        <v>1008</v>
      </c>
      <c r="F178" s="294" t="s">
        <v>1009</v>
      </c>
      <c r="G178" s="293" t="s">
        <v>1009</v>
      </c>
      <c r="H178" s="370">
        <v>-242754091</v>
      </c>
      <c r="I178" s="370">
        <v>-5351425</v>
      </c>
      <c r="J178" s="295">
        <v>-1210083</v>
      </c>
      <c r="K178" s="299">
        <v>-67223629</v>
      </c>
      <c r="L178" s="296">
        <f>SUM(H178:K178)</f>
        <v>-316539228</v>
      </c>
      <c r="N178" s="297">
        <v>0</v>
      </c>
      <c r="O178" s="295">
        <v>0</v>
      </c>
      <c r="P178" s="295">
        <v>15627030.151500002</v>
      </c>
      <c r="Q178" s="295">
        <v>0</v>
      </c>
      <c r="R178" s="295">
        <v>0</v>
      </c>
      <c r="S178" s="296">
        <v>15627030.151500002</v>
      </c>
      <c r="U178" s="298">
        <f>ROUND(S178+L178,0)</f>
        <v>-300912198</v>
      </c>
      <c r="X178" s="7"/>
      <c r="Z178" s="305">
        <v>-254634746</v>
      </c>
      <c r="AB178" s="305">
        <f t="shared" si="11"/>
        <v>-46277452</v>
      </c>
      <c r="AC178" s="447" t="b">
        <f>-AB178-1=T_IS!X90-T_IS!AT90</f>
        <v>0</v>
      </c>
    </row>
    <row r="179" spans="3:29" ht="18" customHeight="1">
      <c r="C179" s="6">
        <v>1</v>
      </c>
      <c r="D179" s="292" t="s">
        <v>1010</v>
      </c>
      <c r="E179" s="293" t="s">
        <v>1010</v>
      </c>
      <c r="F179" s="294" t="s">
        <v>1011</v>
      </c>
      <c r="G179" s="293" t="s">
        <v>1011</v>
      </c>
      <c r="H179" s="370">
        <v>0</v>
      </c>
      <c r="I179" s="370">
        <v>-115980</v>
      </c>
      <c r="J179" s="295">
        <v>-1212734</v>
      </c>
      <c r="K179" s="299">
        <v>0</v>
      </c>
      <c r="L179" s="296">
        <f>SUM(H179:K179)</f>
        <v>-1328714</v>
      </c>
      <c r="N179" s="297">
        <v>0</v>
      </c>
      <c r="O179" s="295">
        <v>0</v>
      </c>
      <c r="P179" s="295">
        <v>0</v>
      </c>
      <c r="Q179" s="295">
        <v>0</v>
      </c>
      <c r="R179" s="295">
        <v>115980</v>
      </c>
      <c r="S179" s="296">
        <v>115980</v>
      </c>
      <c r="U179" s="298">
        <f>IF(ROUND(SUM(S179:S180,L179:L180),)&lt;0,ROUND(SUM(S179:S180,L179:L180),),0)</f>
        <v>-16992423</v>
      </c>
      <c r="Y179" s="7"/>
      <c r="Z179" s="305"/>
      <c r="AB179" s="305">
        <f>U179-Z180</f>
        <v>-29886521</v>
      </c>
    </row>
    <row r="180" spans="3:29" ht="18" customHeight="1">
      <c r="C180" s="6">
        <v>1</v>
      </c>
      <c r="D180" s="292" t="s">
        <v>1012</v>
      </c>
      <c r="E180" s="293" t="s">
        <v>1012</v>
      </c>
      <c r="F180" s="294" t="s">
        <v>1011</v>
      </c>
      <c r="G180" s="293" t="s">
        <v>1013</v>
      </c>
      <c r="H180" s="370">
        <v>-152241326</v>
      </c>
      <c r="I180" s="295">
        <v>0</v>
      </c>
      <c r="J180" s="295">
        <v>0</v>
      </c>
      <c r="K180" s="299">
        <v>136577617</v>
      </c>
      <c r="L180" s="296">
        <f>SUM(H180:K180)</f>
        <v>-15663709</v>
      </c>
      <c r="N180" s="297">
        <v>0</v>
      </c>
      <c r="O180" s="295">
        <v>0</v>
      </c>
      <c r="P180" s="295">
        <v>0</v>
      </c>
      <c r="Q180" s="295">
        <v>0</v>
      </c>
      <c r="R180" s="295">
        <v>-115980</v>
      </c>
      <c r="S180" s="296">
        <v>-115980</v>
      </c>
      <c r="U180" s="298">
        <f>IF(ROUND(SUM(S179:S180,L179:L180),)&gt;0,ROUND(SUM(S179:S180,L179:L180),),0)</f>
        <v>0</v>
      </c>
      <c r="Z180" s="305">
        <v>12894098</v>
      </c>
      <c r="AB180" s="305"/>
    </row>
    <row r="181" spans="3:29" ht="18" customHeight="1">
      <c r="C181" s="6">
        <v>1</v>
      </c>
      <c r="D181" s="285" t="s">
        <v>1014</v>
      </c>
      <c r="E181" s="286" t="s">
        <v>1014</v>
      </c>
      <c r="F181" s="287"/>
      <c r="G181" s="286" t="s">
        <v>1015</v>
      </c>
      <c r="H181" s="288">
        <f>H182+H241</f>
        <v>-36751715499</v>
      </c>
      <c r="I181" s="288">
        <f>I182+I241</f>
        <v>-143595455</v>
      </c>
      <c r="J181" s="288">
        <f>J182+J241</f>
        <v>0</v>
      </c>
      <c r="K181" s="288">
        <f>K182+K241</f>
        <v>-970190638</v>
      </c>
      <c r="L181" s="289">
        <f>L182+L241</f>
        <v>-37865501592</v>
      </c>
      <c r="N181" s="290">
        <v>20206929</v>
      </c>
      <c r="O181" s="288">
        <v>0</v>
      </c>
      <c r="P181" s="288">
        <v>972870000</v>
      </c>
      <c r="Q181" s="288">
        <v>0</v>
      </c>
      <c r="R181" s="288">
        <v>20000000</v>
      </c>
      <c r="S181" s="289">
        <v>1013076929</v>
      </c>
      <c r="U181" s="291">
        <f>U182+U241</f>
        <v>-36852424663</v>
      </c>
      <c r="V181" s="6" t="b">
        <f>U181=U182+U241</f>
        <v>1</v>
      </c>
      <c r="Z181" s="291">
        <v>-25355440093</v>
      </c>
      <c r="AA181" s="6" t="b">
        <f>Z181=Z182+Z241</f>
        <v>1</v>
      </c>
      <c r="AB181" s="291">
        <f t="shared" si="11"/>
        <v>-11496984570</v>
      </c>
      <c r="AC181" s="6" t="b">
        <f>AB181=AB182+AB241</f>
        <v>1</v>
      </c>
    </row>
    <row r="182" spans="3:29" ht="18" customHeight="1">
      <c r="C182" s="6">
        <v>1</v>
      </c>
      <c r="D182" s="285" t="s">
        <v>1016</v>
      </c>
      <c r="E182" s="286" t="s">
        <v>1016</v>
      </c>
      <c r="F182" s="287"/>
      <c r="G182" s="286" t="s">
        <v>1017</v>
      </c>
      <c r="H182" s="288">
        <f>SUM(H183:H240)</f>
        <v>534380000</v>
      </c>
      <c r="I182" s="288">
        <f>SUM(I183:I240)</f>
        <v>20000000</v>
      </c>
      <c r="J182" s="288">
        <f>SUM(J183:J240)</f>
        <v>0</v>
      </c>
      <c r="K182" s="288">
        <f>SUM(K183:K240)</f>
        <v>0</v>
      </c>
      <c r="L182" s="289">
        <f>SUM(L183:L240)</f>
        <v>554380000</v>
      </c>
      <c r="N182" s="290">
        <v>0</v>
      </c>
      <c r="O182" s="288">
        <v>0</v>
      </c>
      <c r="P182" s="288">
        <v>-527130000</v>
      </c>
      <c r="Q182" s="288">
        <v>0</v>
      </c>
      <c r="R182" s="288">
        <v>0</v>
      </c>
      <c r="S182" s="289">
        <v>-527130000</v>
      </c>
      <c r="U182" s="291">
        <f>SUM(U183:U240)</f>
        <v>27250000</v>
      </c>
      <c r="V182" s="6" t="b">
        <f>U182=SUM(U183:U240)</f>
        <v>1</v>
      </c>
      <c r="Z182" s="291">
        <v>27250000</v>
      </c>
      <c r="AA182" s="6" t="b">
        <f>Z182=SUM(Z183:Z240)</f>
        <v>1</v>
      </c>
      <c r="AB182" s="291">
        <f t="shared" si="11"/>
        <v>0</v>
      </c>
      <c r="AC182" s="6" t="b">
        <f>AB182=SUM(AB183:AB240)</f>
        <v>1</v>
      </c>
    </row>
    <row r="183" spans="3:29" ht="18" customHeight="1">
      <c r="C183" s="6">
        <v>1</v>
      </c>
      <c r="D183" s="292" t="s">
        <v>1018</v>
      </c>
      <c r="E183" s="293" t="s">
        <v>1018</v>
      </c>
      <c r="F183" s="294" t="s">
        <v>1432</v>
      </c>
      <c r="G183" s="293" t="s">
        <v>1019</v>
      </c>
      <c r="H183" s="370">
        <v>527130000</v>
      </c>
      <c r="I183" s="295">
        <v>0</v>
      </c>
      <c r="J183" s="295">
        <v>0</v>
      </c>
      <c r="K183" s="295">
        <v>0</v>
      </c>
      <c r="L183" s="296">
        <f t="shared" ref="L183:L214" si="13">SUM(H183:K183)</f>
        <v>527130000</v>
      </c>
      <c r="N183" s="297">
        <v>0</v>
      </c>
      <c r="O183" s="295">
        <v>0</v>
      </c>
      <c r="P183" s="295">
        <v>-527130000</v>
      </c>
      <c r="Q183" s="295">
        <v>0</v>
      </c>
      <c r="R183" s="295">
        <v>0</v>
      </c>
      <c r="S183" s="296">
        <v>-527130000</v>
      </c>
      <c r="U183" s="298">
        <f t="shared" ref="U183:U240" si="14">ROUND(S183+L183,0)</f>
        <v>0</v>
      </c>
      <c r="Z183" s="305">
        <v>0</v>
      </c>
      <c r="AB183" s="305">
        <f t="shared" si="11"/>
        <v>0</v>
      </c>
    </row>
    <row r="184" spans="3:29" ht="18" customHeight="1">
      <c r="C184" s="6">
        <v>1</v>
      </c>
      <c r="D184" s="292" t="s">
        <v>1020</v>
      </c>
      <c r="E184" s="293" t="s">
        <v>1020</v>
      </c>
      <c r="F184" s="294" t="s">
        <v>1433</v>
      </c>
      <c r="G184" s="293" t="s">
        <v>1021</v>
      </c>
      <c r="H184" s="370">
        <v>0</v>
      </c>
      <c r="I184" s="295">
        <v>0</v>
      </c>
      <c r="J184" s="295">
        <v>0</v>
      </c>
      <c r="K184" s="295">
        <v>0</v>
      </c>
      <c r="L184" s="296">
        <f t="shared" si="13"/>
        <v>0</v>
      </c>
      <c r="N184" s="297">
        <v>0</v>
      </c>
      <c r="O184" s="295">
        <v>0</v>
      </c>
      <c r="P184" s="295">
        <v>0</v>
      </c>
      <c r="Q184" s="295">
        <v>0</v>
      </c>
      <c r="R184" s="295">
        <v>0</v>
      </c>
      <c r="S184" s="296">
        <v>0</v>
      </c>
      <c r="U184" s="298">
        <f t="shared" si="14"/>
        <v>0</v>
      </c>
      <c r="Z184" s="305">
        <v>0</v>
      </c>
      <c r="AB184" s="305">
        <f t="shared" si="11"/>
        <v>0</v>
      </c>
    </row>
    <row r="185" spans="3:29" ht="18" customHeight="1">
      <c r="C185" s="6">
        <v>1</v>
      </c>
      <c r="D185" s="292" t="s">
        <v>1022</v>
      </c>
      <c r="E185" s="293" t="s">
        <v>1022</v>
      </c>
      <c r="F185" s="294"/>
      <c r="G185" s="293" t="s">
        <v>1023</v>
      </c>
      <c r="H185" s="370">
        <v>0</v>
      </c>
      <c r="I185" s="295">
        <v>0</v>
      </c>
      <c r="J185" s="295">
        <v>0</v>
      </c>
      <c r="K185" s="295">
        <v>0</v>
      </c>
      <c r="L185" s="296">
        <f t="shared" si="13"/>
        <v>0</v>
      </c>
      <c r="N185" s="297">
        <v>0</v>
      </c>
      <c r="O185" s="295">
        <v>0</v>
      </c>
      <c r="P185" s="295">
        <v>0</v>
      </c>
      <c r="Q185" s="295">
        <v>0</v>
      </c>
      <c r="R185" s="295">
        <v>0</v>
      </c>
      <c r="S185" s="296">
        <v>0</v>
      </c>
      <c r="U185" s="298">
        <f t="shared" si="14"/>
        <v>0</v>
      </c>
      <c r="Z185" s="305">
        <v>0</v>
      </c>
      <c r="AB185" s="305">
        <f t="shared" si="11"/>
        <v>0</v>
      </c>
    </row>
    <row r="186" spans="3:29" ht="18" customHeight="1">
      <c r="C186" s="6">
        <v>1</v>
      </c>
      <c r="D186" s="292" t="s">
        <v>1024</v>
      </c>
      <c r="E186" s="293" t="s">
        <v>1024</v>
      </c>
      <c r="F186" s="294"/>
      <c r="G186" s="293" t="s">
        <v>1025</v>
      </c>
      <c r="H186" s="370">
        <v>0</v>
      </c>
      <c r="I186" s="295">
        <v>0</v>
      </c>
      <c r="J186" s="295">
        <v>0</v>
      </c>
      <c r="K186" s="295">
        <v>0</v>
      </c>
      <c r="L186" s="296">
        <f t="shared" si="13"/>
        <v>0</v>
      </c>
      <c r="N186" s="297">
        <v>0</v>
      </c>
      <c r="O186" s="295">
        <v>0</v>
      </c>
      <c r="P186" s="295">
        <v>0</v>
      </c>
      <c r="Q186" s="295">
        <v>0</v>
      </c>
      <c r="R186" s="295">
        <v>0</v>
      </c>
      <c r="S186" s="296">
        <v>0</v>
      </c>
      <c r="U186" s="298">
        <f t="shared" si="14"/>
        <v>0</v>
      </c>
      <c r="Z186" s="305">
        <v>0</v>
      </c>
      <c r="AB186" s="305">
        <f t="shared" si="11"/>
        <v>0</v>
      </c>
    </row>
    <row r="187" spans="3:29" ht="18" customHeight="1">
      <c r="C187" s="6">
        <v>1</v>
      </c>
      <c r="D187" s="292" t="s">
        <v>1026</v>
      </c>
      <c r="E187" s="293" t="s">
        <v>1026</v>
      </c>
      <c r="F187" s="294"/>
      <c r="G187" s="293" t="s">
        <v>1027</v>
      </c>
      <c r="H187" s="370">
        <v>0</v>
      </c>
      <c r="I187" s="295">
        <v>0</v>
      </c>
      <c r="J187" s="295">
        <v>0</v>
      </c>
      <c r="K187" s="295">
        <v>0</v>
      </c>
      <c r="L187" s="296">
        <f t="shared" si="13"/>
        <v>0</v>
      </c>
      <c r="N187" s="297">
        <v>0</v>
      </c>
      <c r="O187" s="295">
        <v>0</v>
      </c>
      <c r="P187" s="295">
        <v>0</v>
      </c>
      <c r="Q187" s="295">
        <v>0</v>
      </c>
      <c r="R187" s="295">
        <v>0</v>
      </c>
      <c r="S187" s="296">
        <v>0</v>
      </c>
      <c r="U187" s="298">
        <f t="shared" si="14"/>
        <v>0</v>
      </c>
      <c r="Z187" s="305">
        <v>0</v>
      </c>
      <c r="AB187" s="305">
        <f t="shared" si="11"/>
        <v>0</v>
      </c>
    </row>
    <row r="188" spans="3:29" ht="18" customHeight="1">
      <c r="C188" s="6">
        <v>1</v>
      </c>
      <c r="D188" s="292" t="s">
        <v>1028</v>
      </c>
      <c r="E188" s="293" t="s">
        <v>1028</v>
      </c>
      <c r="F188" s="294"/>
      <c r="G188" s="293" t="s">
        <v>1029</v>
      </c>
      <c r="H188" s="370">
        <v>0</v>
      </c>
      <c r="I188" s="295">
        <v>0</v>
      </c>
      <c r="J188" s="295">
        <v>0</v>
      </c>
      <c r="K188" s="295">
        <v>0</v>
      </c>
      <c r="L188" s="296">
        <f t="shared" si="13"/>
        <v>0</v>
      </c>
      <c r="N188" s="297">
        <v>0</v>
      </c>
      <c r="O188" s="295">
        <v>0</v>
      </c>
      <c r="P188" s="295">
        <v>0</v>
      </c>
      <c r="Q188" s="295">
        <v>0</v>
      </c>
      <c r="R188" s="295">
        <v>0</v>
      </c>
      <c r="S188" s="296">
        <v>0</v>
      </c>
      <c r="U188" s="298">
        <f t="shared" si="14"/>
        <v>0</v>
      </c>
      <c r="Z188" s="305">
        <v>0</v>
      </c>
      <c r="AB188" s="305">
        <f t="shared" si="11"/>
        <v>0</v>
      </c>
    </row>
    <row r="189" spans="3:29" ht="18" customHeight="1">
      <c r="C189" s="6">
        <v>1</v>
      </c>
      <c r="D189" s="292" t="s">
        <v>1030</v>
      </c>
      <c r="E189" s="293" t="s">
        <v>1030</v>
      </c>
      <c r="F189" s="294"/>
      <c r="G189" s="293" t="s">
        <v>1031</v>
      </c>
      <c r="H189" s="370">
        <v>0</v>
      </c>
      <c r="I189" s="295">
        <v>0</v>
      </c>
      <c r="J189" s="295">
        <v>0</v>
      </c>
      <c r="K189" s="295">
        <v>0</v>
      </c>
      <c r="L189" s="296">
        <f t="shared" si="13"/>
        <v>0</v>
      </c>
      <c r="N189" s="297">
        <v>0</v>
      </c>
      <c r="O189" s="295">
        <v>0</v>
      </c>
      <c r="P189" s="295">
        <v>0</v>
      </c>
      <c r="Q189" s="295">
        <v>0</v>
      </c>
      <c r="R189" s="295">
        <v>0</v>
      </c>
      <c r="S189" s="296">
        <v>0</v>
      </c>
      <c r="U189" s="298">
        <f t="shared" si="14"/>
        <v>0</v>
      </c>
      <c r="Z189" s="305">
        <v>0</v>
      </c>
      <c r="AB189" s="305">
        <f t="shared" si="11"/>
        <v>0</v>
      </c>
    </row>
    <row r="190" spans="3:29" ht="18" customHeight="1">
      <c r="C190" s="6">
        <v>1</v>
      </c>
      <c r="D190" s="292" t="s">
        <v>1032</v>
      </c>
      <c r="E190" s="293" t="s">
        <v>1374</v>
      </c>
      <c r="F190" s="294" t="s">
        <v>1373</v>
      </c>
      <c r="G190" s="293" t="s">
        <v>1373</v>
      </c>
      <c r="H190" s="370">
        <v>0</v>
      </c>
      <c r="I190" s="295">
        <v>20000000</v>
      </c>
      <c r="J190" s="295">
        <v>0</v>
      </c>
      <c r="K190" s="295">
        <v>0</v>
      </c>
      <c r="L190" s="296">
        <f t="shared" si="13"/>
        <v>20000000</v>
      </c>
      <c r="N190" s="297">
        <v>0</v>
      </c>
      <c r="O190" s="295">
        <v>0</v>
      </c>
      <c r="P190" s="295">
        <v>0</v>
      </c>
      <c r="Q190" s="295">
        <v>0</v>
      </c>
      <c r="R190" s="295">
        <v>0</v>
      </c>
      <c r="S190" s="296">
        <v>0</v>
      </c>
      <c r="U190" s="298">
        <f t="shared" si="14"/>
        <v>20000000</v>
      </c>
      <c r="Z190" s="305">
        <v>20000000</v>
      </c>
      <c r="AB190" s="305">
        <f t="shared" si="11"/>
        <v>0</v>
      </c>
    </row>
    <row r="191" spans="3:29" ht="18" customHeight="1">
      <c r="C191" s="6">
        <v>1</v>
      </c>
      <c r="D191" s="292" t="s">
        <v>1032</v>
      </c>
      <c r="E191" s="293" t="s">
        <v>1375</v>
      </c>
      <c r="F191" s="294" t="s">
        <v>1376</v>
      </c>
      <c r="G191" s="293" t="s">
        <v>1376</v>
      </c>
      <c r="H191" s="370">
        <v>0</v>
      </c>
      <c r="I191" s="295">
        <v>0</v>
      </c>
      <c r="J191" s="295">
        <v>0</v>
      </c>
      <c r="K191" s="295">
        <v>0</v>
      </c>
      <c r="L191" s="296">
        <f t="shared" si="13"/>
        <v>0</v>
      </c>
      <c r="N191" s="297">
        <v>0</v>
      </c>
      <c r="O191" s="295">
        <v>0</v>
      </c>
      <c r="P191" s="295">
        <v>0</v>
      </c>
      <c r="Q191" s="295">
        <v>0</v>
      </c>
      <c r="R191" s="295">
        <v>0</v>
      </c>
      <c r="S191" s="296">
        <v>0</v>
      </c>
      <c r="U191" s="298">
        <f t="shared" si="14"/>
        <v>0</v>
      </c>
      <c r="Z191" s="305"/>
      <c r="AB191" s="305">
        <f t="shared" si="11"/>
        <v>0</v>
      </c>
    </row>
    <row r="192" spans="3:29" ht="18" customHeight="1">
      <c r="C192" s="6">
        <v>1</v>
      </c>
      <c r="D192" s="292" t="s">
        <v>1034</v>
      </c>
      <c r="E192" s="293" t="s">
        <v>1034</v>
      </c>
      <c r="F192" s="294"/>
      <c r="G192" s="293" t="s">
        <v>1035</v>
      </c>
      <c r="H192" s="370">
        <v>0</v>
      </c>
      <c r="I192" s="295">
        <v>0</v>
      </c>
      <c r="J192" s="295">
        <v>0</v>
      </c>
      <c r="K192" s="295">
        <v>0</v>
      </c>
      <c r="L192" s="296">
        <f t="shared" si="13"/>
        <v>0</v>
      </c>
      <c r="N192" s="297">
        <v>0</v>
      </c>
      <c r="O192" s="295">
        <v>0</v>
      </c>
      <c r="P192" s="295">
        <v>0</v>
      </c>
      <c r="Q192" s="295">
        <v>0</v>
      </c>
      <c r="R192" s="295">
        <v>0</v>
      </c>
      <c r="S192" s="296">
        <v>0</v>
      </c>
      <c r="U192" s="298">
        <f t="shared" si="14"/>
        <v>0</v>
      </c>
      <c r="Z192" s="305">
        <v>0</v>
      </c>
      <c r="AB192" s="305">
        <f t="shared" si="11"/>
        <v>0</v>
      </c>
    </row>
    <row r="193" spans="3:28" ht="18" customHeight="1">
      <c r="C193" s="6">
        <v>1</v>
      </c>
      <c r="D193" s="292" t="s">
        <v>1036</v>
      </c>
      <c r="E193" s="293" t="s">
        <v>1036</v>
      </c>
      <c r="F193" s="294"/>
      <c r="G193" s="293" t="s">
        <v>1037</v>
      </c>
      <c r="H193" s="370">
        <v>0</v>
      </c>
      <c r="I193" s="295">
        <v>0</v>
      </c>
      <c r="J193" s="295">
        <v>0</v>
      </c>
      <c r="K193" s="295">
        <v>0</v>
      </c>
      <c r="L193" s="296">
        <f t="shared" si="13"/>
        <v>0</v>
      </c>
      <c r="N193" s="297">
        <v>0</v>
      </c>
      <c r="O193" s="295">
        <v>0</v>
      </c>
      <c r="P193" s="295">
        <v>0</v>
      </c>
      <c r="Q193" s="295">
        <v>0</v>
      </c>
      <c r="R193" s="295">
        <v>0</v>
      </c>
      <c r="S193" s="296">
        <v>0</v>
      </c>
      <c r="U193" s="298">
        <f t="shared" si="14"/>
        <v>0</v>
      </c>
      <c r="Z193" s="305">
        <v>0</v>
      </c>
      <c r="AB193" s="305">
        <f t="shared" si="11"/>
        <v>0</v>
      </c>
    </row>
    <row r="194" spans="3:28" ht="18" customHeight="1">
      <c r="C194" s="6">
        <v>1</v>
      </c>
      <c r="D194" s="292" t="s">
        <v>1038</v>
      </c>
      <c r="E194" s="293" t="s">
        <v>1038</v>
      </c>
      <c r="F194" s="294"/>
      <c r="G194" s="293" t="s">
        <v>1039</v>
      </c>
      <c r="H194" s="370">
        <v>0</v>
      </c>
      <c r="I194" s="295">
        <v>0</v>
      </c>
      <c r="J194" s="295">
        <v>0</v>
      </c>
      <c r="K194" s="295">
        <v>0</v>
      </c>
      <c r="L194" s="296">
        <f t="shared" si="13"/>
        <v>0</v>
      </c>
      <c r="N194" s="297">
        <v>0</v>
      </c>
      <c r="O194" s="295">
        <v>0</v>
      </c>
      <c r="P194" s="295">
        <v>0</v>
      </c>
      <c r="Q194" s="295">
        <v>0</v>
      </c>
      <c r="R194" s="295">
        <v>0</v>
      </c>
      <c r="S194" s="296">
        <v>0</v>
      </c>
      <c r="U194" s="298">
        <f t="shared" si="14"/>
        <v>0</v>
      </c>
      <c r="Z194" s="305">
        <v>0</v>
      </c>
      <c r="AB194" s="305">
        <f t="shared" si="11"/>
        <v>0</v>
      </c>
    </row>
    <row r="195" spans="3:28" ht="18" customHeight="1">
      <c r="C195" s="6">
        <v>1</v>
      </c>
      <c r="D195" s="292" t="s">
        <v>1040</v>
      </c>
      <c r="E195" s="293" t="s">
        <v>1040</v>
      </c>
      <c r="F195" s="294"/>
      <c r="G195" s="293" t="s">
        <v>1041</v>
      </c>
      <c r="H195" s="370">
        <v>0</v>
      </c>
      <c r="I195" s="295">
        <v>0</v>
      </c>
      <c r="J195" s="295">
        <v>0</v>
      </c>
      <c r="K195" s="295">
        <v>0</v>
      </c>
      <c r="L195" s="296">
        <f t="shared" si="13"/>
        <v>0</v>
      </c>
      <c r="N195" s="297">
        <v>0</v>
      </c>
      <c r="O195" s="295">
        <v>0</v>
      </c>
      <c r="P195" s="295">
        <v>0</v>
      </c>
      <c r="Q195" s="295">
        <v>0</v>
      </c>
      <c r="R195" s="295">
        <v>0</v>
      </c>
      <c r="S195" s="296">
        <v>0</v>
      </c>
      <c r="U195" s="298">
        <f t="shared" si="14"/>
        <v>0</v>
      </c>
      <c r="Z195" s="305">
        <v>0</v>
      </c>
      <c r="AB195" s="305">
        <f t="shared" si="11"/>
        <v>0</v>
      </c>
    </row>
    <row r="196" spans="3:28" ht="18" customHeight="1">
      <c r="C196" s="6">
        <v>1</v>
      </c>
      <c r="D196" s="292" t="s">
        <v>1042</v>
      </c>
      <c r="E196" s="293" t="s">
        <v>1042</v>
      </c>
      <c r="F196" s="294"/>
      <c r="G196" s="293" t="s">
        <v>1043</v>
      </c>
      <c r="H196" s="370">
        <v>0</v>
      </c>
      <c r="I196" s="295">
        <v>0</v>
      </c>
      <c r="J196" s="295">
        <v>0</v>
      </c>
      <c r="K196" s="295">
        <v>0</v>
      </c>
      <c r="L196" s="296">
        <f t="shared" si="13"/>
        <v>0</v>
      </c>
      <c r="N196" s="297">
        <v>0</v>
      </c>
      <c r="O196" s="295">
        <v>0</v>
      </c>
      <c r="P196" s="295">
        <v>0</v>
      </c>
      <c r="Q196" s="295">
        <v>0</v>
      </c>
      <c r="R196" s="295">
        <v>0</v>
      </c>
      <c r="S196" s="296">
        <v>0</v>
      </c>
      <c r="U196" s="298">
        <f t="shared" si="14"/>
        <v>0</v>
      </c>
      <c r="Z196" s="305">
        <v>0</v>
      </c>
      <c r="AB196" s="305">
        <f t="shared" si="11"/>
        <v>0</v>
      </c>
    </row>
    <row r="197" spans="3:28" ht="18" customHeight="1">
      <c r="C197" s="6">
        <v>1</v>
      </c>
      <c r="D197" s="292" t="s">
        <v>1044</v>
      </c>
      <c r="E197" s="293" t="s">
        <v>1044</v>
      </c>
      <c r="F197" s="294"/>
      <c r="G197" s="293" t="s">
        <v>1045</v>
      </c>
      <c r="H197" s="370">
        <v>0</v>
      </c>
      <c r="I197" s="295">
        <v>0</v>
      </c>
      <c r="J197" s="295">
        <v>0</v>
      </c>
      <c r="K197" s="295">
        <v>0</v>
      </c>
      <c r="L197" s="296">
        <f t="shared" si="13"/>
        <v>0</v>
      </c>
      <c r="N197" s="297">
        <v>0</v>
      </c>
      <c r="O197" s="295">
        <v>0</v>
      </c>
      <c r="P197" s="295">
        <v>0</v>
      </c>
      <c r="Q197" s="295">
        <v>0</v>
      </c>
      <c r="R197" s="295">
        <v>0</v>
      </c>
      <c r="S197" s="296">
        <v>0</v>
      </c>
      <c r="U197" s="298">
        <f t="shared" si="14"/>
        <v>0</v>
      </c>
      <c r="Z197" s="305">
        <v>0</v>
      </c>
      <c r="AB197" s="305">
        <f t="shared" si="11"/>
        <v>0</v>
      </c>
    </row>
    <row r="198" spans="3:28" ht="18" customHeight="1">
      <c r="C198" s="6">
        <v>1</v>
      </c>
      <c r="D198" s="292" t="s">
        <v>1046</v>
      </c>
      <c r="E198" s="293" t="s">
        <v>1046</v>
      </c>
      <c r="F198" s="294" t="s">
        <v>1729</v>
      </c>
      <c r="G198" s="293" t="s">
        <v>1047</v>
      </c>
      <c r="H198" s="370">
        <v>0</v>
      </c>
      <c r="I198" s="295">
        <v>0</v>
      </c>
      <c r="J198" s="295">
        <v>0</v>
      </c>
      <c r="K198" s="295">
        <v>0</v>
      </c>
      <c r="L198" s="296">
        <f t="shared" si="13"/>
        <v>0</v>
      </c>
      <c r="N198" s="297">
        <v>0</v>
      </c>
      <c r="O198" s="295">
        <v>0</v>
      </c>
      <c r="P198" s="295">
        <v>0</v>
      </c>
      <c r="Q198" s="295">
        <v>0</v>
      </c>
      <c r="R198" s="295">
        <v>0</v>
      </c>
      <c r="S198" s="296">
        <v>0</v>
      </c>
      <c r="U198" s="298">
        <f t="shared" si="14"/>
        <v>0</v>
      </c>
      <c r="Z198" s="305">
        <v>0</v>
      </c>
      <c r="AB198" s="305">
        <f t="shared" si="11"/>
        <v>0</v>
      </c>
    </row>
    <row r="199" spans="3:28" ht="18" customHeight="1">
      <c r="C199" s="6">
        <v>1</v>
      </c>
      <c r="D199" s="292" t="s">
        <v>1048</v>
      </c>
      <c r="E199" s="293" t="s">
        <v>1048</v>
      </c>
      <c r="F199" s="294" t="s">
        <v>1729</v>
      </c>
      <c r="G199" s="293" t="s">
        <v>1049</v>
      </c>
      <c r="H199" s="370">
        <v>0</v>
      </c>
      <c r="I199" s="295">
        <v>0</v>
      </c>
      <c r="J199" s="295">
        <v>0</v>
      </c>
      <c r="K199" s="295">
        <v>0</v>
      </c>
      <c r="L199" s="296">
        <f t="shared" si="13"/>
        <v>0</v>
      </c>
      <c r="N199" s="297">
        <v>0</v>
      </c>
      <c r="O199" s="295">
        <v>0</v>
      </c>
      <c r="P199" s="295">
        <v>0</v>
      </c>
      <c r="Q199" s="295">
        <v>0</v>
      </c>
      <c r="R199" s="295">
        <v>0</v>
      </c>
      <c r="S199" s="296">
        <v>0</v>
      </c>
      <c r="U199" s="298">
        <f t="shared" si="14"/>
        <v>0</v>
      </c>
      <c r="Z199" s="305">
        <v>0</v>
      </c>
      <c r="AB199" s="305">
        <f t="shared" si="11"/>
        <v>0</v>
      </c>
    </row>
    <row r="200" spans="3:28" ht="18" customHeight="1">
      <c r="C200" s="6">
        <v>1</v>
      </c>
      <c r="D200" s="292" t="s">
        <v>1050</v>
      </c>
      <c r="E200" s="293" t="s">
        <v>1050</v>
      </c>
      <c r="F200" s="294"/>
      <c r="G200" s="293" t="s">
        <v>1051</v>
      </c>
      <c r="H200" s="370">
        <v>0</v>
      </c>
      <c r="I200" s="295">
        <v>0</v>
      </c>
      <c r="J200" s="295">
        <v>0</v>
      </c>
      <c r="K200" s="295">
        <v>0</v>
      </c>
      <c r="L200" s="296">
        <f t="shared" si="13"/>
        <v>0</v>
      </c>
      <c r="N200" s="297">
        <v>0</v>
      </c>
      <c r="O200" s="295">
        <v>0</v>
      </c>
      <c r="P200" s="295">
        <v>0</v>
      </c>
      <c r="Q200" s="295">
        <v>0</v>
      </c>
      <c r="R200" s="295">
        <v>0</v>
      </c>
      <c r="S200" s="296">
        <v>0</v>
      </c>
      <c r="U200" s="298">
        <f t="shared" si="14"/>
        <v>0</v>
      </c>
      <c r="Z200" s="305">
        <v>0</v>
      </c>
      <c r="AB200" s="305">
        <f t="shared" ref="AB200:AB263" si="15">U200-Z200</f>
        <v>0</v>
      </c>
    </row>
    <row r="201" spans="3:28" ht="18" customHeight="1">
      <c r="C201" s="6">
        <v>1</v>
      </c>
      <c r="D201" s="292" t="s">
        <v>1052</v>
      </c>
      <c r="E201" s="293" t="s">
        <v>1052</v>
      </c>
      <c r="F201" s="294"/>
      <c r="G201" s="293" t="s">
        <v>1053</v>
      </c>
      <c r="H201" s="370">
        <v>0</v>
      </c>
      <c r="I201" s="295">
        <v>0</v>
      </c>
      <c r="J201" s="295">
        <v>0</v>
      </c>
      <c r="K201" s="295">
        <v>0</v>
      </c>
      <c r="L201" s="296">
        <f t="shared" si="13"/>
        <v>0</v>
      </c>
      <c r="N201" s="297">
        <v>0</v>
      </c>
      <c r="O201" s="295">
        <v>0</v>
      </c>
      <c r="P201" s="295">
        <v>0</v>
      </c>
      <c r="Q201" s="295">
        <v>0</v>
      </c>
      <c r="R201" s="295">
        <v>0</v>
      </c>
      <c r="S201" s="296">
        <v>0</v>
      </c>
      <c r="U201" s="298">
        <f t="shared" si="14"/>
        <v>0</v>
      </c>
      <c r="Z201" s="305">
        <v>0</v>
      </c>
      <c r="AB201" s="305">
        <f t="shared" si="15"/>
        <v>0</v>
      </c>
    </row>
    <row r="202" spans="3:28" ht="18" customHeight="1">
      <c r="C202" s="6">
        <v>1</v>
      </c>
      <c r="D202" s="292" t="s">
        <v>1054</v>
      </c>
      <c r="E202" s="293" t="s">
        <v>1054</v>
      </c>
      <c r="F202" s="294"/>
      <c r="G202" s="293" t="s">
        <v>1055</v>
      </c>
      <c r="H202" s="370">
        <v>0</v>
      </c>
      <c r="I202" s="295">
        <v>0</v>
      </c>
      <c r="J202" s="295">
        <v>0</v>
      </c>
      <c r="K202" s="295">
        <v>0</v>
      </c>
      <c r="L202" s="296">
        <f t="shared" si="13"/>
        <v>0</v>
      </c>
      <c r="N202" s="297">
        <v>0</v>
      </c>
      <c r="O202" s="295">
        <v>0</v>
      </c>
      <c r="P202" s="295">
        <v>0</v>
      </c>
      <c r="Q202" s="295">
        <v>0</v>
      </c>
      <c r="R202" s="295">
        <v>0</v>
      </c>
      <c r="S202" s="296">
        <v>0</v>
      </c>
      <c r="U202" s="298">
        <f t="shared" si="14"/>
        <v>0</v>
      </c>
      <c r="Z202" s="305">
        <v>0</v>
      </c>
      <c r="AB202" s="305">
        <f t="shared" si="15"/>
        <v>0</v>
      </c>
    </row>
    <row r="203" spans="3:28" ht="18" customHeight="1">
      <c r="C203" s="6">
        <v>1</v>
      </c>
      <c r="D203" s="292" t="s">
        <v>1056</v>
      </c>
      <c r="E203" s="293" t="s">
        <v>1056</v>
      </c>
      <c r="F203" s="294"/>
      <c r="G203" s="293" t="s">
        <v>1057</v>
      </c>
      <c r="H203" s="370">
        <v>0</v>
      </c>
      <c r="I203" s="295">
        <v>0</v>
      </c>
      <c r="J203" s="295">
        <v>0</v>
      </c>
      <c r="K203" s="295">
        <v>0</v>
      </c>
      <c r="L203" s="296">
        <f t="shared" si="13"/>
        <v>0</v>
      </c>
      <c r="N203" s="297">
        <v>0</v>
      </c>
      <c r="O203" s="295">
        <v>0</v>
      </c>
      <c r="P203" s="295">
        <v>0</v>
      </c>
      <c r="Q203" s="295">
        <v>0</v>
      </c>
      <c r="R203" s="295">
        <v>0</v>
      </c>
      <c r="S203" s="296">
        <v>0</v>
      </c>
      <c r="U203" s="298">
        <f t="shared" si="14"/>
        <v>0</v>
      </c>
      <c r="Z203" s="305">
        <v>0</v>
      </c>
      <c r="AB203" s="305">
        <f t="shared" si="15"/>
        <v>0</v>
      </c>
    </row>
    <row r="204" spans="3:28" ht="18" customHeight="1">
      <c r="C204" s="6">
        <v>1</v>
      </c>
      <c r="D204" s="292" t="s">
        <v>1058</v>
      </c>
      <c r="E204" s="293" t="s">
        <v>1058</v>
      </c>
      <c r="F204" s="294"/>
      <c r="G204" s="293" t="s">
        <v>1059</v>
      </c>
      <c r="H204" s="370">
        <v>0</v>
      </c>
      <c r="I204" s="295">
        <v>0</v>
      </c>
      <c r="J204" s="295">
        <v>0</v>
      </c>
      <c r="K204" s="295">
        <v>0</v>
      </c>
      <c r="L204" s="296">
        <f t="shared" si="13"/>
        <v>0</v>
      </c>
      <c r="N204" s="297">
        <v>0</v>
      </c>
      <c r="O204" s="295">
        <v>0</v>
      </c>
      <c r="P204" s="295">
        <v>0</v>
      </c>
      <c r="Q204" s="295">
        <v>0</v>
      </c>
      <c r="R204" s="295">
        <v>0</v>
      </c>
      <c r="S204" s="296">
        <v>0</v>
      </c>
      <c r="U204" s="298">
        <f t="shared" si="14"/>
        <v>0</v>
      </c>
      <c r="Z204" s="305">
        <v>0</v>
      </c>
      <c r="AB204" s="305">
        <f t="shared" si="15"/>
        <v>0</v>
      </c>
    </row>
    <row r="205" spans="3:28" ht="18" customHeight="1">
      <c r="C205" s="6">
        <v>1</v>
      </c>
      <c r="D205" s="292" t="s">
        <v>1060</v>
      </c>
      <c r="E205" s="293" t="s">
        <v>1060</v>
      </c>
      <c r="F205" s="294"/>
      <c r="G205" s="293" t="s">
        <v>1061</v>
      </c>
      <c r="H205" s="370">
        <v>0</v>
      </c>
      <c r="I205" s="295">
        <v>0</v>
      </c>
      <c r="J205" s="295">
        <v>0</v>
      </c>
      <c r="K205" s="295">
        <v>0</v>
      </c>
      <c r="L205" s="296">
        <f t="shared" si="13"/>
        <v>0</v>
      </c>
      <c r="N205" s="297">
        <v>0</v>
      </c>
      <c r="O205" s="295">
        <v>0</v>
      </c>
      <c r="P205" s="295">
        <v>0</v>
      </c>
      <c r="Q205" s="295">
        <v>0</v>
      </c>
      <c r="R205" s="295">
        <v>0</v>
      </c>
      <c r="S205" s="296">
        <v>0</v>
      </c>
      <c r="U205" s="298">
        <f t="shared" si="14"/>
        <v>0</v>
      </c>
      <c r="Z205" s="305">
        <v>0</v>
      </c>
      <c r="AB205" s="305">
        <f t="shared" si="15"/>
        <v>0</v>
      </c>
    </row>
    <row r="206" spans="3:28" ht="18" customHeight="1">
      <c r="C206" s="6">
        <v>1</v>
      </c>
      <c r="D206" s="292" t="s">
        <v>1062</v>
      </c>
      <c r="E206" s="293" t="s">
        <v>1062</v>
      </c>
      <c r="F206" s="294"/>
      <c r="G206" s="293" t="s">
        <v>1063</v>
      </c>
      <c r="H206" s="370">
        <v>0</v>
      </c>
      <c r="I206" s="295">
        <v>0</v>
      </c>
      <c r="J206" s="295">
        <v>0</v>
      </c>
      <c r="K206" s="295">
        <v>0</v>
      </c>
      <c r="L206" s="296">
        <f t="shared" si="13"/>
        <v>0</v>
      </c>
      <c r="N206" s="297">
        <v>0</v>
      </c>
      <c r="O206" s="295">
        <v>0</v>
      </c>
      <c r="P206" s="295">
        <v>0</v>
      </c>
      <c r="Q206" s="295">
        <v>0</v>
      </c>
      <c r="R206" s="295">
        <v>0</v>
      </c>
      <c r="S206" s="296">
        <v>0</v>
      </c>
      <c r="U206" s="298">
        <f t="shared" si="14"/>
        <v>0</v>
      </c>
      <c r="Z206" s="305">
        <v>0</v>
      </c>
      <c r="AB206" s="305">
        <f t="shared" si="15"/>
        <v>0</v>
      </c>
    </row>
    <row r="207" spans="3:28" ht="18" customHeight="1">
      <c r="C207" s="6">
        <v>1</v>
      </c>
      <c r="D207" s="292" t="s">
        <v>1064</v>
      </c>
      <c r="E207" s="293" t="s">
        <v>1064</v>
      </c>
      <c r="F207" s="294"/>
      <c r="G207" s="293" t="s">
        <v>1065</v>
      </c>
      <c r="H207" s="370">
        <v>0</v>
      </c>
      <c r="I207" s="295">
        <v>0</v>
      </c>
      <c r="J207" s="295">
        <v>0</v>
      </c>
      <c r="K207" s="295">
        <v>0</v>
      </c>
      <c r="L207" s="296">
        <f t="shared" si="13"/>
        <v>0</v>
      </c>
      <c r="N207" s="297">
        <v>0</v>
      </c>
      <c r="O207" s="295">
        <v>0</v>
      </c>
      <c r="P207" s="295">
        <v>0</v>
      </c>
      <c r="Q207" s="295">
        <v>0</v>
      </c>
      <c r="R207" s="295">
        <v>0</v>
      </c>
      <c r="S207" s="296">
        <v>0</v>
      </c>
      <c r="U207" s="298">
        <f t="shared" si="14"/>
        <v>0</v>
      </c>
      <c r="Z207" s="305">
        <v>0</v>
      </c>
      <c r="AB207" s="305">
        <f t="shared" si="15"/>
        <v>0</v>
      </c>
    </row>
    <row r="208" spans="3:28" ht="18" customHeight="1">
      <c r="C208" s="6">
        <v>1</v>
      </c>
      <c r="D208" s="292" t="s">
        <v>1066</v>
      </c>
      <c r="E208" s="293" t="s">
        <v>1066</v>
      </c>
      <c r="F208" s="294"/>
      <c r="G208" s="293" t="s">
        <v>1067</v>
      </c>
      <c r="H208" s="370">
        <v>0</v>
      </c>
      <c r="I208" s="295">
        <v>0</v>
      </c>
      <c r="J208" s="295">
        <v>0</v>
      </c>
      <c r="K208" s="295">
        <v>0</v>
      </c>
      <c r="L208" s="296">
        <f t="shared" si="13"/>
        <v>0</v>
      </c>
      <c r="N208" s="297">
        <v>0</v>
      </c>
      <c r="O208" s="295">
        <v>0</v>
      </c>
      <c r="P208" s="295">
        <v>0</v>
      </c>
      <c r="Q208" s="295">
        <v>0</v>
      </c>
      <c r="R208" s="295">
        <v>0</v>
      </c>
      <c r="S208" s="296">
        <v>0</v>
      </c>
      <c r="U208" s="298">
        <f t="shared" si="14"/>
        <v>0</v>
      </c>
      <c r="Z208" s="305">
        <v>0</v>
      </c>
      <c r="AB208" s="305">
        <f t="shared" si="15"/>
        <v>0</v>
      </c>
    </row>
    <row r="209" spans="3:28" ht="18" customHeight="1">
      <c r="C209" s="6">
        <v>1</v>
      </c>
      <c r="D209" s="292" t="s">
        <v>1068</v>
      </c>
      <c r="E209" s="293" t="s">
        <v>1068</v>
      </c>
      <c r="F209" s="294"/>
      <c r="G209" s="293" t="s">
        <v>1069</v>
      </c>
      <c r="H209" s="370">
        <v>0</v>
      </c>
      <c r="I209" s="295">
        <v>0</v>
      </c>
      <c r="J209" s="295">
        <v>0</v>
      </c>
      <c r="K209" s="295">
        <v>0</v>
      </c>
      <c r="L209" s="296">
        <f t="shared" si="13"/>
        <v>0</v>
      </c>
      <c r="N209" s="297">
        <v>0</v>
      </c>
      <c r="O209" s="295">
        <v>0</v>
      </c>
      <c r="P209" s="295">
        <v>0</v>
      </c>
      <c r="Q209" s="295">
        <v>0</v>
      </c>
      <c r="R209" s="295">
        <v>0</v>
      </c>
      <c r="S209" s="296">
        <v>0</v>
      </c>
      <c r="U209" s="298">
        <f t="shared" si="14"/>
        <v>0</v>
      </c>
      <c r="Z209" s="305">
        <v>0</v>
      </c>
      <c r="AB209" s="305">
        <f t="shared" si="15"/>
        <v>0</v>
      </c>
    </row>
    <row r="210" spans="3:28" ht="18" customHeight="1">
      <c r="C210" s="6">
        <v>1</v>
      </c>
      <c r="D210" s="292" t="s">
        <v>1070</v>
      </c>
      <c r="E210" s="293" t="s">
        <v>1070</v>
      </c>
      <c r="F210" s="294"/>
      <c r="G210" s="293" t="s">
        <v>1071</v>
      </c>
      <c r="H210" s="370">
        <v>0</v>
      </c>
      <c r="I210" s="295">
        <v>0</v>
      </c>
      <c r="J210" s="295">
        <v>0</v>
      </c>
      <c r="K210" s="295">
        <v>0</v>
      </c>
      <c r="L210" s="296">
        <f t="shared" si="13"/>
        <v>0</v>
      </c>
      <c r="N210" s="297">
        <v>0</v>
      </c>
      <c r="O210" s="295">
        <v>0</v>
      </c>
      <c r="P210" s="295">
        <v>0</v>
      </c>
      <c r="Q210" s="295">
        <v>0</v>
      </c>
      <c r="R210" s="295">
        <v>0</v>
      </c>
      <c r="S210" s="296">
        <v>0</v>
      </c>
      <c r="U210" s="298">
        <f t="shared" si="14"/>
        <v>0</v>
      </c>
      <c r="Z210" s="305">
        <v>0</v>
      </c>
      <c r="AB210" s="305">
        <f t="shared" si="15"/>
        <v>0</v>
      </c>
    </row>
    <row r="211" spans="3:28" ht="18" customHeight="1">
      <c r="C211" s="6">
        <v>1</v>
      </c>
      <c r="D211" s="292" t="s">
        <v>1072</v>
      </c>
      <c r="E211" s="293" t="s">
        <v>1072</v>
      </c>
      <c r="F211" s="294"/>
      <c r="G211" s="293" t="s">
        <v>1073</v>
      </c>
      <c r="H211" s="370">
        <v>0</v>
      </c>
      <c r="I211" s="295">
        <v>0</v>
      </c>
      <c r="J211" s="295">
        <v>0</v>
      </c>
      <c r="K211" s="295">
        <v>0</v>
      </c>
      <c r="L211" s="296">
        <f t="shared" si="13"/>
        <v>0</v>
      </c>
      <c r="N211" s="297">
        <v>0</v>
      </c>
      <c r="O211" s="295">
        <v>0</v>
      </c>
      <c r="P211" s="295">
        <v>0</v>
      </c>
      <c r="Q211" s="295">
        <v>0</v>
      </c>
      <c r="R211" s="295">
        <v>0</v>
      </c>
      <c r="S211" s="296">
        <v>0</v>
      </c>
      <c r="U211" s="298">
        <f t="shared" si="14"/>
        <v>0</v>
      </c>
      <c r="Z211" s="305">
        <v>0</v>
      </c>
      <c r="AB211" s="305">
        <f t="shared" si="15"/>
        <v>0</v>
      </c>
    </row>
    <row r="212" spans="3:28" ht="18" customHeight="1">
      <c r="C212" s="6">
        <v>1</v>
      </c>
      <c r="D212" s="292" t="s">
        <v>1074</v>
      </c>
      <c r="E212" s="293" t="s">
        <v>1380</v>
      </c>
      <c r="F212" s="294" t="s">
        <v>1434</v>
      </c>
      <c r="G212" s="293" t="s">
        <v>1377</v>
      </c>
      <c r="H212" s="370">
        <v>0</v>
      </c>
      <c r="I212" s="295">
        <v>0</v>
      </c>
      <c r="J212" s="295">
        <v>0</v>
      </c>
      <c r="K212" s="295">
        <v>0</v>
      </c>
      <c r="L212" s="296">
        <f t="shared" si="13"/>
        <v>0</v>
      </c>
      <c r="N212" s="297">
        <v>0</v>
      </c>
      <c r="O212" s="295">
        <v>0</v>
      </c>
      <c r="P212" s="295">
        <v>0</v>
      </c>
      <c r="Q212" s="295">
        <v>0</v>
      </c>
      <c r="R212" s="295">
        <v>0</v>
      </c>
      <c r="S212" s="296">
        <v>0</v>
      </c>
      <c r="U212" s="298">
        <f t="shared" si="14"/>
        <v>0</v>
      </c>
      <c r="Z212" s="305"/>
      <c r="AB212" s="305">
        <f t="shared" si="15"/>
        <v>0</v>
      </c>
    </row>
    <row r="213" spans="3:28" ht="18" customHeight="1">
      <c r="C213" s="6">
        <v>1</v>
      </c>
      <c r="D213" s="292" t="s">
        <v>1074</v>
      </c>
      <c r="E213" s="293" t="s">
        <v>1381</v>
      </c>
      <c r="F213" s="294" t="s">
        <v>1434</v>
      </c>
      <c r="G213" s="293" t="s">
        <v>1378</v>
      </c>
      <c r="H213" s="370">
        <v>7250000</v>
      </c>
      <c r="I213" s="295">
        <v>0</v>
      </c>
      <c r="J213" s="295">
        <v>0</v>
      </c>
      <c r="K213" s="295">
        <v>0</v>
      </c>
      <c r="L213" s="296">
        <f t="shared" si="13"/>
        <v>7250000</v>
      </c>
      <c r="N213" s="297">
        <v>0</v>
      </c>
      <c r="O213" s="295">
        <v>0</v>
      </c>
      <c r="P213" s="295">
        <v>0</v>
      </c>
      <c r="Q213" s="295">
        <v>0</v>
      </c>
      <c r="R213" s="295">
        <v>0</v>
      </c>
      <c r="S213" s="296">
        <v>0</v>
      </c>
      <c r="U213" s="298">
        <f t="shared" si="14"/>
        <v>7250000</v>
      </c>
      <c r="Z213" s="305">
        <v>7250000</v>
      </c>
      <c r="AB213" s="305">
        <f t="shared" si="15"/>
        <v>0</v>
      </c>
    </row>
    <row r="214" spans="3:28" ht="18" customHeight="1">
      <c r="C214" s="6">
        <v>1</v>
      </c>
      <c r="D214" s="292" t="s">
        <v>1074</v>
      </c>
      <c r="E214" s="293" t="s">
        <v>1382</v>
      </c>
      <c r="F214" s="294" t="s">
        <v>1434</v>
      </c>
      <c r="G214" s="293" t="s">
        <v>1379</v>
      </c>
      <c r="H214" s="370">
        <v>0</v>
      </c>
      <c r="I214" s="295">
        <v>0</v>
      </c>
      <c r="J214" s="295">
        <v>0</v>
      </c>
      <c r="K214" s="295">
        <v>0</v>
      </c>
      <c r="L214" s="296">
        <f t="shared" si="13"/>
        <v>0</v>
      </c>
      <c r="N214" s="297">
        <v>0</v>
      </c>
      <c r="O214" s="295">
        <v>0</v>
      </c>
      <c r="P214" s="295">
        <v>0</v>
      </c>
      <c r="Q214" s="295">
        <v>0</v>
      </c>
      <c r="R214" s="295">
        <v>0</v>
      </c>
      <c r="S214" s="296">
        <v>0</v>
      </c>
      <c r="U214" s="298">
        <f t="shared" si="14"/>
        <v>0</v>
      </c>
      <c r="Z214" s="305"/>
      <c r="AB214" s="305">
        <f t="shared" si="15"/>
        <v>0</v>
      </c>
    </row>
    <row r="215" spans="3:28" ht="18" customHeight="1">
      <c r="C215" s="6">
        <v>1</v>
      </c>
      <c r="D215" s="292" t="s">
        <v>1075</v>
      </c>
      <c r="E215" s="293" t="s">
        <v>1075</v>
      </c>
      <c r="F215" s="294"/>
      <c r="G215" s="293" t="s">
        <v>1076</v>
      </c>
      <c r="H215" s="370">
        <v>0</v>
      </c>
      <c r="I215" s="295">
        <v>0</v>
      </c>
      <c r="J215" s="295">
        <v>0</v>
      </c>
      <c r="K215" s="295">
        <v>0</v>
      </c>
      <c r="L215" s="296">
        <f t="shared" ref="L215:L240" si="16">SUM(H215:K215)</f>
        <v>0</v>
      </c>
      <c r="N215" s="297">
        <v>0</v>
      </c>
      <c r="O215" s="295">
        <v>0</v>
      </c>
      <c r="P215" s="295">
        <v>0</v>
      </c>
      <c r="Q215" s="295">
        <v>0</v>
      </c>
      <c r="R215" s="295">
        <v>0</v>
      </c>
      <c r="S215" s="296">
        <v>0</v>
      </c>
      <c r="U215" s="298">
        <f t="shared" si="14"/>
        <v>0</v>
      </c>
      <c r="Z215" s="305">
        <v>0</v>
      </c>
      <c r="AB215" s="305">
        <f t="shared" si="15"/>
        <v>0</v>
      </c>
    </row>
    <row r="216" spans="3:28" ht="18" customHeight="1">
      <c r="C216" s="6">
        <v>1</v>
      </c>
      <c r="D216" s="292" t="s">
        <v>1077</v>
      </c>
      <c r="E216" s="293" t="s">
        <v>1077</v>
      </c>
      <c r="F216" s="294"/>
      <c r="G216" s="293" t="s">
        <v>1078</v>
      </c>
      <c r="H216" s="370">
        <v>0</v>
      </c>
      <c r="I216" s="295">
        <v>0</v>
      </c>
      <c r="J216" s="295">
        <v>0</v>
      </c>
      <c r="K216" s="295">
        <v>0</v>
      </c>
      <c r="L216" s="296">
        <f t="shared" si="16"/>
        <v>0</v>
      </c>
      <c r="N216" s="297">
        <v>0</v>
      </c>
      <c r="O216" s="295">
        <v>0</v>
      </c>
      <c r="P216" s="295">
        <v>0</v>
      </c>
      <c r="Q216" s="295">
        <v>0</v>
      </c>
      <c r="R216" s="295">
        <v>0</v>
      </c>
      <c r="S216" s="296">
        <v>0</v>
      </c>
      <c r="U216" s="298">
        <f t="shared" si="14"/>
        <v>0</v>
      </c>
      <c r="Z216" s="305">
        <v>0</v>
      </c>
      <c r="AB216" s="305">
        <f t="shared" si="15"/>
        <v>0</v>
      </c>
    </row>
    <row r="217" spans="3:28" ht="18" customHeight="1">
      <c r="C217" s="6">
        <v>1</v>
      </c>
      <c r="D217" s="292" t="s">
        <v>1079</v>
      </c>
      <c r="E217" s="293" t="s">
        <v>1079</v>
      </c>
      <c r="F217" s="294"/>
      <c r="G217" s="293" t="s">
        <v>1080</v>
      </c>
      <c r="H217" s="370">
        <v>0</v>
      </c>
      <c r="I217" s="295">
        <v>0</v>
      </c>
      <c r="J217" s="295">
        <v>0</v>
      </c>
      <c r="K217" s="295">
        <v>0</v>
      </c>
      <c r="L217" s="296">
        <f t="shared" si="16"/>
        <v>0</v>
      </c>
      <c r="N217" s="297">
        <v>0</v>
      </c>
      <c r="O217" s="295">
        <v>0</v>
      </c>
      <c r="P217" s="295">
        <v>0</v>
      </c>
      <c r="Q217" s="295">
        <v>0</v>
      </c>
      <c r="R217" s="295">
        <v>0</v>
      </c>
      <c r="S217" s="296">
        <v>0</v>
      </c>
      <c r="U217" s="298">
        <f t="shared" si="14"/>
        <v>0</v>
      </c>
      <c r="Z217" s="305">
        <v>0</v>
      </c>
      <c r="AB217" s="305">
        <f t="shared" si="15"/>
        <v>0</v>
      </c>
    </row>
    <row r="218" spans="3:28" ht="18" customHeight="1">
      <c r="C218" s="6">
        <v>1</v>
      </c>
      <c r="D218" s="292" t="s">
        <v>1081</v>
      </c>
      <c r="E218" s="293" t="s">
        <v>1081</v>
      </c>
      <c r="F218" s="294" t="s">
        <v>1434</v>
      </c>
      <c r="G218" s="293" t="s">
        <v>1082</v>
      </c>
      <c r="H218" s="370">
        <v>0</v>
      </c>
      <c r="I218" s="295">
        <v>0</v>
      </c>
      <c r="J218" s="295">
        <v>0</v>
      </c>
      <c r="K218" s="295">
        <v>0</v>
      </c>
      <c r="L218" s="296">
        <f t="shared" si="16"/>
        <v>0</v>
      </c>
      <c r="N218" s="297">
        <v>0</v>
      </c>
      <c r="O218" s="295">
        <v>0</v>
      </c>
      <c r="P218" s="295">
        <v>0</v>
      </c>
      <c r="Q218" s="295">
        <v>0</v>
      </c>
      <c r="R218" s="295">
        <v>0</v>
      </c>
      <c r="S218" s="296">
        <v>0</v>
      </c>
      <c r="U218" s="298">
        <f t="shared" si="14"/>
        <v>0</v>
      </c>
      <c r="Z218" s="305">
        <v>0</v>
      </c>
      <c r="AB218" s="305">
        <f t="shared" si="15"/>
        <v>0</v>
      </c>
    </row>
    <row r="219" spans="3:28" ht="18" customHeight="1">
      <c r="C219" s="6">
        <v>1</v>
      </c>
      <c r="D219" s="292" t="s">
        <v>1083</v>
      </c>
      <c r="E219" s="293" t="s">
        <v>1083</v>
      </c>
      <c r="F219" s="294"/>
      <c r="G219" s="293" t="s">
        <v>1084</v>
      </c>
      <c r="H219" s="370">
        <v>0</v>
      </c>
      <c r="I219" s="295">
        <v>0</v>
      </c>
      <c r="J219" s="295">
        <v>0</v>
      </c>
      <c r="K219" s="295">
        <v>0</v>
      </c>
      <c r="L219" s="296">
        <f t="shared" si="16"/>
        <v>0</v>
      </c>
      <c r="N219" s="297">
        <v>0</v>
      </c>
      <c r="O219" s="295">
        <v>0</v>
      </c>
      <c r="P219" s="295">
        <v>0</v>
      </c>
      <c r="Q219" s="295">
        <v>0</v>
      </c>
      <c r="R219" s="295">
        <v>0</v>
      </c>
      <c r="S219" s="296">
        <v>0</v>
      </c>
      <c r="U219" s="298">
        <f t="shared" si="14"/>
        <v>0</v>
      </c>
      <c r="Z219" s="305">
        <v>0</v>
      </c>
      <c r="AB219" s="305">
        <f t="shared" si="15"/>
        <v>0</v>
      </c>
    </row>
    <row r="220" spans="3:28" ht="18" customHeight="1">
      <c r="C220" s="6">
        <v>1</v>
      </c>
      <c r="D220" s="292" t="s">
        <v>1085</v>
      </c>
      <c r="E220" s="293" t="s">
        <v>1085</v>
      </c>
      <c r="F220" s="294"/>
      <c r="G220" s="293" t="s">
        <v>1086</v>
      </c>
      <c r="H220" s="370">
        <v>0</v>
      </c>
      <c r="I220" s="295">
        <v>0</v>
      </c>
      <c r="J220" s="295">
        <v>0</v>
      </c>
      <c r="K220" s="295">
        <v>0</v>
      </c>
      <c r="L220" s="296">
        <f t="shared" si="16"/>
        <v>0</v>
      </c>
      <c r="N220" s="297">
        <v>0</v>
      </c>
      <c r="O220" s="295">
        <v>0</v>
      </c>
      <c r="P220" s="295">
        <v>0</v>
      </c>
      <c r="Q220" s="295">
        <v>0</v>
      </c>
      <c r="R220" s="295">
        <v>0</v>
      </c>
      <c r="S220" s="296">
        <v>0</v>
      </c>
      <c r="U220" s="298">
        <f t="shared" si="14"/>
        <v>0</v>
      </c>
      <c r="Z220" s="305">
        <v>0</v>
      </c>
      <c r="AB220" s="305">
        <f t="shared" si="15"/>
        <v>0</v>
      </c>
    </row>
    <row r="221" spans="3:28" ht="18" customHeight="1">
      <c r="C221" s="6">
        <v>1</v>
      </c>
      <c r="D221" s="292" t="s">
        <v>1087</v>
      </c>
      <c r="E221" s="293" t="s">
        <v>1087</v>
      </c>
      <c r="F221" s="294" t="s">
        <v>1435</v>
      </c>
      <c r="G221" s="293" t="s">
        <v>1088</v>
      </c>
      <c r="H221" s="370">
        <v>0</v>
      </c>
      <c r="I221" s="295">
        <v>0</v>
      </c>
      <c r="J221" s="295">
        <v>0</v>
      </c>
      <c r="K221" s="295">
        <v>0</v>
      </c>
      <c r="L221" s="296">
        <f t="shared" si="16"/>
        <v>0</v>
      </c>
      <c r="N221" s="297">
        <v>0</v>
      </c>
      <c r="O221" s="295">
        <v>0</v>
      </c>
      <c r="P221" s="295">
        <v>0</v>
      </c>
      <c r="Q221" s="295">
        <v>0</v>
      </c>
      <c r="R221" s="295">
        <v>0</v>
      </c>
      <c r="S221" s="296">
        <v>0</v>
      </c>
      <c r="U221" s="298">
        <f t="shared" si="14"/>
        <v>0</v>
      </c>
      <c r="Z221" s="305">
        <v>0</v>
      </c>
      <c r="AB221" s="305">
        <f t="shared" si="15"/>
        <v>0</v>
      </c>
    </row>
    <row r="222" spans="3:28" ht="18" customHeight="1">
      <c r="C222" s="6">
        <v>1</v>
      </c>
      <c r="D222" s="292" t="s">
        <v>1089</v>
      </c>
      <c r="E222" s="293" t="s">
        <v>1089</v>
      </c>
      <c r="F222" s="294"/>
      <c r="G222" s="293" t="s">
        <v>1090</v>
      </c>
      <c r="H222" s="370">
        <v>0</v>
      </c>
      <c r="I222" s="295">
        <v>0</v>
      </c>
      <c r="J222" s="295">
        <v>0</v>
      </c>
      <c r="K222" s="295">
        <v>0</v>
      </c>
      <c r="L222" s="296">
        <f t="shared" si="16"/>
        <v>0</v>
      </c>
      <c r="N222" s="297">
        <v>0</v>
      </c>
      <c r="O222" s="295">
        <v>0</v>
      </c>
      <c r="P222" s="295">
        <v>0</v>
      </c>
      <c r="Q222" s="295">
        <v>0</v>
      </c>
      <c r="R222" s="295">
        <v>0</v>
      </c>
      <c r="S222" s="296">
        <v>0</v>
      </c>
      <c r="U222" s="298">
        <f t="shared" si="14"/>
        <v>0</v>
      </c>
      <c r="Z222" s="305">
        <v>0</v>
      </c>
      <c r="AB222" s="305">
        <f t="shared" si="15"/>
        <v>0</v>
      </c>
    </row>
    <row r="223" spans="3:28" ht="18" customHeight="1">
      <c r="C223" s="6">
        <v>1</v>
      </c>
      <c r="D223" s="292" t="s">
        <v>1091</v>
      </c>
      <c r="E223" s="293" t="s">
        <v>1091</v>
      </c>
      <c r="F223" s="294"/>
      <c r="G223" s="293" t="s">
        <v>1092</v>
      </c>
      <c r="H223" s="370">
        <v>0</v>
      </c>
      <c r="I223" s="295">
        <v>0</v>
      </c>
      <c r="J223" s="295">
        <v>0</v>
      </c>
      <c r="K223" s="295">
        <v>0</v>
      </c>
      <c r="L223" s="296">
        <f t="shared" si="16"/>
        <v>0</v>
      </c>
      <c r="N223" s="297">
        <v>0</v>
      </c>
      <c r="O223" s="295">
        <v>0</v>
      </c>
      <c r="P223" s="295">
        <v>0</v>
      </c>
      <c r="Q223" s="295">
        <v>0</v>
      </c>
      <c r="R223" s="295">
        <v>0</v>
      </c>
      <c r="S223" s="296">
        <v>0</v>
      </c>
      <c r="U223" s="298">
        <f t="shared" si="14"/>
        <v>0</v>
      </c>
      <c r="Z223" s="305">
        <v>0</v>
      </c>
      <c r="AB223" s="305">
        <f t="shared" si="15"/>
        <v>0</v>
      </c>
    </row>
    <row r="224" spans="3:28" ht="18" customHeight="1">
      <c r="C224" s="6">
        <v>1</v>
      </c>
      <c r="D224" s="292" t="s">
        <v>1093</v>
      </c>
      <c r="E224" s="293" t="s">
        <v>1093</v>
      </c>
      <c r="F224" s="294"/>
      <c r="G224" s="293" t="s">
        <v>1094</v>
      </c>
      <c r="H224" s="370">
        <v>0</v>
      </c>
      <c r="I224" s="295">
        <v>0</v>
      </c>
      <c r="J224" s="295">
        <v>0</v>
      </c>
      <c r="K224" s="295">
        <v>0</v>
      </c>
      <c r="L224" s="296">
        <f t="shared" si="16"/>
        <v>0</v>
      </c>
      <c r="N224" s="297">
        <v>0</v>
      </c>
      <c r="O224" s="295">
        <v>0</v>
      </c>
      <c r="P224" s="295">
        <v>0</v>
      </c>
      <c r="Q224" s="295">
        <v>0</v>
      </c>
      <c r="R224" s="295">
        <v>0</v>
      </c>
      <c r="S224" s="296">
        <v>0</v>
      </c>
      <c r="U224" s="298">
        <f t="shared" si="14"/>
        <v>0</v>
      </c>
      <c r="Z224" s="305">
        <v>0</v>
      </c>
      <c r="AB224" s="305">
        <f t="shared" si="15"/>
        <v>0</v>
      </c>
    </row>
    <row r="225" spans="3:28" ht="18" customHeight="1">
      <c r="C225" s="6">
        <v>1</v>
      </c>
      <c r="D225" s="292" t="s">
        <v>1095</v>
      </c>
      <c r="E225" s="293" t="s">
        <v>1384</v>
      </c>
      <c r="F225" s="294"/>
      <c r="G225" s="293" t="s">
        <v>1383</v>
      </c>
      <c r="H225" s="370">
        <v>0</v>
      </c>
      <c r="I225" s="295">
        <v>0</v>
      </c>
      <c r="J225" s="295">
        <v>0</v>
      </c>
      <c r="K225" s="295">
        <v>0</v>
      </c>
      <c r="L225" s="296">
        <f t="shared" si="16"/>
        <v>0</v>
      </c>
      <c r="N225" s="297">
        <v>0</v>
      </c>
      <c r="O225" s="295">
        <v>0</v>
      </c>
      <c r="P225" s="295">
        <v>0</v>
      </c>
      <c r="Q225" s="295">
        <v>0</v>
      </c>
      <c r="R225" s="295">
        <v>0</v>
      </c>
      <c r="S225" s="296">
        <v>0</v>
      </c>
      <c r="U225" s="298">
        <f t="shared" si="14"/>
        <v>0</v>
      </c>
      <c r="Z225" s="305">
        <v>0</v>
      </c>
      <c r="AB225" s="305">
        <f t="shared" si="15"/>
        <v>0</v>
      </c>
    </row>
    <row r="226" spans="3:28" ht="18" customHeight="1">
      <c r="C226" s="6">
        <v>1</v>
      </c>
      <c r="D226" s="292" t="s">
        <v>1095</v>
      </c>
      <c r="E226" s="293" t="s">
        <v>1385</v>
      </c>
      <c r="F226" s="294"/>
      <c r="G226" s="293" t="s">
        <v>1096</v>
      </c>
      <c r="H226" s="370">
        <v>0</v>
      </c>
      <c r="I226" s="295">
        <v>0</v>
      </c>
      <c r="J226" s="295">
        <v>0</v>
      </c>
      <c r="K226" s="295">
        <v>0</v>
      </c>
      <c r="L226" s="296">
        <f t="shared" si="16"/>
        <v>0</v>
      </c>
      <c r="N226" s="297">
        <v>0</v>
      </c>
      <c r="O226" s="295">
        <v>0</v>
      </c>
      <c r="P226" s="295">
        <v>0</v>
      </c>
      <c r="Q226" s="295">
        <v>0</v>
      </c>
      <c r="R226" s="295">
        <v>0</v>
      </c>
      <c r="S226" s="296">
        <v>0</v>
      </c>
      <c r="U226" s="298">
        <f t="shared" si="14"/>
        <v>0</v>
      </c>
      <c r="Z226" s="305">
        <v>0</v>
      </c>
      <c r="AB226" s="305">
        <f t="shared" si="15"/>
        <v>0</v>
      </c>
    </row>
    <row r="227" spans="3:28" ht="18" customHeight="1">
      <c r="C227" s="6">
        <v>1</v>
      </c>
      <c r="D227" s="292" t="s">
        <v>1097</v>
      </c>
      <c r="E227" s="293" t="s">
        <v>1097</v>
      </c>
      <c r="F227" s="294"/>
      <c r="G227" s="293" t="s">
        <v>1098</v>
      </c>
      <c r="H227" s="370">
        <v>0</v>
      </c>
      <c r="I227" s="295">
        <v>0</v>
      </c>
      <c r="J227" s="295">
        <v>0</v>
      </c>
      <c r="K227" s="295">
        <v>0</v>
      </c>
      <c r="L227" s="296">
        <f t="shared" si="16"/>
        <v>0</v>
      </c>
      <c r="N227" s="297">
        <v>0</v>
      </c>
      <c r="O227" s="295">
        <v>0</v>
      </c>
      <c r="P227" s="295">
        <v>0</v>
      </c>
      <c r="Q227" s="295">
        <v>0</v>
      </c>
      <c r="R227" s="295">
        <v>0</v>
      </c>
      <c r="S227" s="296">
        <v>0</v>
      </c>
      <c r="U227" s="298">
        <f t="shared" si="14"/>
        <v>0</v>
      </c>
      <c r="Z227" s="305">
        <v>0</v>
      </c>
      <c r="AB227" s="305">
        <f t="shared" si="15"/>
        <v>0</v>
      </c>
    </row>
    <row r="228" spans="3:28" ht="18" customHeight="1">
      <c r="C228" s="6">
        <v>1</v>
      </c>
      <c r="D228" s="292" t="s">
        <v>1099</v>
      </c>
      <c r="E228" s="293" t="s">
        <v>1099</v>
      </c>
      <c r="F228" s="294"/>
      <c r="G228" s="293" t="s">
        <v>1100</v>
      </c>
      <c r="H228" s="370">
        <v>0</v>
      </c>
      <c r="I228" s="295">
        <v>0</v>
      </c>
      <c r="J228" s="295">
        <v>0</v>
      </c>
      <c r="K228" s="295">
        <v>0</v>
      </c>
      <c r="L228" s="296">
        <f t="shared" si="16"/>
        <v>0</v>
      </c>
      <c r="N228" s="297">
        <v>0</v>
      </c>
      <c r="O228" s="295">
        <v>0</v>
      </c>
      <c r="P228" s="295">
        <v>0</v>
      </c>
      <c r="Q228" s="295">
        <v>0</v>
      </c>
      <c r="R228" s="295">
        <v>0</v>
      </c>
      <c r="S228" s="296">
        <v>0</v>
      </c>
      <c r="U228" s="298">
        <f t="shared" si="14"/>
        <v>0</v>
      </c>
      <c r="Z228" s="305">
        <v>0</v>
      </c>
      <c r="AB228" s="305">
        <f t="shared" si="15"/>
        <v>0</v>
      </c>
    </row>
    <row r="229" spans="3:28" ht="18" customHeight="1">
      <c r="C229" s="6">
        <v>1</v>
      </c>
      <c r="D229" s="292" t="s">
        <v>1101</v>
      </c>
      <c r="E229" s="293" t="s">
        <v>1101</v>
      </c>
      <c r="F229" s="294"/>
      <c r="G229" s="293" t="s">
        <v>1102</v>
      </c>
      <c r="H229" s="370">
        <v>0</v>
      </c>
      <c r="I229" s="295">
        <v>0</v>
      </c>
      <c r="J229" s="295">
        <v>0</v>
      </c>
      <c r="K229" s="295">
        <v>0</v>
      </c>
      <c r="L229" s="296">
        <f t="shared" si="16"/>
        <v>0</v>
      </c>
      <c r="N229" s="297">
        <v>0</v>
      </c>
      <c r="O229" s="295">
        <v>0</v>
      </c>
      <c r="P229" s="295">
        <v>0</v>
      </c>
      <c r="Q229" s="295">
        <v>0</v>
      </c>
      <c r="R229" s="295">
        <v>0</v>
      </c>
      <c r="S229" s="296">
        <v>0</v>
      </c>
      <c r="U229" s="298">
        <f t="shared" si="14"/>
        <v>0</v>
      </c>
      <c r="Z229" s="305">
        <v>0</v>
      </c>
      <c r="AB229" s="305">
        <f t="shared" si="15"/>
        <v>0</v>
      </c>
    </row>
    <row r="230" spans="3:28" ht="18" customHeight="1">
      <c r="C230" s="6">
        <v>1</v>
      </c>
      <c r="D230" s="292" t="s">
        <v>1103</v>
      </c>
      <c r="E230" s="293" t="s">
        <v>1103</v>
      </c>
      <c r="F230" s="294"/>
      <c r="G230" s="293" t="s">
        <v>1104</v>
      </c>
      <c r="H230" s="370">
        <v>0</v>
      </c>
      <c r="I230" s="295">
        <v>0</v>
      </c>
      <c r="J230" s="295">
        <v>0</v>
      </c>
      <c r="K230" s="295">
        <v>0</v>
      </c>
      <c r="L230" s="296">
        <f t="shared" si="16"/>
        <v>0</v>
      </c>
      <c r="N230" s="297">
        <v>0</v>
      </c>
      <c r="O230" s="295">
        <v>0</v>
      </c>
      <c r="P230" s="295">
        <v>0</v>
      </c>
      <c r="Q230" s="295">
        <v>0</v>
      </c>
      <c r="R230" s="295">
        <v>0</v>
      </c>
      <c r="S230" s="296">
        <v>0</v>
      </c>
      <c r="U230" s="298">
        <f t="shared" si="14"/>
        <v>0</v>
      </c>
      <c r="Z230" s="305">
        <v>0</v>
      </c>
      <c r="AB230" s="305">
        <f t="shared" si="15"/>
        <v>0</v>
      </c>
    </row>
    <row r="231" spans="3:28" ht="18" customHeight="1">
      <c r="C231" s="6">
        <v>1</v>
      </c>
      <c r="D231" s="292" t="s">
        <v>1105</v>
      </c>
      <c r="E231" s="293" t="s">
        <v>1105</v>
      </c>
      <c r="F231" s="294"/>
      <c r="G231" s="293" t="s">
        <v>1106</v>
      </c>
      <c r="H231" s="370">
        <v>0</v>
      </c>
      <c r="I231" s="295">
        <v>0</v>
      </c>
      <c r="J231" s="295">
        <v>0</v>
      </c>
      <c r="K231" s="295">
        <v>0</v>
      </c>
      <c r="L231" s="296">
        <f t="shared" si="16"/>
        <v>0</v>
      </c>
      <c r="N231" s="297">
        <v>0</v>
      </c>
      <c r="O231" s="295">
        <v>0</v>
      </c>
      <c r="P231" s="295">
        <v>0</v>
      </c>
      <c r="Q231" s="295">
        <v>0</v>
      </c>
      <c r="R231" s="295">
        <v>0</v>
      </c>
      <c r="S231" s="296">
        <v>0</v>
      </c>
      <c r="U231" s="298">
        <f t="shared" si="14"/>
        <v>0</v>
      </c>
      <c r="Z231" s="305">
        <v>0</v>
      </c>
      <c r="AB231" s="305">
        <f t="shared" si="15"/>
        <v>0</v>
      </c>
    </row>
    <row r="232" spans="3:28" ht="18" customHeight="1">
      <c r="C232" s="6">
        <v>1</v>
      </c>
      <c r="D232" s="292" t="s">
        <v>1107</v>
      </c>
      <c r="E232" s="293" t="s">
        <v>1107</v>
      </c>
      <c r="F232" s="294"/>
      <c r="G232" s="293" t="s">
        <v>1108</v>
      </c>
      <c r="H232" s="370">
        <v>0</v>
      </c>
      <c r="I232" s="295">
        <v>0</v>
      </c>
      <c r="J232" s="295">
        <v>0</v>
      </c>
      <c r="K232" s="295">
        <v>0</v>
      </c>
      <c r="L232" s="296">
        <f t="shared" si="16"/>
        <v>0</v>
      </c>
      <c r="N232" s="297">
        <v>0</v>
      </c>
      <c r="O232" s="295">
        <v>0</v>
      </c>
      <c r="P232" s="295">
        <v>0</v>
      </c>
      <c r="Q232" s="295">
        <v>0</v>
      </c>
      <c r="R232" s="295">
        <v>0</v>
      </c>
      <c r="S232" s="296">
        <v>0</v>
      </c>
      <c r="U232" s="298">
        <f t="shared" si="14"/>
        <v>0</v>
      </c>
      <c r="Z232" s="305">
        <v>0</v>
      </c>
      <c r="AB232" s="305">
        <f t="shared" si="15"/>
        <v>0</v>
      </c>
    </row>
    <row r="233" spans="3:28" ht="18" customHeight="1">
      <c r="C233" s="6">
        <v>1</v>
      </c>
      <c r="D233" s="292" t="s">
        <v>1109</v>
      </c>
      <c r="E233" s="293" t="s">
        <v>1109</v>
      </c>
      <c r="F233" s="294"/>
      <c r="G233" s="293" t="s">
        <v>1110</v>
      </c>
      <c r="H233" s="370">
        <v>0</v>
      </c>
      <c r="I233" s="295">
        <v>0</v>
      </c>
      <c r="J233" s="295">
        <v>0</v>
      </c>
      <c r="K233" s="295">
        <v>0</v>
      </c>
      <c r="L233" s="296">
        <f t="shared" si="16"/>
        <v>0</v>
      </c>
      <c r="N233" s="297">
        <v>0</v>
      </c>
      <c r="O233" s="295">
        <v>0</v>
      </c>
      <c r="P233" s="295">
        <v>0</v>
      </c>
      <c r="Q233" s="295">
        <v>0</v>
      </c>
      <c r="R233" s="295">
        <v>0</v>
      </c>
      <c r="S233" s="296">
        <v>0</v>
      </c>
      <c r="U233" s="298">
        <f t="shared" si="14"/>
        <v>0</v>
      </c>
      <c r="Z233" s="305">
        <v>0</v>
      </c>
      <c r="AB233" s="305">
        <f t="shared" si="15"/>
        <v>0</v>
      </c>
    </row>
    <row r="234" spans="3:28" ht="18" customHeight="1">
      <c r="C234" s="6">
        <v>1</v>
      </c>
      <c r="D234" s="292" t="s">
        <v>1111</v>
      </c>
      <c r="E234" s="293" t="s">
        <v>1111</v>
      </c>
      <c r="F234" s="294"/>
      <c r="G234" s="293" t="s">
        <v>1112</v>
      </c>
      <c r="H234" s="370">
        <v>0</v>
      </c>
      <c r="I234" s="295">
        <v>0</v>
      </c>
      <c r="J234" s="295">
        <v>0</v>
      </c>
      <c r="K234" s="295">
        <v>0</v>
      </c>
      <c r="L234" s="296">
        <f t="shared" si="16"/>
        <v>0</v>
      </c>
      <c r="N234" s="297">
        <v>0</v>
      </c>
      <c r="O234" s="295">
        <v>0</v>
      </c>
      <c r="P234" s="295">
        <v>0</v>
      </c>
      <c r="Q234" s="295">
        <v>0</v>
      </c>
      <c r="R234" s="295">
        <v>0</v>
      </c>
      <c r="S234" s="296">
        <v>0</v>
      </c>
      <c r="U234" s="298">
        <f t="shared" si="14"/>
        <v>0</v>
      </c>
      <c r="Z234" s="305">
        <v>0</v>
      </c>
      <c r="AB234" s="305">
        <f t="shared" si="15"/>
        <v>0</v>
      </c>
    </row>
    <row r="235" spans="3:28" ht="18" customHeight="1">
      <c r="C235" s="6">
        <v>1</v>
      </c>
      <c r="D235" s="292" t="s">
        <v>1113</v>
      </c>
      <c r="E235" s="293" t="s">
        <v>1113</v>
      </c>
      <c r="F235" s="294"/>
      <c r="G235" s="293" t="s">
        <v>1114</v>
      </c>
      <c r="H235" s="370">
        <v>0</v>
      </c>
      <c r="I235" s="295">
        <v>0</v>
      </c>
      <c r="J235" s="295">
        <v>0</v>
      </c>
      <c r="K235" s="295">
        <v>0</v>
      </c>
      <c r="L235" s="296">
        <f t="shared" si="16"/>
        <v>0</v>
      </c>
      <c r="N235" s="297">
        <v>0</v>
      </c>
      <c r="O235" s="295">
        <v>0</v>
      </c>
      <c r="P235" s="295">
        <v>0</v>
      </c>
      <c r="Q235" s="295">
        <v>0</v>
      </c>
      <c r="R235" s="295">
        <v>0</v>
      </c>
      <c r="S235" s="296">
        <v>0</v>
      </c>
      <c r="U235" s="298">
        <f t="shared" si="14"/>
        <v>0</v>
      </c>
      <c r="Z235" s="305">
        <v>0</v>
      </c>
      <c r="AB235" s="305">
        <f t="shared" si="15"/>
        <v>0</v>
      </c>
    </row>
    <row r="236" spans="3:28" ht="18" customHeight="1">
      <c r="C236" s="6">
        <v>1</v>
      </c>
      <c r="D236" s="292" t="s">
        <v>1115</v>
      </c>
      <c r="E236" s="293" t="s">
        <v>1115</v>
      </c>
      <c r="F236" s="294"/>
      <c r="G236" s="293" t="s">
        <v>1116</v>
      </c>
      <c r="H236" s="370">
        <v>0</v>
      </c>
      <c r="I236" s="295">
        <v>0</v>
      </c>
      <c r="J236" s="295">
        <v>0</v>
      </c>
      <c r="K236" s="295">
        <v>0</v>
      </c>
      <c r="L236" s="296">
        <f t="shared" si="16"/>
        <v>0</v>
      </c>
      <c r="N236" s="297">
        <v>0</v>
      </c>
      <c r="O236" s="295">
        <v>0</v>
      </c>
      <c r="P236" s="295">
        <v>0</v>
      </c>
      <c r="Q236" s="295">
        <v>0</v>
      </c>
      <c r="R236" s="295">
        <v>0</v>
      </c>
      <c r="S236" s="296">
        <v>0</v>
      </c>
      <c r="U236" s="298">
        <f t="shared" si="14"/>
        <v>0</v>
      </c>
      <c r="Z236" s="305">
        <v>0</v>
      </c>
      <c r="AB236" s="305">
        <f t="shared" si="15"/>
        <v>0</v>
      </c>
    </row>
    <row r="237" spans="3:28" ht="18" customHeight="1">
      <c r="C237" s="6">
        <v>1</v>
      </c>
      <c r="D237" s="292" t="s">
        <v>1117</v>
      </c>
      <c r="E237" s="293" t="s">
        <v>1117</v>
      </c>
      <c r="F237" s="294"/>
      <c r="G237" s="293" t="s">
        <v>1118</v>
      </c>
      <c r="H237" s="370">
        <v>0</v>
      </c>
      <c r="I237" s="295">
        <v>0</v>
      </c>
      <c r="J237" s="295">
        <v>0</v>
      </c>
      <c r="K237" s="295">
        <v>0</v>
      </c>
      <c r="L237" s="296">
        <f t="shared" si="16"/>
        <v>0</v>
      </c>
      <c r="N237" s="297">
        <v>0</v>
      </c>
      <c r="O237" s="295">
        <v>0</v>
      </c>
      <c r="P237" s="295">
        <v>0</v>
      </c>
      <c r="Q237" s="295">
        <v>0</v>
      </c>
      <c r="R237" s="295">
        <v>0</v>
      </c>
      <c r="S237" s="296">
        <v>0</v>
      </c>
      <c r="U237" s="298">
        <f t="shared" si="14"/>
        <v>0</v>
      </c>
      <c r="Z237" s="305">
        <v>0</v>
      </c>
      <c r="AB237" s="305">
        <f t="shared" si="15"/>
        <v>0</v>
      </c>
    </row>
    <row r="238" spans="3:28" ht="18" customHeight="1">
      <c r="C238" s="6">
        <v>1</v>
      </c>
      <c r="D238" s="292" t="s">
        <v>1119</v>
      </c>
      <c r="E238" s="293" t="s">
        <v>1119</v>
      </c>
      <c r="F238" s="294"/>
      <c r="G238" s="293" t="s">
        <v>1120</v>
      </c>
      <c r="H238" s="370">
        <v>0</v>
      </c>
      <c r="I238" s="295">
        <v>0</v>
      </c>
      <c r="J238" s="295">
        <v>0</v>
      </c>
      <c r="K238" s="295">
        <v>0</v>
      </c>
      <c r="L238" s="296">
        <f t="shared" si="16"/>
        <v>0</v>
      </c>
      <c r="N238" s="297">
        <v>0</v>
      </c>
      <c r="O238" s="295">
        <v>0</v>
      </c>
      <c r="P238" s="295">
        <v>0</v>
      </c>
      <c r="Q238" s="295">
        <v>0</v>
      </c>
      <c r="R238" s="295">
        <v>0</v>
      </c>
      <c r="S238" s="296">
        <v>0</v>
      </c>
      <c r="U238" s="298">
        <f t="shared" si="14"/>
        <v>0</v>
      </c>
      <c r="Z238" s="305">
        <v>0</v>
      </c>
      <c r="AB238" s="305">
        <f t="shared" si="15"/>
        <v>0</v>
      </c>
    </row>
    <row r="239" spans="3:28" ht="18" customHeight="1">
      <c r="C239" s="6">
        <v>1</v>
      </c>
      <c r="D239" s="292" t="s">
        <v>1121</v>
      </c>
      <c r="E239" s="293" t="s">
        <v>1121</v>
      </c>
      <c r="F239" s="294"/>
      <c r="G239" s="293" t="s">
        <v>1122</v>
      </c>
      <c r="H239" s="370">
        <v>0</v>
      </c>
      <c r="I239" s="295">
        <v>0</v>
      </c>
      <c r="J239" s="295">
        <v>0</v>
      </c>
      <c r="K239" s="295">
        <v>0</v>
      </c>
      <c r="L239" s="296">
        <f t="shared" si="16"/>
        <v>0</v>
      </c>
      <c r="N239" s="297">
        <v>0</v>
      </c>
      <c r="O239" s="295">
        <v>0</v>
      </c>
      <c r="P239" s="295">
        <v>0</v>
      </c>
      <c r="Q239" s="295">
        <v>0</v>
      </c>
      <c r="R239" s="295">
        <v>0</v>
      </c>
      <c r="S239" s="296">
        <v>0</v>
      </c>
      <c r="U239" s="298">
        <f t="shared" si="14"/>
        <v>0</v>
      </c>
      <c r="Z239" s="305">
        <v>0</v>
      </c>
      <c r="AB239" s="305">
        <f t="shared" si="15"/>
        <v>0</v>
      </c>
    </row>
    <row r="240" spans="3:28" ht="18" customHeight="1">
      <c r="C240" s="6">
        <v>1</v>
      </c>
      <c r="D240" s="292" t="s">
        <v>1123</v>
      </c>
      <c r="E240" s="293" t="s">
        <v>1123</v>
      </c>
      <c r="F240" s="294"/>
      <c r="G240" s="293" t="s">
        <v>1124</v>
      </c>
      <c r="H240" s="370">
        <v>0</v>
      </c>
      <c r="I240" s="295">
        <v>0</v>
      </c>
      <c r="J240" s="295">
        <v>0</v>
      </c>
      <c r="K240" s="295">
        <v>0</v>
      </c>
      <c r="L240" s="296">
        <f t="shared" si="16"/>
        <v>0</v>
      </c>
      <c r="N240" s="297">
        <v>0</v>
      </c>
      <c r="O240" s="295">
        <v>0</v>
      </c>
      <c r="P240" s="295">
        <v>0</v>
      </c>
      <c r="Q240" s="295">
        <v>0</v>
      </c>
      <c r="R240" s="295">
        <v>0</v>
      </c>
      <c r="S240" s="296">
        <v>0</v>
      </c>
      <c r="U240" s="298">
        <f t="shared" si="14"/>
        <v>0</v>
      </c>
      <c r="Z240" s="305">
        <v>0</v>
      </c>
      <c r="AB240" s="305">
        <f t="shared" si="15"/>
        <v>0</v>
      </c>
    </row>
    <row r="241" spans="3:29" ht="18" customHeight="1">
      <c r="C241" s="6">
        <v>1</v>
      </c>
      <c r="D241" s="285" t="s">
        <v>1125</v>
      </c>
      <c r="E241" s="286" t="s">
        <v>1125</v>
      </c>
      <c r="F241" s="287"/>
      <c r="G241" s="286" t="s">
        <v>1126</v>
      </c>
      <c r="H241" s="288">
        <f>SUM(H242:H299)</f>
        <v>-37286095499</v>
      </c>
      <c r="I241" s="288">
        <f>SUM(I242:I299)</f>
        <v>-163595455</v>
      </c>
      <c r="J241" s="288">
        <f>SUM(J242:J299)</f>
        <v>0</v>
      </c>
      <c r="K241" s="288">
        <f>SUM(K242:K299)</f>
        <v>-970190638</v>
      </c>
      <c r="L241" s="289">
        <f>SUM(L242:L299)</f>
        <v>-38419881592</v>
      </c>
      <c r="N241" s="290">
        <v>20206929</v>
      </c>
      <c r="O241" s="288">
        <v>0</v>
      </c>
      <c r="P241" s="288">
        <v>1500000000</v>
      </c>
      <c r="Q241" s="288">
        <v>0</v>
      </c>
      <c r="R241" s="288">
        <v>20000000</v>
      </c>
      <c r="S241" s="289">
        <v>1540206929</v>
      </c>
      <c r="U241" s="291">
        <f>SUM(U242:U299)</f>
        <v>-36879674663</v>
      </c>
      <c r="V241" s="6" t="b">
        <f>U241=SUM(U242:U299)</f>
        <v>1</v>
      </c>
      <c r="W241" s="7">
        <f>U241-'CF(공)_1.0'!F76</f>
        <v>-10054278600</v>
      </c>
      <c r="Z241" s="291">
        <v>-25382690093</v>
      </c>
      <c r="AA241" s="6" t="b">
        <f>Z241=SUM(Z242:Z299)</f>
        <v>1</v>
      </c>
      <c r="AB241" s="291">
        <f t="shared" si="15"/>
        <v>-11496984570</v>
      </c>
      <c r="AC241" s="6" t="b">
        <f>AB241=SUM(AB242:AB299)</f>
        <v>1</v>
      </c>
    </row>
    <row r="242" spans="3:29" ht="18" customHeight="1">
      <c r="C242" s="6">
        <v>1</v>
      </c>
      <c r="D242" s="292" t="s">
        <v>1127</v>
      </c>
      <c r="E242" s="293" t="s">
        <v>1127</v>
      </c>
      <c r="F242" s="294"/>
      <c r="G242" s="293" t="s">
        <v>1128</v>
      </c>
      <c r="H242" s="370">
        <v>-1500000000</v>
      </c>
      <c r="I242" s="295">
        <v>0</v>
      </c>
      <c r="J242" s="295">
        <v>0</v>
      </c>
      <c r="K242" s="295">
        <v>0</v>
      </c>
      <c r="L242" s="296">
        <f t="shared" ref="L242:L273" si="17">SUM(H242:K242)</f>
        <v>-1500000000</v>
      </c>
      <c r="N242" s="297">
        <v>0</v>
      </c>
      <c r="O242" s="295">
        <v>0</v>
      </c>
      <c r="P242" s="295">
        <v>1500000000</v>
      </c>
      <c r="Q242" s="295">
        <v>0</v>
      </c>
      <c r="R242" s="295">
        <v>0</v>
      </c>
      <c r="S242" s="296">
        <v>1500000000</v>
      </c>
      <c r="U242" s="298">
        <f t="shared" ref="U242:U299" si="18">ROUND(S242+L242,0)</f>
        <v>0</v>
      </c>
      <c r="Z242" s="305">
        <v>0</v>
      </c>
      <c r="AB242" s="305">
        <f t="shared" si="15"/>
        <v>0</v>
      </c>
    </row>
    <row r="243" spans="3:29" ht="18" customHeight="1">
      <c r="C243" s="6">
        <v>1</v>
      </c>
      <c r="D243" s="292" t="s">
        <v>1129</v>
      </c>
      <c r="E243" s="293" t="s">
        <v>1129</v>
      </c>
      <c r="F243" s="294" t="s">
        <v>1439</v>
      </c>
      <c r="G243" s="293" t="s">
        <v>1130</v>
      </c>
      <c r="H243" s="370">
        <v>0</v>
      </c>
      <c r="I243" s="295">
        <v>0</v>
      </c>
      <c r="J243" s="295">
        <v>0</v>
      </c>
      <c r="K243" s="295">
        <v>-312435000</v>
      </c>
      <c r="L243" s="296">
        <f t="shared" si="17"/>
        <v>-312435000</v>
      </c>
      <c r="N243" s="297">
        <v>0</v>
      </c>
      <c r="O243" s="295">
        <v>0</v>
      </c>
      <c r="P243" s="295">
        <v>0</v>
      </c>
      <c r="Q243" s="295">
        <v>0</v>
      </c>
      <c r="R243" s="295">
        <v>0</v>
      </c>
      <c r="S243" s="296">
        <v>0</v>
      </c>
      <c r="U243" s="298">
        <f t="shared" si="18"/>
        <v>-312435000</v>
      </c>
      <c r="Z243" s="305">
        <v>0</v>
      </c>
      <c r="AB243" s="305">
        <f t="shared" si="15"/>
        <v>-312435000</v>
      </c>
    </row>
    <row r="244" spans="3:29" ht="18" customHeight="1">
      <c r="C244" s="6">
        <v>1</v>
      </c>
      <c r="D244" s="292" t="s">
        <v>1131</v>
      </c>
      <c r="E244" s="293" t="s">
        <v>1131</v>
      </c>
      <c r="F244" s="294"/>
      <c r="G244" s="293" t="s">
        <v>1132</v>
      </c>
      <c r="H244" s="370">
        <v>0</v>
      </c>
      <c r="I244" s="295">
        <v>0</v>
      </c>
      <c r="J244" s="295">
        <v>0</v>
      </c>
      <c r="K244" s="295">
        <v>0</v>
      </c>
      <c r="L244" s="296">
        <f t="shared" si="17"/>
        <v>0</v>
      </c>
      <c r="N244" s="297">
        <v>0</v>
      </c>
      <c r="O244" s="295">
        <v>0</v>
      </c>
      <c r="P244" s="295">
        <v>0</v>
      </c>
      <c r="Q244" s="295">
        <v>0</v>
      </c>
      <c r="R244" s="295">
        <v>0</v>
      </c>
      <c r="S244" s="296">
        <v>0</v>
      </c>
      <c r="U244" s="298">
        <f t="shared" si="18"/>
        <v>0</v>
      </c>
      <c r="Z244" s="305">
        <v>0</v>
      </c>
      <c r="AB244" s="305">
        <f t="shared" si="15"/>
        <v>0</v>
      </c>
    </row>
    <row r="245" spans="3:29" ht="18" customHeight="1">
      <c r="C245" s="6">
        <v>1</v>
      </c>
      <c r="D245" s="292" t="s">
        <v>1133</v>
      </c>
      <c r="E245" s="293" t="s">
        <v>1133</v>
      </c>
      <c r="F245" s="294"/>
      <c r="G245" s="293" t="s">
        <v>1134</v>
      </c>
      <c r="H245" s="370">
        <v>0</v>
      </c>
      <c r="I245" s="295">
        <v>0</v>
      </c>
      <c r="J245" s="295">
        <v>0</v>
      </c>
      <c r="K245" s="295">
        <v>0</v>
      </c>
      <c r="L245" s="296">
        <f t="shared" si="17"/>
        <v>0</v>
      </c>
      <c r="N245" s="297">
        <v>0</v>
      </c>
      <c r="O245" s="295">
        <v>0</v>
      </c>
      <c r="P245" s="295">
        <v>0</v>
      </c>
      <c r="Q245" s="295">
        <v>0</v>
      </c>
      <c r="R245" s="295">
        <v>0</v>
      </c>
      <c r="S245" s="296">
        <v>0</v>
      </c>
      <c r="U245" s="298">
        <f t="shared" si="18"/>
        <v>0</v>
      </c>
      <c r="Z245" s="305">
        <v>0</v>
      </c>
      <c r="AB245" s="305">
        <f t="shared" si="15"/>
        <v>0</v>
      </c>
    </row>
    <row r="246" spans="3:29" ht="18" customHeight="1">
      <c r="C246" s="6">
        <v>1</v>
      </c>
      <c r="D246" s="292" t="s">
        <v>1135</v>
      </c>
      <c r="E246" s="293" t="s">
        <v>1135</v>
      </c>
      <c r="F246" s="294" t="s">
        <v>1136</v>
      </c>
      <c r="G246" s="293" t="s">
        <v>1136</v>
      </c>
      <c r="H246" s="370">
        <v>0</v>
      </c>
      <c r="I246" s="295">
        <v>0</v>
      </c>
      <c r="J246" s="295">
        <v>0</v>
      </c>
      <c r="K246" s="295">
        <v>0</v>
      </c>
      <c r="L246" s="296">
        <f t="shared" si="17"/>
        <v>0</v>
      </c>
      <c r="N246" s="297">
        <v>0</v>
      </c>
      <c r="O246" s="295">
        <v>0</v>
      </c>
      <c r="P246" s="295">
        <v>0</v>
      </c>
      <c r="Q246" s="295">
        <v>0</v>
      </c>
      <c r="R246" s="295">
        <v>0</v>
      </c>
      <c r="S246" s="296">
        <v>0</v>
      </c>
      <c r="U246" s="298">
        <f t="shared" si="18"/>
        <v>0</v>
      </c>
      <c r="W246" s="6" t="b">
        <f>U246=H246</f>
        <v>1</v>
      </c>
      <c r="Z246" s="305">
        <v>0</v>
      </c>
      <c r="AB246" s="305">
        <f t="shared" si="15"/>
        <v>0</v>
      </c>
    </row>
    <row r="247" spans="3:29" ht="18" customHeight="1">
      <c r="C247" s="6">
        <v>1</v>
      </c>
      <c r="D247" s="292" t="s">
        <v>1137</v>
      </c>
      <c r="E247" s="293" t="s">
        <v>1137</v>
      </c>
      <c r="F247" s="294"/>
      <c r="G247" s="293" t="s">
        <v>1138</v>
      </c>
      <c r="H247" s="370">
        <v>0</v>
      </c>
      <c r="I247" s="295">
        <v>0</v>
      </c>
      <c r="J247" s="295">
        <v>0</v>
      </c>
      <c r="K247" s="295">
        <v>0</v>
      </c>
      <c r="L247" s="296">
        <f t="shared" si="17"/>
        <v>0</v>
      </c>
      <c r="N247" s="297">
        <v>0</v>
      </c>
      <c r="O247" s="295">
        <v>0</v>
      </c>
      <c r="P247" s="295">
        <v>0</v>
      </c>
      <c r="Q247" s="295">
        <v>0</v>
      </c>
      <c r="R247" s="295">
        <v>0</v>
      </c>
      <c r="S247" s="296">
        <v>0</v>
      </c>
      <c r="U247" s="298">
        <f t="shared" si="18"/>
        <v>0</v>
      </c>
      <c r="Z247" s="305">
        <v>0</v>
      </c>
      <c r="AB247" s="305">
        <f t="shared" si="15"/>
        <v>0</v>
      </c>
    </row>
    <row r="248" spans="3:29" ht="18" customHeight="1">
      <c r="C248" s="6">
        <v>1</v>
      </c>
      <c r="D248" s="292" t="s">
        <v>1139</v>
      </c>
      <c r="E248" s="293" t="s">
        <v>1139</v>
      </c>
      <c r="F248" s="294" t="s">
        <v>1684</v>
      </c>
      <c r="G248" s="293" t="s">
        <v>1140</v>
      </c>
      <c r="H248" s="370">
        <v>0</v>
      </c>
      <c r="I248" s="295">
        <v>0</v>
      </c>
      <c r="J248" s="295">
        <v>0</v>
      </c>
      <c r="K248" s="295">
        <v>0</v>
      </c>
      <c r="L248" s="296">
        <f t="shared" si="17"/>
        <v>0</v>
      </c>
      <c r="N248" s="297">
        <v>0</v>
      </c>
      <c r="O248" s="295">
        <v>0</v>
      </c>
      <c r="P248" s="295">
        <v>0</v>
      </c>
      <c r="Q248" s="295">
        <v>0</v>
      </c>
      <c r="R248" s="295">
        <v>0</v>
      </c>
      <c r="S248" s="296">
        <v>0</v>
      </c>
      <c r="U248" s="298">
        <f t="shared" si="18"/>
        <v>0</v>
      </c>
      <c r="Z248" s="305">
        <v>0</v>
      </c>
      <c r="AB248" s="305">
        <f t="shared" si="15"/>
        <v>0</v>
      </c>
    </row>
    <row r="249" spans="3:29" ht="18" customHeight="1">
      <c r="C249" s="6">
        <v>1</v>
      </c>
      <c r="D249" s="292" t="s">
        <v>1141</v>
      </c>
      <c r="E249" s="293" t="s">
        <v>1141</v>
      </c>
      <c r="F249" s="294" t="s">
        <v>1372</v>
      </c>
      <c r="G249" s="293" t="s">
        <v>1142</v>
      </c>
      <c r="H249" s="370">
        <v>-29176000</v>
      </c>
      <c r="I249" s="295">
        <v>-150000000</v>
      </c>
      <c r="J249" s="295">
        <v>0</v>
      </c>
      <c r="K249" s="295">
        <v>-623766063</v>
      </c>
      <c r="L249" s="296">
        <f t="shared" si="17"/>
        <v>-802942063</v>
      </c>
      <c r="N249" s="297">
        <v>0</v>
      </c>
      <c r="O249" s="295">
        <v>0</v>
      </c>
      <c r="P249" s="295">
        <v>0</v>
      </c>
      <c r="Q249" s="295">
        <v>0</v>
      </c>
      <c r="R249" s="295">
        <v>0</v>
      </c>
      <c r="S249" s="296">
        <v>0</v>
      </c>
      <c r="U249" s="298">
        <f t="shared" si="18"/>
        <v>-802942063</v>
      </c>
      <c r="Z249" s="305">
        <v>-786731247</v>
      </c>
      <c r="AB249" s="305">
        <f t="shared" si="15"/>
        <v>-16210816</v>
      </c>
    </row>
    <row r="250" spans="3:29" ht="18" customHeight="1">
      <c r="C250" s="6">
        <v>1</v>
      </c>
      <c r="D250" s="292" t="s">
        <v>1141</v>
      </c>
      <c r="E250" s="293" t="s">
        <v>1683</v>
      </c>
      <c r="F250" s="294" t="s">
        <v>1472</v>
      </c>
      <c r="G250" s="293" t="s">
        <v>1142</v>
      </c>
      <c r="H250" s="370">
        <v>-80000000</v>
      </c>
      <c r="I250" s="295">
        <v>0</v>
      </c>
      <c r="J250" s="295">
        <v>0</v>
      </c>
      <c r="K250" s="295">
        <v>0</v>
      </c>
      <c r="L250" s="296">
        <f t="shared" si="17"/>
        <v>-80000000</v>
      </c>
      <c r="N250" s="297"/>
      <c r="O250" s="295"/>
      <c r="P250" s="295"/>
      <c r="Q250" s="295"/>
      <c r="R250" s="295"/>
      <c r="S250" s="296">
        <v>0</v>
      </c>
      <c r="U250" s="298">
        <f t="shared" si="18"/>
        <v>-80000000</v>
      </c>
      <c r="Z250" s="305">
        <v>-80000000</v>
      </c>
      <c r="AB250" s="305">
        <f t="shared" si="15"/>
        <v>0</v>
      </c>
    </row>
    <row r="251" spans="3:29" ht="18" customHeight="1">
      <c r="C251" s="6">
        <v>1</v>
      </c>
      <c r="D251" s="292" t="s">
        <v>1143</v>
      </c>
      <c r="E251" s="293" t="s">
        <v>1143</v>
      </c>
      <c r="F251" s="294"/>
      <c r="G251" s="293" t="s">
        <v>1144</v>
      </c>
      <c r="H251" s="370">
        <v>0</v>
      </c>
      <c r="I251" s="295">
        <v>0</v>
      </c>
      <c r="J251" s="295">
        <v>0</v>
      </c>
      <c r="K251" s="295">
        <v>0</v>
      </c>
      <c r="L251" s="296">
        <f t="shared" si="17"/>
        <v>0</v>
      </c>
      <c r="N251" s="297">
        <v>0</v>
      </c>
      <c r="O251" s="295">
        <v>0</v>
      </c>
      <c r="P251" s="295">
        <v>0</v>
      </c>
      <c r="Q251" s="295">
        <v>0</v>
      </c>
      <c r="R251" s="295">
        <v>0</v>
      </c>
      <c r="S251" s="296">
        <v>0</v>
      </c>
      <c r="U251" s="298">
        <f t="shared" si="18"/>
        <v>0</v>
      </c>
      <c r="Z251" s="305">
        <v>0</v>
      </c>
      <c r="AB251" s="305">
        <f t="shared" si="15"/>
        <v>0</v>
      </c>
    </row>
    <row r="252" spans="3:29" ht="18" customHeight="1">
      <c r="C252" s="6">
        <v>1</v>
      </c>
      <c r="D252" s="292" t="s">
        <v>1145</v>
      </c>
      <c r="E252" s="293" t="s">
        <v>1145</v>
      </c>
      <c r="F252" s="294"/>
      <c r="G252" s="293" t="s">
        <v>1146</v>
      </c>
      <c r="H252" s="370">
        <v>0</v>
      </c>
      <c r="I252" s="295">
        <v>0</v>
      </c>
      <c r="J252" s="295">
        <v>0</v>
      </c>
      <c r="K252" s="295">
        <v>0</v>
      </c>
      <c r="L252" s="296">
        <f t="shared" si="17"/>
        <v>0</v>
      </c>
      <c r="N252" s="297">
        <v>0</v>
      </c>
      <c r="O252" s="295">
        <v>0</v>
      </c>
      <c r="P252" s="295">
        <v>0</v>
      </c>
      <c r="Q252" s="295">
        <v>0</v>
      </c>
      <c r="R252" s="295">
        <v>0</v>
      </c>
      <c r="S252" s="296">
        <v>0</v>
      </c>
      <c r="U252" s="298">
        <f t="shared" si="18"/>
        <v>0</v>
      </c>
      <c r="Z252" s="305">
        <v>0</v>
      </c>
      <c r="AB252" s="305">
        <f t="shared" si="15"/>
        <v>0</v>
      </c>
    </row>
    <row r="253" spans="3:29" ht="18" customHeight="1">
      <c r="C253" s="6">
        <v>1</v>
      </c>
      <c r="D253" s="292" t="s">
        <v>1147</v>
      </c>
      <c r="E253" s="293" t="s">
        <v>1147</v>
      </c>
      <c r="F253" s="294"/>
      <c r="G253" s="293" t="s">
        <v>1148</v>
      </c>
      <c r="H253" s="370">
        <v>0</v>
      </c>
      <c r="I253" s="295">
        <v>0</v>
      </c>
      <c r="J253" s="295">
        <v>0</v>
      </c>
      <c r="K253" s="295">
        <v>0</v>
      </c>
      <c r="L253" s="296">
        <f t="shared" si="17"/>
        <v>0</v>
      </c>
      <c r="N253" s="297">
        <v>0</v>
      </c>
      <c r="O253" s="295">
        <v>0</v>
      </c>
      <c r="P253" s="295">
        <v>0</v>
      </c>
      <c r="Q253" s="295">
        <v>0</v>
      </c>
      <c r="R253" s="295">
        <v>0</v>
      </c>
      <c r="S253" s="296">
        <v>0</v>
      </c>
      <c r="U253" s="298">
        <f t="shared" si="18"/>
        <v>0</v>
      </c>
      <c r="Z253" s="305">
        <v>0</v>
      </c>
      <c r="AB253" s="305">
        <f t="shared" si="15"/>
        <v>0</v>
      </c>
    </row>
    <row r="254" spans="3:29" ht="18" customHeight="1">
      <c r="C254" s="6">
        <v>1</v>
      </c>
      <c r="D254" s="292" t="s">
        <v>1149</v>
      </c>
      <c r="E254" s="293" t="s">
        <v>1149</v>
      </c>
      <c r="F254" s="294" t="s">
        <v>1439</v>
      </c>
      <c r="G254" s="293" t="s">
        <v>1150</v>
      </c>
      <c r="H254" s="370">
        <v>-30002038186</v>
      </c>
      <c r="I254" s="295">
        <v>0</v>
      </c>
      <c r="J254" s="295">
        <v>0</v>
      </c>
      <c r="K254" s="295">
        <v>0</v>
      </c>
      <c r="L254" s="296">
        <f t="shared" si="17"/>
        <v>-30002038186</v>
      </c>
      <c r="N254" s="297">
        <v>0</v>
      </c>
      <c r="O254" s="295">
        <v>0</v>
      </c>
      <c r="P254" s="295">
        <v>0</v>
      </c>
      <c r="Q254" s="295">
        <v>0</v>
      </c>
      <c r="R254" s="295">
        <v>0</v>
      </c>
      <c r="S254" s="296">
        <v>0</v>
      </c>
      <c r="U254" s="298">
        <f t="shared" si="18"/>
        <v>-30002038186</v>
      </c>
      <c r="Z254" s="305">
        <v>-20001800000</v>
      </c>
      <c r="AB254" s="305">
        <f t="shared" si="15"/>
        <v>-10000238186</v>
      </c>
    </row>
    <row r="255" spans="3:29" ht="18" customHeight="1">
      <c r="C255" s="6">
        <v>1</v>
      </c>
      <c r="D255" s="292" t="s">
        <v>1151</v>
      </c>
      <c r="E255" s="293" t="s">
        <v>1151</v>
      </c>
      <c r="F255" s="294"/>
      <c r="G255" s="293" t="s">
        <v>1152</v>
      </c>
      <c r="H255" s="370">
        <v>0</v>
      </c>
      <c r="I255" s="295">
        <v>0</v>
      </c>
      <c r="J255" s="295">
        <v>0</v>
      </c>
      <c r="K255" s="295">
        <v>0</v>
      </c>
      <c r="L255" s="296">
        <f t="shared" si="17"/>
        <v>0</v>
      </c>
      <c r="N255" s="297">
        <v>0</v>
      </c>
      <c r="O255" s="295">
        <v>0</v>
      </c>
      <c r="P255" s="295">
        <v>0</v>
      </c>
      <c r="Q255" s="295">
        <v>0</v>
      </c>
      <c r="R255" s="295">
        <v>0</v>
      </c>
      <c r="S255" s="296">
        <v>0</v>
      </c>
      <c r="U255" s="298">
        <f t="shared" si="18"/>
        <v>0</v>
      </c>
      <c r="Z255" s="305">
        <v>0</v>
      </c>
      <c r="AB255" s="305">
        <f t="shared" si="15"/>
        <v>0</v>
      </c>
    </row>
    <row r="256" spans="3:29" ht="18" customHeight="1">
      <c r="C256" s="6">
        <v>1</v>
      </c>
      <c r="D256" s="292" t="s">
        <v>1153</v>
      </c>
      <c r="E256" s="293" t="s">
        <v>1153</v>
      </c>
      <c r="F256" s="294" t="s">
        <v>2191</v>
      </c>
      <c r="G256" s="293" t="s">
        <v>1154</v>
      </c>
      <c r="H256" s="370">
        <v>-251229861</v>
      </c>
      <c r="I256" s="295">
        <v>0</v>
      </c>
      <c r="J256" s="295">
        <v>0</v>
      </c>
      <c r="K256" s="295">
        <v>0</v>
      </c>
      <c r="L256" s="296">
        <f t="shared" si="17"/>
        <v>-251229861</v>
      </c>
      <c r="N256" s="297">
        <v>0</v>
      </c>
      <c r="O256" s="295">
        <v>0</v>
      </c>
      <c r="P256" s="295">
        <v>0</v>
      </c>
      <c r="Q256" s="295">
        <v>0</v>
      </c>
      <c r="R256" s="295">
        <v>0</v>
      </c>
      <c r="S256" s="296">
        <v>0</v>
      </c>
      <c r="U256" s="298">
        <f t="shared" si="18"/>
        <v>-251229861</v>
      </c>
      <c r="Z256" s="305">
        <v>-251229861</v>
      </c>
      <c r="AB256" s="305">
        <f t="shared" si="15"/>
        <v>0</v>
      </c>
    </row>
    <row r="257" spans="3:28" ht="18" customHeight="1">
      <c r="C257" s="6">
        <v>1</v>
      </c>
      <c r="D257" s="292" t="s">
        <v>1155</v>
      </c>
      <c r="E257" s="293" t="s">
        <v>1155</v>
      </c>
      <c r="F257" s="294" t="s">
        <v>1474</v>
      </c>
      <c r="G257" s="293" t="s">
        <v>1156</v>
      </c>
      <c r="H257" s="370">
        <v>-1520000000</v>
      </c>
      <c r="I257" s="295">
        <v>0</v>
      </c>
      <c r="J257" s="295">
        <v>0</v>
      </c>
      <c r="K257" s="295">
        <v>0</v>
      </c>
      <c r="L257" s="296">
        <f t="shared" si="17"/>
        <v>-1520000000</v>
      </c>
      <c r="N257" s="297">
        <v>0</v>
      </c>
      <c r="O257" s="295">
        <v>0</v>
      </c>
      <c r="P257" s="295">
        <v>0</v>
      </c>
      <c r="Q257" s="295">
        <v>0</v>
      </c>
      <c r="R257" s="295">
        <v>20000000</v>
      </c>
      <c r="S257" s="296">
        <v>20000000</v>
      </c>
      <c r="U257" s="298">
        <f t="shared" si="18"/>
        <v>-1500000000</v>
      </c>
      <c r="Z257" s="305">
        <v>-1500000000</v>
      </c>
      <c r="AB257" s="305">
        <f t="shared" si="15"/>
        <v>0</v>
      </c>
    </row>
    <row r="258" spans="3:28" ht="18" customHeight="1">
      <c r="C258" s="6">
        <v>1</v>
      </c>
      <c r="D258" s="292" t="s">
        <v>1157</v>
      </c>
      <c r="E258" s="293" t="s">
        <v>1157</v>
      </c>
      <c r="F258" s="294" t="s">
        <v>1474</v>
      </c>
      <c r="G258" s="293" t="s">
        <v>2196</v>
      </c>
      <c r="H258" s="370">
        <v>0</v>
      </c>
      <c r="I258" s="295">
        <v>0</v>
      </c>
      <c r="J258" s="295">
        <v>0</v>
      </c>
      <c r="K258" s="295">
        <v>0</v>
      </c>
      <c r="L258" s="296">
        <f t="shared" si="17"/>
        <v>0</v>
      </c>
      <c r="N258" s="297">
        <v>20206929</v>
      </c>
      <c r="O258" s="295">
        <v>0</v>
      </c>
      <c r="P258" s="295">
        <v>0</v>
      </c>
      <c r="Q258" s="295">
        <v>0</v>
      </c>
      <c r="R258" s="295">
        <v>0</v>
      </c>
      <c r="S258" s="296">
        <v>20206929</v>
      </c>
      <c r="U258" s="298">
        <f t="shared" si="18"/>
        <v>20206929</v>
      </c>
      <c r="Z258" s="305">
        <v>20206929</v>
      </c>
      <c r="AB258" s="305">
        <f t="shared" si="15"/>
        <v>0</v>
      </c>
    </row>
    <row r="259" spans="3:28" ht="18" customHeight="1">
      <c r="C259" s="6">
        <v>1</v>
      </c>
      <c r="D259" s="292" t="s">
        <v>1159</v>
      </c>
      <c r="E259" s="293" t="s">
        <v>1159</v>
      </c>
      <c r="F259" s="294"/>
      <c r="G259" s="293" t="s">
        <v>1160</v>
      </c>
      <c r="H259" s="370">
        <v>0</v>
      </c>
      <c r="I259" s="295">
        <v>0</v>
      </c>
      <c r="J259" s="295">
        <v>0</v>
      </c>
      <c r="K259" s="295">
        <v>0</v>
      </c>
      <c r="L259" s="296">
        <f t="shared" si="17"/>
        <v>0</v>
      </c>
      <c r="N259" s="297">
        <v>0</v>
      </c>
      <c r="O259" s="295">
        <v>0</v>
      </c>
      <c r="P259" s="295">
        <v>0</v>
      </c>
      <c r="Q259" s="295">
        <v>0</v>
      </c>
      <c r="R259" s="295">
        <v>0</v>
      </c>
      <c r="S259" s="296">
        <v>0</v>
      </c>
      <c r="U259" s="298">
        <f t="shared" si="18"/>
        <v>0</v>
      </c>
      <c r="Z259" s="305">
        <v>0</v>
      </c>
      <c r="AB259" s="305">
        <f t="shared" si="15"/>
        <v>0</v>
      </c>
    </row>
    <row r="260" spans="3:28" ht="18" customHeight="1">
      <c r="C260" s="6">
        <v>1</v>
      </c>
      <c r="D260" s="292" t="s">
        <v>1161</v>
      </c>
      <c r="E260" s="293" t="s">
        <v>1161</v>
      </c>
      <c r="F260" s="294"/>
      <c r="G260" s="293" t="s">
        <v>1162</v>
      </c>
      <c r="H260" s="370">
        <v>0</v>
      </c>
      <c r="I260" s="295">
        <v>0</v>
      </c>
      <c r="J260" s="295">
        <v>0</v>
      </c>
      <c r="K260" s="295">
        <v>0</v>
      </c>
      <c r="L260" s="296">
        <f t="shared" si="17"/>
        <v>0</v>
      </c>
      <c r="N260" s="297">
        <v>0</v>
      </c>
      <c r="O260" s="295">
        <v>0</v>
      </c>
      <c r="P260" s="295">
        <v>0</v>
      </c>
      <c r="Q260" s="295">
        <v>0</v>
      </c>
      <c r="R260" s="295">
        <v>0</v>
      </c>
      <c r="S260" s="296">
        <v>0</v>
      </c>
      <c r="U260" s="298">
        <f t="shared" si="18"/>
        <v>0</v>
      </c>
      <c r="Z260" s="305">
        <v>0</v>
      </c>
      <c r="AB260" s="305">
        <f t="shared" si="15"/>
        <v>0</v>
      </c>
    </row>
    <row r="261" spans="3:28" ht="18" customHeight="1">
      <c r="C261" s="6">
        <v>1</v>
      </c>
      <c r="D261" s="292" t="s">
        <v>1163</v>
      </c>
      <c r="E261" s="293" t="s">
        <v>1163</v>
      </c>
      <c r="F261" s="294"/>
      <c r="G261" s="293" t="s">
        <v>1164</v>
      </c>
      <c r="H261" s="370">
        <v>0</v>
      </c>
      <c r="I261" s="295">
        <v>0</v>
      </c>
      <c r="J261" s="295">
        <v>0</v>
      </c>
      <c r="K261" s="295">
        <v>0</v>
      </c>
      <c r="L261" s="296">
        <f t="shared" si="17"/>
        <v>0</v>
      </c>
      <c r="N261" s="297">
        <v>0</v>
      </c>
      <c r="O261" s="295">
        <v>0</v>
      </c>
      <c r="P261" s="295">
        <v>0</v>
      </c>
      <c r="Q261" s="295">
        <v>0</v>
      </c>
      <c r="R261" s="295">
        <v>0</v>
      </c>
      <c r="S261" s="296">
        <v>0</v>
      </c>
      <c r="U261" s="298">
        <f t="shared" si="18"/>
        <v>0</v>
      </c>
      <c r="Z261" s="305">
        <v>0</v>
      </c>
      <c r="AB261" s="305">
        <f t="shared" si="15"/>
        <v>0</v>
      </c>
    </row>
    <row r="262" spans="3:28" ht="18" customHeight="1">
      <c r="C262" s="6">
        <v>1</v>
      </c>
      <c r="D262" s="292" t="s">
        <v>1165</v>
      </c>
      <c r="E262" s="293" t="s">
        <v>1165</v>
      </c>
      <c r="F262" s="294"/>
      <c r="G262" s="293" t="s">
        <v>1166</v>
      </c>
      <c r="H262" s="370">
        <v>0</v>
      </c>
      <c r="I262" s="295">
        <v>0</v>
      </c>
      <c r="J262" s="295">
        <v>0</v>
      </c>
      <c r="K262" s="295">
        <v>0</v>
      </c>
      <c r="L262" s="296">
        <f t="shared" si="17"/>
        <v>0</v>
      </c>
      <c r="N262" s="297">
        <v>0</v>
      </c>
      <c r="O262" s="295">
        <v>0</v>
      </c>
      <c r="P262" s="295">
        <v>0</v>
      </c>
      <c r="Q262" s="295">
        <v>0</v>
      </c>
      <c r="R262" s="295">
        <v>0</v>
      </c>
      <c r="S262" s="296">
        <v>0</v>
      </c>
      <c r="U262" s="298">
        <f t="shared" si="18"/>
        <v>0</v>
      </c>
      <c r="Z262" s="305">
        <v>0</v>
      </c>
      <c r="AB262" s="305">
        <f t="shared" si="15"/>
        <v>0</v>
      </c>
    </row>
    <row r="263" spans="3:28" ht="18" customHeight="1">
      <c r="C263" s="6">
        <v>1</v>
      </c>
      <c r="D263" s="292" t="s">
        <v>1167</v>
      </c>
      <c r="E263" s="293" t="s">
        <v>1167</v>
      </c>
      <c r="F263" s="294"/>
      <c r="G263" s="293" t="s">
        <v>1168</v>
      </c>
      <c r="H263" s="370">
        <v>0</v>
      </c>
      <c r="I263" s="295">
        <v>0</v>
      </c>
      <c r="J263" s="295">
        <v>0</v>
      </c>
      <c r="K263" s="295">
        <v>0</v>
      </c>
      <c r="L263" s="296">
        <f t="shared" si="17"/>
        <v>0</v>
      </c>
      <c r="N263" s="297">
        <v>0</v>
      </c>
      <c r="O263" s="295">
        <v>0</v>
      </c>
      <c r="P263" s="295">
        <v>0</v>
      </c>
      <c r="Q263" s="295">
        <v>0</v>
      </c>
      <c r="R263" s="295">
        <v>0</v>
      </c>
      <c r="S263" s="296">
        <v>0</v>
      </c>
      <c r="U263" s="298">
        <f t="shared" si="18"/>
        <v>0</v>
      </c>
      <c r="Z263" s="305">
        <v>0</v>
      </c>
      <c r="AB263" s="305">
        <f t="shared" si="15"/>
        <v>0</v>
      </c>
    </row>
    <row r="264" spans="3:28" ht="18" customHeight="1">
      <c r="C264" s="6">
        <v>1</v>
      </c>
      <c r="D264" s="292" t="s">
        <v>1169</v>
      </c>
      <c r="E264" s="293" t="s">
        <v>1169</v>
      </c>
      <c r="F264" s="294"/>
      <c r="G264" s="293" t="s">
        <v>1170</v>
      </c>
      <c r="H264" s="370">
        <v>0</v>
      </c>
      <c r="I264" s="295">
        <v>0</v>
      </c>
      <c r="J264" s="295">
        <v>0</v>
      </c>
      <c r="K264" s="295">
        <v>0</v>
      </c>
      <c r="L264" s="296">
        <f t="shared" si="17"/>
        <v>0</v>
      </c>
      <c r="N264" s="297">
        <v>0</v>
      </c>
      <c r="O264" s="295">
        <v>0</v>
      </c>
      <c r="P264" s="295">
        <v>0</v>
      </c>
      <c r="Q264" s="295">
        <v>0</v>
      </c>
      <c r="R264" s="295">
        <v>0</v>
      </c>
      <c r="S264" s="296">
        <v>0</v>
      </c>
      <c r="U264" s="298">
        <f t="shared" si="18"/>
        <v>0</v>
      </c>
      <c r="Z264" s="305">
        <v>0</v>
      </c>
      <c r="AB264" s="305">
        <f t="shared" ref="AB264:AB327" si="19">U264-Z264</f>
        <v>0</v>
      </c>
    </row>
    <row r="265" spans="3:28" ht="18" customHeight="1">
      <c r="C265" s="6">
        <v>1</v>
      </c>
      <c r="D265" s="292" t="s">
        <v>1171</v>
      </c>
      <c r="E265" s="293" t="s">
        <v>1171</v>
      </c>
      <c r="F265" s="294"/>
      <c r="G265" s="293" t="s">
        <v>1172</v>
      </c>
      <c r="H265" s="370">
        <v>0</v>
      </c>
      <c r="I265" s="295">
        <v>0</v>
      </c>
      <c r="J265" s="295">
        <v>0</v>
      </c>
      <c r="K265" s="295">
        <v>0</v>
      </c>
      <c r="L265" s="296">
        <f t="shared" si="17"/>
        <v>0</v>
      </c>
      <c r="N265" s="297">
        <v>0</v>
      </c>
      <c r="O265" s="295">
        <v>0</v>
      </c>
      <c r="P265" s="295">
        <v>0</v>
      </c>
      <c r="Q265" s="295">
        <v>0</v>
      </c>
      <c r="R265" s="295">
        <v>0</v>
      </c>
      <c r="S265" s="296">
        <v>0</v>
      </c>
      <c r="U265" s="298">
        <f t="shared" si="18"/>
        <v>0</v>
      </c>
      <c r="Z265" s="305">
        <v>0</v>
      </c>
      <c r="AB265" s="305">
        <f t="shared" si="19"/>
        <v>0</v>
      </c>
    </row>
    <row r="266" spans="3:28" ht="18" customHeight="1">
      <c r="C266" s="6">
        <v>1</v>
      </c>
      <c r="D266" s="292" t="s">
        <v>1173</v>
      </c>
      <c r="E266" s="293" t="s">
        <v>1173</v>
      </c>
      <c r="F266" s="294"/>
      <c r="G266" s="293" t="s">
        <v>1174</v>
      </c>
      <c r="H266" s="370">
        <v>0</v>
      </c>
      <c r="I266" s="295">
        <v>0</v>
      </c>
      <c r="J266" s="295">
        <v>0</v>
      </c>
      <c r="K266" s="295">
        <v>0</v>
      </c>
      <c r="L266" s="296">
        <f t="shared" si="17"/>
        <v>0</v>
      </c>
      <c r="N266" s="297">
        <v>0</v>
      </c>
      <c r="O266" s="295">
        <v>0</v>
      </c>
      <c r="P266" s="295">
        <v>0</v>
      </c>
      <c r="Q266" s="295">
        <v>0</v>
      </c>
      <c r="R266" s="295">
        <v>0</v>
      </c>
      <c r="S266" s="296">
        <v>0</v>
      </c>
      <c r="U266" s="298">
        <f t="shared" si="18"/>
        <v>0</v>
      </c>
      <c r="Z266" s="305">
        <v>0</v>
      </c>
      <c r="AB266" s="305">
        <f t="shared" si="19"/>
        <v>0</v>
      </c>
    </row>
    <row r="267" spans="3:28" ht="18" customHeight="1">
      <c r="C267" s="6">
        <v>1</v>
      </c>
      <c r="D267" s="292" t="s">
        <v>1175</v>
      </c>
      <c r="E267" s="293" t="s">
        <v>1175</v>
      </c>
      <c r="F267" s="294" t="s">
        <v>1440</v>
      </c>
      <c r="G267" s="293" t="s">
        <v>1176</v>
      </c>
      <c r="H267" s="370">
        <v>0</v>
      </c>
      <c r="I267" s="295">
        <v>0</v>
      </c>
      <c r="J267" s="295">
        <v>0</v>
      </c>
      <c r="K267" s="295">
        <v>0</v>
      </c>
      <c r="L267" s="296">
        <f t="shared" si="17"/>
        <v>0</v>
      </c>
      <c r="N267" s="297">
        <v>0</v>
      </c>
      <c r="O267" s="295">
        <v>0</v>
      </c>
      <c r="P267" s="295">
        <v>0</v>
      </c>
      <c r="Q267" s="295">
        <v>0</v>
      </c>
      <c r="R267" s="295">
        <v>0</v>
      </c>
      <c r="S267" s="296">
        <v>0</v>
      </c>
      <c r="U267" s="298">
        <f t="shared" si="18"/>
        <v>0</v>
      </c>
      <c r="Z267" s="305">
        <v>0</v>
      </c>
      <c r="AB267" s="305">
        <f t="shared" si="19"/>
        <v>0</v>
      </c>
    </row>
    <row r="268" spans="3:28" ht="18" customHeight="1">
      <c r="C268" s="6">
        <v>1</v>
      </c>
      <c r="D268" s="292" t="s">
        <v>1177</v>
      </c>
      <c r="E268" s="293" t="s">
        <v>1177</v>
      </c>
      <c r="F268" s="294"/>
      <c r="G268" s="293" t="s">
        <v>1178</v>
      </c>
      <c r="H268" s="370">
        <v>0</v>
      </c>
      <c r="I268" s="295">
        <v>0</v>
      </c>
      <c r="J268" s="295">
        <v>0</v>
      </c>
      <c r="K268" s="295">
        <v>0</v>
      </c>
      <c r="L268" s="296">
        <f t="shared" si="17"/>
        <v>0</v>
      </c>
      <c r="N268" s="297">
        <v>0</v>
      </c>
      <c r="O268" s="295">
        <v>0</v>
      </c>
      <c r="P268" s="295">
        <v>0</v>
      </c>
      <c r="Q268" s="295">
        <v>0</v>
      </c>
      <c r="R268" s="295">
        <v>0</v>
      </c>
      <c r="S268" s="296">
        <v>0</v>
      </c>
      <c r="U268" s="298">
        <f t="shared" si="18"/>
        <v>0</v>
      </c>
      <c r="Z268" s="305">
        <v>0</v>
      </c>
      <c r="AB268" s="305">
        <f t="shared" si="19"/>
        <v>0</v>
      </c>
    </row>
    <row r="269" spans="3:28" ht="18" customHeight="1">
      <c r="C269" s="6">
        <v>1</v>
      </c>
      <c r="D269" s="292" t="s">
        <v>1179</v>
      </c>
      <c r="E269" s="293" t="s">
        <v>1179</v>
      </c>
      <c r="F269" s="294" t="s">
        <v>1440</v>
      </c>
      <c r="G269" s="293" t="s">
        <v>1180</v>
      </c>
      <c r="H269" s="370">
        <v>0</v>
      </c>
      <c r="I269" s="295">
        <v>0</v>
      </c>
      <c r="J269" s="295">
        <v>0</v>
      </c>
      <c r="K269" s="295">
        <v>0</v>
      </c>
      <c r="L269" s="296">
        <f t="shared" si="17"/>
        <v>0</v>
      </c>
      <c r="N269" s="297">
        <v>0</v>
      </c>
      <c r="O269" s="295">
        <v>0</v>
      </c>
      <c r="P269" s="295">
        <v>0</v>
      </c>
      <c r="Q269" s="295">
        <v>0</v>
      </c>
      <c r="R269" s="295">
        <v>0</v>
      </c>
      <c r="S269" s="296">
        <v>0</v>
      </c>
      <c r="U269" s="298">
        <f t="shared" si="18"/>
        <v>0</v>
      </c>
      <c r="Z269" s="305">
        <v>0</v>
      </c>
      <c r="AB269" s="305">
        <f t="shared" si="19"/>
        <v>0</v>
      </c>
    </row>
    <row r="270" spans="3:28" ht="18" customHeight="1">
      <c r="C270" s="6">
        <v>1</v>
      </c>
      <c r="D270" s="292" t="s">
        <v>1181</v>
      </c>
      <c r="E270" s="293" t="s">
        <v>1181</v>
      </c>
      <c r="F270" s="294"/>
      <c r="G270" s="293" t="s">
        <v>1182</v>
      </c>
      <c r="H270" s="370">
        <v>0</v>
      </c>
      <c r="I270" s="295">
        <v>0</v>
      </c>
      <c r="J270" s="295">
        <v>0</v>
      </c>
      <c r="K270" s="295">
        <v>0</v>
      </c>
      <c r="L270" s="296">
        <f t="shared" si="17"/>
        <v>0</v>
      </c>
      <c r="N270" s="297">
        <v>0</v>
      </c>
      <c r="O270" s="295">
        <v>0</v>
      </c>
      <c r="P270" s="295">
        <v>0</v>
      </c>
      <c r="Q270" s="295">
        <v>0</v>
      </c>
      <c r="R270" s="295">
        <v>0</v>
      </c>
      <c r="S270" s="296">
        <v>0</v>
      </c>
      <c r="U270" s="298">
        <f t="shared" si="18"/>
        <v>0</v>
      </c>
      <c r="Z270" s="305">
        <v>0</v>
      </c>
      <c r="AB270" s="305">
        <f t="shared" si="19"/>
        <v>0</v>
      </c>
    </row>
    <row r="271" spans="3:28" ht="18" customHeight="1">
      <c r="C271" s="6">
        <v>1</v>
      </c>
      <c r="D271" s="292" t="s">
        <v>1183</v>
      </c>
      <c r="E271" s="293" t="s">
        <v>1365</v>
      </c>
      <c r="F271" s="294" t="s">
        <v>1440</v>
      </c>
      <c r="G271" s="293" t="s">
        <v>1357</v>
      </c>
      <c r="H271" s="370">
        <v>0</v>
      </c>
      <c r="I271" s="295">
        <v>0</v>
      </c>
      <c r="J271" s="295">
        <v>0</v>
      </c>
      <c r="K271" s="295">
        <v>0</v>
      </c>
      <c r="L271" s="296">
        <f t="shared" si="17"/>
        <v>0</v>
      </c>
      <c r="N271" s="297">
        <v>0</v>
      </c>
      <c r="O271" s="295">
        <v>0</v>
      </c>
      <c r="P271" s="295">
        <v>0</v>
      </c>
      <c r="Q271" s="295">
        <v>0</v>
      </c>
      <c r="R271" s="295">
        <v>0</v>
      </c>
      <c r="S271" s="296">
        <v>0</v>
      </c>
      <c r="U271" s="298">
        <f t="shared" si="18"/>
        <v>0</v>
      </c>
      <c r="Z271" s="305"/>
      <c r="AB271" s="305">
        <f t="shared" si="19"/>
        <v>0</v>
      </c>
    </row>
    <row r="272" spans="3:28" ht="18" customHeight="1">
      <c r="C272" s="6">
        <v>1</v>
      </c>
      <c r="D272" s="292" t="s">
        <v>1183</v>
      </c>
      <c r="E272" s="293" t="s">
        <v>1366</v>
      </c>
      <c r="F272" s="294" t="s">
        <v>1440</v>
      </c>
      <c r="G272" s="293" t="s">
        <v>1358</v>
      </c>
      <c r="H272" s="370">
        <v>-907023623</v>
      </c>
      <c r="I272" s="370">
        <v>-5045455</v>
      </c>
      <c r="J272" s="295">
        <v>0</v>
      </c>
      <c r="K272" s="295">
        <v>-33989575</v>
      </c>
      <c r="L272" s="296">
        <f t="shared" si="17"/>
        <v>-946058653</v>
      </c>
      <c r="N272" s="297">
        <v>0</v>
      </c>
      <c r="O272" s="295">
        <v>0</v>
      </c>
      <c r="P272" s="295">
        <v>0</v>
      </c>
      <c r="Q272" s="295">
        <v>0</v>
      </c>
      <c r="R272" s="295">
        <v>0</v>
      </c>
      <c r="S272" s="296">
        <v>0</v>
      </c>
      <c r="U272" s="298">
        <f t="shared" si="18"/>
        <v>-946058653</v>
      </c>
      <c r="Z272" s="305">
        <v>-624638873</v>
      </c>
      <c r="AB272" s="305">
        <f t="shared" si="19"/>
        <v>-321419780</v>
      </c>
    </row>
    <row r="273" spans="3:28" ht="18" customHeight="1">
      <c r="C273" s="6">
        <v>1</v>
      </c>
      <c r="D273" s="292" t="s">
        <v>1183</v>
      </c>
      <c r="E273" s="293" t="s">
        <v>1367</v>
      </c>
      <c r="F273" s="294" t="s">
        <v>1440</v>
      </c>
      <c r="G273" s="293" t="s">
        <v>1359</v>
      </c>
      <c r="H273" s="370">
        <v>-736051070</v>
      </c>
      <c r="I273" s="370">
        <v>0</v>
      </c>
      <c r="J273" s="295">
        <v>0</v>
      </c>
      <c r="K273" s="295">
        <v>0</v>
      </c>
      <c r="L273" s="296">
        <f t="shared" si="17"/>
        <v>-736051070</v>
      </c>
      <c r="N273" s="297">
        <v>0</v>
      </c>
      <c r="O273" s="295">
        <v>0</v>
      </c>
      <c r="P273" s="295">
        <v>0</v>
      </c>
      <c r="Q273" s="295">
        <v>0</v>
      </c>
      <c r="R273" s="295">
        <v>0</v>
      </c>
      <c r="S273" s="296">
        <v>0</v>
      </c>
      <c r="U273" s="298">
        <f t="shared" si="18"/>
        <v>-736051070</v>
      </c>
      <c r="Z273" s="305">
        <v>-408850000</v>
      </c>
      <c r="AB273" s="305">
        <f t="shared" si="19"/>
        <v>-327201070</v>
      </c>
    </row>
    <row r="274" spans="3:28" ht="18" customHeight="1">
      <c r="C274" s="6">
        <v>1</v>
      </c>
      <c r="D274" s="292" t="s">
        <v>1184</v>
      </c>
      <c r="E274" s="293" t="s">
        <v>1184</v>
      </c>
      <c r="F274" s="294"/>
      <c r="G274" s="293" t="s">
        <v>1185</v>
      </c>
      <c r="H274" s="370">
        <v>0</v>
      </c>
      <c r="I274" s="295">
        <v>0</v>
      </c>
      <c r="J274" s="295">
        <v>0</v>
      </c>
      <c r="K274" s="295">
        <v>0</v>
      </c>
      <c r="L274" s="296">
        <f t="shared" ref="L274:L299" si="20">SUM(H274:K274)</f>
        <v>0</v>
      </c>
      <c r="N274" s="297">
        <v>0</v>
      </c>
      <c r="O274" s="295">
        <v>0</v>
      </c>
      <c r="P274" s="295">
        <v>0</v>
      </c>
      <c r="Q274" s="295">
        <v>0</v>
      </c>
      <c r="R274" s="295">
        <v>0</v>
      </c>
      <c r="S274" s="296">
        <v>0</v>
      </c>
      <c r="U274" s="298">
        <f t="shared" si="18"/>
        <v>0</v>
      </c>
      <c r="Z274" s="305">
        <v>0</v>
      </c>
      <c r="AB274" s="305">
        <f t="shared" si="19"/>
        <v>0</v>
      </c>
    </row>
    <row r="275" spans="3:28" ht="18" customHeight="1">
      <c r="C275" s="6">
        <v>1</v>
      </c>
      <c r="D275" s="292" t="s">
        <v>1186</v>
      </c>
      <c r="E275" s="293" t="s">
        <v>1186</v>
      </c>
      <c r="F275" s="294"/>
      <c r="G275" s="293" t="s">
        <v>1187</v>
      </c>
      <c r="H275" s="370">
        <v>0</v>
      </c>
      <c r="I275" s="295">
        <v>0</v>
      </c>
      <c r="J275" s="295">
        <v>0</v>
      </c>
      <c r="K275" s="295">
        <v>0</v>
      </c>
      <c r="L275" s="296">
        <f t="shared" si="20"/>
        <v>0</v>
      </c>
      <c r="N275" s="297">
        <v>0</v>
      </c>
      <c r="O275" s="295">
        <v>0</v>
      </c>
      <c r="P275" s="295">
        <v>0</v>
      </c>
      <c r="Q275" s="295">
        <v>0</v>
      </c>
      <c r="R275" s="295">
        <v>0</v>
      </c>
      <c r="S275" s="296">
        <v>0</v>
      </c>
      <c r="U275" s="298">
        <f t="shared" si="18"/>
        <v>0</v>
      </c>
      <c r="Z275" s="305">
        <v>0</v>
      </c>
      <c r="AB275" s="305">
        <f t="shared" si="19"/>
        <v>0</v>
      </c>
    </row>
    <row r="276" spans="3:28" ht="18" customHeight="1">
      <c r="C276" s="6">
        <v>1</v>
      </c>
      <c r="D276" s="292" t="s">
        <v>1188</v>
      </c>
      <c r="E276" s="293" t="s">
        <v>1188</v>
      </c>
      <c r="F276" s="294" t="s">
        <v>1440</v>
      </c>
      <c r="G276" s="293" t="s">
        <v>1189</v>
      </c>
      <c r="H276" s="370">
        <v>-115480432</v>
      </c>
      <c r="I276" s="370">
        <v>0</v>
      </c>
      <c r="J276" s="295">
        <v>0</v>
      </c>
      <c r="K276" s="295">
        <v>0</v>
      </c>
      <c r="L276" s="296">
        <f t="shared" si="20"/>
        <v>-115480432</v>
      </c>
      <c r="N276" s="297">
        <v>0</v>
      </c>
      <c r="O276" s="295">
        <v>0</v>
      </c>
      <c r="P276" s="295">
        <v>0</v>
      </c>
      <c r="Q276" s="295">
        <v>0</v>
      </c>
      <c r="R276" s="295">
        <v>0</v>
      </c>
      <c r="S276" s="296">
        <v>0</v>
      </c>
      <c r="U276" s="298">
        <f t="shared" si="18"/>
        <v>-115480432</v>
      </c>
      <c r="Z276" s="305">
        <v>-96623652</v>
      </c>
      <c r="AB276" s="305">
        <f t="shared" si="19"/>
        <v>-18856780</v>
      </c>
    </row>
    <row r="277" spans="3:28" ht="18" customHeight="1">
      <c r="C277" s="6">
        <v>1</v>
      </c>
      <c r="D277" s="292" t="s">
        <v>1183</v>
      </c>
      <c r="E277" s="293" t="s">
        <v>1190</v>
      </c>
      <c r="F277" s="294" t="s">
        <v>1440</v>
      </c>
      <c r="G277" s="293" t="s">
        <v>1191</v>
      </c>
      <c r="H277" s="370">
        <v>-341435390</v>
      </c>
      <c r="I277" s="295">
        <v>0</v>
      </c>
      <c r="J277" s="295">
        <v>0</v>
      </c>
      <c r="K277" s="295">
        <v>0</v>
      </c>
      <c r="L277" s="296">
        <f t="shared" si="20"/>
        <v>-341435390</v>
      </c>
      <c r="N277" s="297">
        <v>0</v>
      </c>
      <c r="O277" s="295">
        <v>0</v>
      </c>
      <c r="P277" s="295">
        <v>0</v>
      </c>
      <c r="Q277" s="295">
        <v>0</v>
      </c>
      <c r="R277" s="295">
        <v>0</v>
      </c>
      <c r="S277" s="296">
        <v>0</v>
      </c>
      <c r="U277" s="298">
        <f t="shared" si="18"/>
        <v>-341435390</v>
      </c>
      <c r="Z277" s="305">
        <v>-91800000</v>
      </c>
      <c r="AB277" s="305">
        <f t="shared" si="19"/>
        <v>-249635390</v>
      </c>
    </row>
    <row r="278" spans="3:28" ht="18" customHeight="1">
      <c r="C278" s="6">
        <v>1</v>
      </c>
      <c r="D278" s="292" t="s">
        <v>1192</v>
      </c>
      <c r="E278" s="293" t="s">
        <v>1192</v>
      </c>
      <c r="F278" s="294" t="s">
        <v>1441</v>
      </c>
      <c r="G278" s="293" t="s">
        <v>1193</v>
      </c>
      <c r="H278" s="370">
        <v>-1022553523</v>
      </c>
      <c r="I278" s="370">
        <v>0</v>
      </c>
      <c r="J278" s="295">
        <v>0</v>
      </c>
      <c r="K278" s="295">
        <v>0</v>
      </c>
      <c r="L278" s="296">
        <f t="shared" si="20"/>
        <v>-1022553523</v>
      </c>
      <c r="N278" s="297">
        <v>0</v>
      </c>
      <c r="O278" s="295">
        <v>0</v>
      </c>
      <c r="P278" s="295">
        <v>0</v>
      </c>
      <c r="Q278" s="295">
        <v>0</v>
      </c>
      <c r="R278" s="295">
        <v>0</v>
      </c>
      <c r="S278" s="296">
        <v>0</v>
      </c>
      <c r="U278" s="298">
        <f t="shared" si="18"/>
        <v>-1022553523</v>
      </c>
      <c r="Z278" s="305">
        <v>-1004176002</v>
      </c>
      <c r="AB278" s="305">
        <f t="shared" si="19"/>
        <v>-18377521</v>
      </c>
    </row>
    <row r="279" spans="3:28" ht="18" customHeight="1">
      <c r="C279" s="6">
        <v>1</v>
      </c>
      <c r="D279" s="292" t="s">
        <v>1194</v>
      </c>
      <c r="E279" s="293" t="s">
        <v>1194</v>
      </c>
      <c r="F279" s="294"/>
      <c r="G279" s="293" t="s">
        <v>1195</v>
      </c>
      <c r="H279" s="370">
        <v>0</v>
      </c>
      <c r="I279" s="295">
        <v>0</v>
      </c>
      <c r="J279" s="295">
        <v>0</v>
      </c>
      <c r="K279" s="295">
        <v>0</v>
      </c>
      <c r="L279" s="296">
        <f t="shared" si="20"/>
        <v>0</v>
      </c>
      <c r="N279" s="297">
        <v>0</v>
      </c>
      <c r="O279" s="295">
        <v>0</v>
      </c>
      <c r="P279" s="295">
        <v>0</v>
      </c>
      <c r="Q279" s="295">
        <v>0</v>
      </c>
      <c r="R279" s="295">
        <v>0</v>
      </c>
      <c r="S279" s="296">
        <v>0</v>
      </c>
      <c r="U279" s="298">
        <f t="shared" si="18"/>
        <v>0</v>
      </c>
      <c r="Z279" s="305">
        <v>0</v>
      </c>
      <c r="AB279" s="305">
        <f t="shared" si="19"/>
        <v>0</v>
      </c>
    </row>
    <row r="280" spans="3:28" ht="18" customHeight="1">
      <c r="C280" s="6">
        <v>1</v>
      </c>
      <c r="D280" s="292" t="s">
        <v>1196</v>
      </c>
      <c r="E280" s="293" t="s">
        <v>1196</v>
      </c>
      <c r="F280" s="294"/>
      <c r="G280" s="293" t="s">
        <v>1197</v>
      </c>
      <c r="H280" s="370">
        <v>0</v>
      </c>
      <c r="I280" s="295">
        <v>0</v>
      </c>
      <c r="J280" s="295">
        <v>0</v>
      </c>
      <c r="K280" s="295">
        <v>0</v>
      </c>
      <c r="L280" s="296">
        <f t="shared" si="20"/>
        <v>0</v>
      </c>
      <c r="N280" s="297">
        <v>0</v>
      </c>
      <c r="O280" s="295">
        <v>0</v>
      </c>
      <c r="P280" s="295">
        <v>0</v>
      </c>
      <c r="Q280" s="295">
        <v>0</v>
      </c>
      <c r="R280" s="295">
        <v>0</v>
      </c>
      <c r="S280" s="296">
        <v>0</v>
      </c>
      <c r="U280" s="298">
        <f t="shared" si="18"/>
        <v>0</v>
      </c>
      <c r="Z280" s="305">
        <v>0</v>
      </c>
      <c r="AB280" s="305">
        <f t="shared" si="19"/>
        <v>0</v>
      </c>
    </row>
    <row r="281" spans="3:28" ht="18" customHeight="1">
      <c r="C281" s="6">
        <v>1</v>
      </c>
      <c r="D281" s="292" t="s">
        <v>1198</v>
      </c>
      <c r="E281" s="293" t="s">
        <v>1198</v>
      </c>
      <c r="F281" s="294"/>
      <c r="G281" s="293" t="s">
        <v>1199</v>
      </c>
      <c r="H281" s="370">
        <v>0</v>
      </c>
      <c r="I281" s="295">
        <v>0</v>
      </c>
      <c r="J281" s="295">
        <v>0</v>
      </c>
      <c r="K281" s="295">
        <v>0</v>
      </c>
      <c r="L281" s="296">
        <f t="shared" si="20"/>
        <v>0</v>
      </c>
      <c r="N281" s="297">
        <v>0</v>
      </c>
      <c r="O281" s="295">
        <v>0</v>
      </c>
      <c r="P281" s="295">
        <v>0</v>
      </c>
      <c r="Q281" s="295">
        <v>0</v>
      </c>
      <c r="R281" s="295">
        <v>0</v>
      </c>
      <c r="S281" s="296">
        <v>0</v>
      </c>
      <c r="U281" s="298">
        <f t="shared" si="18"/>
        <v>0</v>
      </c>
      <c r="Z281" s="305">
        <v>0</v>
      </c>
      <c r="AB281" s="305">
        <f t="shared" si="19"/>
        <v>0</v>
      </c>
    </row>
    <row r="282" spans="3:28" ht="18" customHeight="1">
      <c r="C282" s="6">
        <v>1</v>
      </c>
      <c r="D282" s="292" t="s">
        <v>1200</v>
      </c>
      <c r="E282" s="293" t="s">
        <v>1200</v>
      </c>
      <c r="F282" s="294" t="s">
        <v>1441</v>
      </c>
      <c r="G282" s="293" t="s">
        <v>1201</v>
      </c>
      <c r="H282" s="370">
        <v>-38721408</v>
      </c>
      <c r="I282" s="370">
        <v>0</v>
      </c>
      <c r="J282" s="295">
        <v>0</v>
      </c>
      <c r="K282" s="295">
        <v>0</v>
      </c>
      <c r="L282" s="296">
        <f t="shared" si="20"/>
        <v>-38721408</v>
      </c>
      <c r="N282" s="297">
        <v>0</v>
      </c>
      <c r="O282" s="295">
        <v>0</v>
      </c>
      <c r="P282" s="295">
        <v>0</v>
      </c>
      <c r="Q282" s="295">
        <v>0</v>
      </c>
      <c r="R282" s="295">
        <v>0</v>
      </c>
      <c r="S282" s="296">
        <v>0</v>
      </c>
      <c r="U282" s="298">
        <f t="shared" si="18"/>
        <v>-38721408</v>
      </c>
      <c r="Z282" s="305">
        <v>-25221896</v>
      </c>
      <c r="AB282" s="305">
        <f t="shared" si="19"/>
        <v>-13499512</v>
      </c>
    </row>
    <row r="283" spans="3:28" ht="18" customHeight="1">
      <c r="C283" s="6">
        <v>1</v>
      </c>
      <c r="D283" s="292" t="s">
        <v>1202</v>
      </c>
      <c r="E283" s="293" t="s">
        <v>1202</v>
      </c>
      <c r="F283" s="294"/>
      <c r="G283" s="293" t="s">
        <v>1203</v>
      </c>
      <c r="H283" s="370">
        <v>0</v>
      </c>
      <c r="I283" s="295">
        <v>0</v>
      </c>
      <c r="J283" s="295">
        <v>0</v>
      </c>
      <c r="K283" s="295">
        <v>0</v>
      </c>
      <c r="L283" s="296">
        <f t="shared" si="20"/>
        <v>0</v>
      </c>
      <c r="N283" s="297">
        <v>0</v>
      </c>
      <c r="O283" s="295">
        <v>0</v>
      </c>
      <c r="P283" s="295">
        <v>0</v>
      </c>
      <c r="Q283" s="295">
        <v>0</v>
      </c>
      <c r="R283" s="295">
        <v>0</v>
      </c>
      <c r="S283" s="296">
        <v>0</v>
      </c>
      <c r="U283" s="298">
        <f t="shared" si="18"/>
        <v>0</v>
      </c>
      <c r="Z283" s="305">
        <v>0</v>
      </c>
      <c r="AB283" s="305">
        <f t="shared" si="19"/>
        <v>0</v>
      </c>
    </row>
    <row r="284" spans="3:28" ht="18" customHeight="1">
      <c r="C284" s="6">
        <v>1</v>
      </c>
      <c r="D284" s="292" t="s">
        <v>1204</v>
      </c>
      <c r="E284" s="293" t="s">
        <v>1204</v>
      </c>
      <c r="F284" s="294"/>
      <c r="G284" s="293" t="s">
        <v>1205</v>
      </c>
      <c r="H284" s="370">
        <v>0</v>
      </c>
      <c r="I284" s="295">
        <v>0</v>
      </c>
      <c r="J284" s="295">
        <v>0</v>
      </c>
      <c r="K284" s="295">
        <v>0</v>
      </c>
      <c r="L284" s="296">
        <f t="shared" si="20"/>
        <v>0</v>
      </c>
      <c r="N284" s="297">
        <v>0</v>
      </c>
      <c r="O284" s="295">
        <v>0</v>
      </c>
      <c r="P284" s="295">
        <v>0</v>
      </c>
      <c r="Q284" s="295">
        <v>0</v>
      </c>
      <c r="R284" s="295">
        <v>0</v>
      </c>
      <c r="S284" s="296">
        <v>0</v>
      </c>
      <c r="U284" s="298">
        <f t="shared" si="18"/>
        <v>0</v>
      </c>
      <c r="Z284" s="305">
        <v>0</v>
      </c>
      <c r="AB284" s="305">
        <f t="shared" si="19"/>
        <v>0</v>
      </c>
    </row>
    <row r="285" spans="3:28" ht="18" customHeight="1">
      <c r="C285" s="6">
        <v>1</v>
      </c>
      <c r="D285" s="292" t="s">
        <v>1206</v>
      </c>
      <c r="E285" s="293" t="s">
        <v>1206</v>
      </c>
      <c r="F285" s="294" t="s">
        <v>1954</v>
      </c>
      <c r="G285" s="293" t="s">
        <v>1207</v>
      </c>
      <c r="H285" s="370">
        <v>0</v>
      </c>
      <c r="I285" s="370">
        <v>0</v>
      </c>
      <c r="J285" s="295">
        <v>0</v>
      </c>
      <c r="K285" s="295">
        <v>0</v>
      </c>
      <c r="L285" s="296">
        <f t="shared" si="20"/>
        <v>0</v>
      </c>
      <c r="N285" s="297">
        <v>0</v>
      </c>
      <c r="O285" s="295">
        <v>0</v>
      </c>
      <c r="P285" s="295">
        <v>0</v>
      </c>
      <c r="Q285" s="295">
        <v>0</v>
      </c>
      <c r="R285" s="295">
        <v>0</v>
      </c>
      <c r="S285" s="296">
        <v>0</v>
      </c>
      <c r="U285" s="298">
        <f t="shared" si="18"/>
        <v>0</v>
      </c>
      <c r="Z285" s="305">
        <v>0</v>
      </c>
      <c r="AB285" s="305">
        <f t="shared" si="19"/>
        <v>0</v>
      </c>
    </row>
    <row r="286" spans="3:28" ht="18" customHeight="1">
      <c r="C286" s="6">
        <v>1</v>
      </c>
      <c r="D286" s="292" t="s">
        <v>1208</v>
      </c>
      <c r="E286" s="293" t="s">
        <v>1368</v>
      </c>
      <c r="F286" s="294" t="s">
        <v>1441</v>
      </c>
      <c r="G286" s="293" t="s">
        <v>1360</v>
      </c>
      <c r="H286" s="370">
        <v>-294400000</v>
      </c>
      <c r="I286" s="370">
        <v>-8550000</v>
      </c>
      <c r="J286" s="295">
        <v>0</v>
      </c>
      <c r="K286" s="295">
        <v>0</v>
      </c>
      <c r="L286" s="296">
        <f t="shared" si="20"/>
        <v>-302950000</v>
      </c>
      <c r="N286" s="297">
        <v>0</v>
      </c>
      <c r="O286" s="295">
        <v>0</v>
      </c>
      <c r="P286" s="295">
        <v>0</v>
      </c>
      <c r="Q286" s="295">
        <v>0</v>
      </c>
      <c r="R286" s="295">
        <v>0</v>
      </c>
      <c r="S286" s="296">
        <v>0</v>
      </c>
      <c r="U286" s="298">
        <f t="shared" si="18"/>
        <v>-302950000</v>
      </c>
      <c r="Z286" s="305">
        <v>-180400000</v>
      </c>
      <c r="AB286" s="305">
        <f t="shared" si="19"/>
        <v>-122550000</v>
      </c>
    </row>
    <row r="287" spans="3:28" ht="18" customHeight="1">
      <c r="C287" s="6">
        <v>1</v>
      </c>
      <c r="D287" s="292" t="s">
        <v>1208</v>
      </c>
      <c r="E287" s="293" t="s">
        <v>1369</v>
      </c>
      <c r="F287" s="294" t="s">
        <v>1441</v>
      </c>
      <c r="G287" s="293" t="s">
        <v>1209</v>
      </c>
      <c r="H287" s="370">
        <v>-447986006</v>
      </c>
      <c r="I287" s="370">
        <v>0</v>
      </c>
      <c r="J287" s="295">
        <v>0</v>
      </c>
      <c r="K287" s="295">
        <v>0</v>
      </c>
      <c r="L287" s="296">
        <f t="shared" si="20"/>
        <v>-447986006</v>
      </c>
      <c r="N287" s="297">
        <v>0</v>
      </c>
      <c r="O287" s="295">
        <v>0</v>
      </c>
      <c r="P287" s="295">
        <v>0</v>
      </c>
      <c r="Q287" s="295">
        <v>0</v>
      </c>
      <c r="R287" s="295">
        <v>0</v>
      </c>
      <c r="S287" s="296">
        <v>0</v>
      </c>
      <c r="U287" s="298">
        <f t="shared" si="18"/>
        <v>-447986006</v>
      </c>
      <c r="Z287" s="305">
        <v>-351425491</v>
      </c>
      <c r="AB287" s="305">
        <f t="shared" si="19"/>
        <v>-96560515</v>
      </c>
    </row>
    <row r="288" spans="3:28" ht="18" customHeight="1">
      <c r="C288" s="6">
        <v>1</v>
      </c>
      <c r="D288" s="292" t="s">
        <v>1210</v>
      </c>
      <c r="E288" s="293" t="s">
        <v>1210</v>
      </c>
      <c r="F288" s="294"/>
      <c r="G288" s="293" t="s">
        <v>1211</v>
      </c>
      <c r="H288" s="370">
        <v>0</v>
      </c>
      <c r="I288" s="295">
        <v>0</v>
      </c>
      <c r="J288" s="295">
        <v>0</v>
      </c>
      <c r="K288" s="295">
        <v>0</v>
      </c>
      <c r="L288" s="296">
        <f t="shared" si="20"/>
        <v>0</v>
      </c>
      <c r="N288" s="297">
        <v>0</v>
      </c>
      <c r="O288" s="295">
        <v>0</v>
      </c>
      <c r="P288" s="295">
        <v>0</v>
      </c>
      <c r="Q288" s="295">
        <v>0</v>
      </c>
      <c r="R288" s="295">
        <v>0</v>
      </c>
      <c r="S288" s="296">
        <v>0</v>
      </c>
      <c r="U288" s="298">
        <f t="shared" si="18"/>
        <v>0</v>
      </c>
      <c r="Z288" s="305">
        <v>0</v>
      </c>
      <c r="AB288" s="305">
        <f t="shared" si="19"/>
        <v>0</v>
      </c>
    </row>
    <row r="289" spans="3:29" ht="18" customHeight="1">
      <c r="C289" s="6">
        <v>1</v>
      </c>
      <c r="D289" s="292" t="s">
        <v>1212</v>
      </c>
      <c r="E289" s="293" t="s">
        <v>1212</v>
      </c>
      <c r="F289" s="294"/>
      <c r="G289" s="293" t="s">
        <v>1213</v>
      </c>
      <c r="H289" s="370">
        <v>0</v>
      </c>
      <c r="I289" s="295">
        <v>0</v>
      </c>
      <c r="J289" s="295">
        <v>0</v>
      </c>
      <c r="K289" s="295">
        <v>0</v>
      </c>
      <c r="L289" s="296">
        <f t="shared" si="20"/>
        <v>0</v>
      </c>
      <c r="N289" s="297">
        <v>0</v>
      </c>
      <c r="O289" s="295">
        <v>0</v>
      </c>
      <c r="P289" s="295">
        <v>0</v>
      </c>
      <c r="Q289" s="295">
        <v>0</v>
      </c>
      <c r="R289" s="295">
        <v>0</v>
      </c>
      <c r="S289" s="296">
        <v>0</v>
      </c>
      <c r="U289" s="298">
        <f t="shared" si="18"/>
        <v>0</v>
      </c>
      <c r="Z289" s="305">
        <v>0</v>
      </c>
      <c r="AB289" s="305">
        <f t="shared" si="19"/>
        <v>0</v>
      </c>
    </row>
    <row r="290" spans="3:29" ht="18" customHeight="1">
      <c r="C290" s="6">
        <v>1</v>
      </c>
      <c r="D290" s="292" t="s">
        <v>1214</v>
      </c>
      <c r="E290" s="293" t="s">
        <v>1214</v>
      </c>
      <c r="F290" s="302" t="s">
        <v>1682</v>
      </c>
      <c r="G290" s="293" t="s">
        <v>1215</v>
      </c>
      <c r="H290" s="370">
        <v>0</v>
      </c>
      <c r="I290" s="295">
        <v>0</v>
      </c>
      <c r="J290" s="295">
        <v>0</v>
      </c>
      <c r="K290" s="295">
        <v>0</v>
      </c>
      <c r="L290" s="296">
        <f t="shared" si="20"/>
        <v>0</v>
      </c>
      <c r="N290" s="297">
        <v>0</v>
      </c>
      <c r="O290" s="295">
        <v>0</v>
      </c>
      <c r="P290" s="295">
        <v>0</v>
      </c>
      <c r="Q290" s="295">
        <v>0</v>
      </c>
      <c r="R290" s="295">
        <v>0</v>
      </c>
      <c r="S290" s="296">
        <v>0</v>
      </c>
      <c r="U290" s="298">
        <f t="shared" si="18"/>
        <v>0</v>
      </c>
      <c r="Z290" s="305">
        <v>0</v>
      </c>
      <c r="AB290" s="305">
        <f t="shared" si="19"/>
        <v>0</v>
      </c>
    </row>
    <row r="291" spans="3:29" ht="18" customHeight="1">
      <c r="C291" s="6">
        <v>1</v>
      </c>
      <c r="D291" s="292" t="s">
        <v>1216</v>
      </c>
      <c r="E291" s="293" t="s">
        <v>1216</v>
      </c>
      <c r="F291" s="294"/>
      <c r="G291" s="293" t="s">
        <v>1217</v>
      </c>
      <c r="H291" s="370">
        <v>0</v>
      </c>
      <c r="I291" s="295">
        <v>0</v>
      </c>
      <c r="J291" s="295">
        <v>0</v>
      </c>
      <c r="K291" s="295">
        <v>0</v>
      </c>
      <c r="L291" s="296">
        <f t="shared" si="20"/>
        <v>0</v>
      </c>
      <c r="N291" s="297">
        <v>0</v>
      </c>
      <c r="O291" s="295">
        <v>0</v>
      </c>
      <c r="P291" s="295">
        <v>0</v>
      </c>
      <c r="Q291" s="295">
        <v>0</v>
      </c>
      <c r="R291" s="295">
        <v>0</v>
      </c>
      <c r="S291" s="296">
        <v>0</v>
      </c>
      <c r="U291" s="298">
        <f t="shared" si="18"/>
        <v>0</v>
      </c>
      <c r="Z291" s="305">
        <v>0</v>
      </c>
      <c r="AB291" s="305">
        <f t="shared" si="19"/>
        <v>0</v>
      </c>
    </row>
    <row r="292" spans="3:29" ht="18" customHeight="1">
      <c r="C292" s="6">
        <v>1</v>
      </c>
      <c r="D292" s="292" t="s">
        <v>1218</v>
      </c>
      <c r="E292" s="293" t="s">
        <v>1218</v>
      </c>
      <c r="F292" s="294" t="s">
        <v>1473</v>
      </c>
      <c r="G292" s="293" t="s">
        <v>1219</v>
      </c>
      <c r="H292" s="370">
        <v>0</v>
      </c>
      <c r="I292" s="295">
        <v>0</v>
      </c>
      <c r="J292" s="295">
        <v>0</v>
      </c>
      <c r="K292" s="295">
        <v>0</v>
      </c>
      <c r="L292" s="296">
        <f t="shared" si="20"/>
        <v>0</v>
      </c>
      <c r="N292" s="297">
        <v>0</v>
      </c>
      <c r="O292" s="295">
        <v>0</v>
      </c>
      <c r="P292" s="295">
        <v>0</v>
      </c>
      <c r="Q292" s="295">
        <v>0</v>
      </c>
      <c r="R292" s="295">
        <v>0</v>
      </c>
      <c r="S292" s="296">
        <v>0</v>
      </c>
      <c r="U292" s="298">
        <f t="shared" si="18"/>
        <v>0</v>
      </c>
      <c r="Z292" s="305">
        <v>0</v>
      </c>
      <c r="AB292" s="305">
        <f t="shared" si="19"/>
        <v>0</v>
      </c>
    </row>
    <row r="293" spans="3:29" ht="18" customHeight="1">
      <c r="C293" s="6">
        <v>1</v>
      </c>
      <c r="D293" s="292" t="s">
        <v>1220</v>
      </c>
      <c r="E293" s="293" t="s">
        <v>1220</v>
      </c>
      <c r="F293" s="294"/>
      <c r="G293" s="293" t="s">
        <v>1221</v>
      </c>
      <c r="H293" s="370">
        <v>0</v>
      </c>
      <c r="I293" s="295">
        <v>0</v>
      </c>
      <c r="J293" s="295">
        <v>0</v>
      </c>
      <c r="K293" s="295">
        <v>0</v>
      </c>
      <c r="L293" s="296">
        <f t="shared" si="20"/>
        <v>0</v>
      </c>
      <c r="N293" s="297">
        <v>0</v>
      </c>
      <c r="O293" s="295">
        <v>0</v>
      </c>
      <c r="P293" s="295">
        <v>0</v>
      </c>
      <c r="Q293" s="295">
        <v>0</v>
      </c>
      <c r="R293" s="295">
        <v>0</v>
      </c>
      <c r="S293" s="296">
        <v>0</v>
      </c>
      <c r="U293" s="298">
        <f t="shared" si="18"/>
        <v>0</v>
      </c>
      <c r="Z293" s="305">
        <v>0</v>
      </c>
      <c r="AB293" s="305">
        <f t="shared" si="19"/>
        <v>0</v>
      </c>
    </row>
    <row r="294" spans="3:29" ht="18" customHeight="1">
      <c r="C294" s="6">
        <v>1</v>
      </c>
      <c r="D294" s="292" t="s">
        <v>1222</v>
      </c>
      <c r="E294" s="293" t="s">
        <v>1222</v>
      </c>
      <c r="F294" s="294"/>
      <c r="G294" s="293" t="s">
        <v>1223</v>
      </c>
      <c r="H294" s="370">
        <v>0</v>
      </c>
      <c r="I294" s="295">
        <v>0</v>
      </c>
      <c r="J294" s="295">
        <v>0</v>
      </c>
      <c r="K294" s="295">
        <v>0</v>
      </c>
      <c r="L294" s="296">
        <f t="shared" si="20"/>
        <v>0</v>
      </c>
      <c r="N294" s="297">
        <v>0</v>
      </c>
      <c r="O294" s="295">
        <v>0</v>
      </c>
      <c r="P294" s="295">
        <v>0</v>
      </c>
      <c r="Q294" s="295">
        <v>0</v>
      </c>
      <c r="R294" s="295">
        <v>0</v>
      </c>
      <c r="S294" s="296">
        <v>0</v>
      </c>
      <c r="U294" s="298">
        <f t="shared" si="18"/>
        <v>0</v>
      </c>
      <c r="Z294" s="305">
        <v>0</v>
      </c>
      <c r="AB294" s="305">
        <f t="shared" si="19"/>
        <v>0</v>
      </c>
    </row>
    <row r="295" spans="3:29" ht="18" customHeight="1">
      <c r="C295" s="6">
        <v>1</v>
      </c>
      <c r="D295" s="292" t="s">
        <v>1224</v>
      </c>
      <c r="E295" s="293" t="s">
        <v>1224</v>
      </c>
      <c r="F295" s="294"/>
      <c r="G295" s="293" t="s">
        <v>1225</v>
      </c>
      <c r="H295" s="370">
        <v>0</v>
      </c>
      <c r="I295" s="295">
        <v>0</v>
      </c>
      <c r="J295" s="295">
        <v>0</v>
      </c>
      <c r="K295" s="295">
        <v>0</v>
      </c>
      <c r="L295" s="296">
        <f t="shared" si="20"/>
        <v>0</v>
      </c>
      <c r="N295" s="297">
        <v>0</v>
      </c>
      <c r="O295" s="295">
        <v>0</v>
      </c>
      <c r="P295" s="295">
        <v>0</v>
      </c>
      <c r="Q295" s="295">
        <v>0</v>
      </c>
      <c r="R295" s="295">
        <v>0</v>
      </c>
      <c r="S295" s="296">
        <v>0</v>
      </c>
      <c r="U295" s="298">
        <f t="shared" si="18"/>
        <v>0</v>
      </c>
      <c r="Z295" s="305">
        <v>0</v>
      </c>
      <c r="AB295" s="305">
        <f t="shared" si="19"/>
        <v>0</v>
      </c>
    </row>
    <row r="296" spans="3:29" ht="18" customHeight="1">
      <c r="C296" s="6">
        <v>1</v>
      </c>
      <c r="D296" s="292" t="s">
        <v>1226</v>
      </c>
      <c r="E296" s="293" t="s">
        <v>1226</v>
      </c>
      <c r="F296" s="294"/>
      <c r="G296" s="293" t="s">
        <v>1227</v>
      </c>
      <c r="H296" s="370">
        <v>0</v>
      </c>
      <c r="I296" s="295">
        <v>0</v>
      </c>
      <c r="J296" s="295">
        <v>0</v>
      </c>
      <c r="K296" s="295">
        <v>0</v>
      </c>
      <c r="L296" s="296">
        <f t="shared" si="20"/>
        <v>0</v>
      </c>
      <c r="N296" s="297">
        <v>0</v>
      </c>
      <c r="O296" s="295">
        <v>0</v>
      </c>
      <c r="P296" s="295">
        <v>0</v>
      </c>
      <c r="Q296" s="295">
        <v>0</v>
      </c>
      <c r="R296" s="295">
        <v>0</v>
      </c>
      <c r="S296" s="296">
        <v>0</v>
      </c>
      <c r="U296" s="298">
        <f t="shared" si="18"/>
        <v>0</v>
      </c>
      <c r="Z296" s="305">
        <v>0</v>
      </c>
      <c r="AB296" s="305">
        <f t="shared" si="19"/>
        <v>0</v>
      </c>
    </row>
    <row r="297" spans="3:29" ht="18" customHeight="1">
      <c r="C297" s="6">
        <v>1</v>
      </c>
      <c r="D297" s="292" t="s">
        <v>1228</v>
      </c>
      <c r="E297" s="293" t="s">
        <v>1228</v>
      </c>
      <c r="F297" s="294"/>
      <c r="G297" s="293" t="s">
        <v>1229</v>
      </c>
      <c r="H297" s="370">
        <v>0</v>
      </c>
      <c r="I297" s="295">
        <v>0</v>
      </c>
      <c r="J297" s="295">
        <v>0</v>
      </c>
      <c r="K297" s="295">
        <v>0</v>
      </c>
      <c r="L297" s="296">
        <f t="shared" si="20"/>
        <v>0</v>
      </c>
      <c r="N297" s="297">
        <v>0</v>
      </c>
      <c r="O297" s="295">
        <v>0</v>
      </c>
      <c r="P297" s="295">
        <v>0</v>
      </c>
      <c r="Q297" s="295">
        <v>0</v>
      </c>
      <c r="R297" s="295">
        <v>0</v>
      </c>
      <c r="S297" s="296">
        <v>0</v>
      </c>
      <c r="U297" s="298">
        <f t="shared" si="18"/>
        <v>0</v>
      </c>
      <c r="Z297" s="305">
        <v>0</v>
      </c>
      <c r="AB297" s="305">
        <f t="shared" si="19"/>
        <v>0</v>
      </c>
    </row>
    <row r="298" spans="3:29" ht="18" customHeight="1">
      <c r="C298" s="6">
        <v>1</v>
      </c>
      <c r="D298" s="292" t="s">
        <v>1230</v>
      </c>
      <c r="E298" s="293" t="s">
        <v>1230</v>
      </c>
      <c r="F298" s="294"/>
      <c r="G298" s="293" t="s">
        <v>1231</v>
      </c>
      <c r="H298" s="370">
        <v>0</v>
      </c>
      <c r="I298" s="295">
        <v>0</v>
      </c>
      <c r="J298" s="295">
        <v>0</v>
      </c>
      <c r="K298" s="295">
        <v>0</v>
      </c>
      <c r="L298" s="296">
        <f t="shared" si="20"/>
        <v>0</v>
      </c>
      <c r="N298" s="297">
        <v>0</v>
      </c>
      <c r="O298" s="295">
        <v>0</v>
      </c>
      <c r="P298" s="295">
        <v>0</v>
      </c>
      <c r="Q298" s="295">
        <v>0</v>
      </c>
      <c r="R298" s="295">
        <v>0</v>
      </c>
      <c r="S298" s="296">
        <v>0</v>
      </c>
      <c r="U298" s="298">
        <f t="shared" si="18"/>
        <v>0</v>
      </c>
      <c r="Z298" s="305">
        <v>0</v>
      </c>
      <c r="AB298" s="305">
        <f t="shared" si="19"/>
        <v>0</v>
      </c>
    </row>
    <row r="299" spans="3:29" ht="18" customHeight="1">
      <c r="C299" s="6">
        <v>1</v>
      </c>
      <c r="D299" s="292" t="s">
        <v>1232</v>
      </c>
      <c r="E299" s="293" t="s">
        <v>1232</v>
      </c>
      <c r="F299" s="294" t="s">
        <v>1473</v>
      </c>
      <c r="G299" s="293" t="s">
        <v>1233</v>
      </c>
      <c r="H299" s="370">
        <v>0</v>
      </c>
      <c r="I299" s="295">
        <v>0</v>
      </c>
      <c r="J299" s="295">
        <v>0</v>
      </c>
      <c r="K299" s="295">
        <v>0</v>
      </c>
      <c r="L299" s="296">
        <f t="shared" si="20"/>
        <v>0</v>
      </c>
      <c r="N299" s="297">
        <v>0</v>
      </c>
      <c r="O299" s="295">
        <v>0</v>
      </c>
      <c r="P299" s="295">
        <v>0</v>
      </c>
      <c r="Q299" s="295">
        <v>0</v>
      </c>
      <c r="R299" s="295">
        <v>0</v>
      </c>
      <c r="S299" s="296">
        <v>0</v>
      </c>
      <c r="U299" s="298">
        <f t="shared" si="18"/>
        <v>0</v>
      </c>
      <c r="Z299" s="305">
        <v>0</v>
      </c>
      <c r="AB299" s="305">
        <f t="shared" si="19"/>
        <v>0</v>
      </c>
    </row>
    <row r="300" spans="3:29" ht="18" customHeight="1">
      <c r="C300" s="6">
        <v>1</v>
      </c>
      <c r="D300" s="285" t="s">
        <v>1234</v>
      </c>
      <c r="E300" s="286" t="s">
        <v>1234</v>
      </c>
      <c r="F300" s="287"/>
      <c r="G300" s="286" t="s">
        <v>1235</v>
      </c>
      <c r="H300" s="288">
        <f>SUM(H301,H323)</f>
        <v>68308786907</v>
      </c>
      <c r="I300" s="288">
        <f>SUM(I301,I323)</f>
        <v>1444625225</v>
      </c>
      <c r="J300" s="288">
        <f>SUM(J301,J323)</f>
        <v>-13335652</v>
      </c>
      <c r="K300" s="288">
        <f>SUM(K301,K323)</f>
        <v>-650908781</v>
      </c>
      <c r="L300" s="289">
        <f>SUM(L301,L323)</f>
        <v>69089167699</v>
      </c>
      <c r="N300" s="290">
        <v>0</v>
      </c>
      <c r="O300" s="288">
        <v>0</v>
      </c>
      <c r="P300" s="288">
        <v>-979275000</v>
      </c>
      <c r="Q300" s="288">
        <v>0</v>
      </c>
      <c r="R300" s="288">
        <v>0</v>
      </c>
      <c r="S300" s="289">
        <v>-979275000</v>
      </c>
      <c r="U300" s="291">
        <f>SUM(U301,U323)</f>
        <v>68109892699</v>
      </c>
      <c r="V300" s="6" t="b">
        <f>U300=U301+U323</f>
        <v>1</v>
      </c>
      <c r="Z300" s="291">
        <v>68424089259</v>
      </c>
      <c r="AA300" s="6" t="b">
        <f>Z300=Z301+Z323</f>
        <v>1</v>
      </c>
      <c r="AB300" s="291">
        <f t="shared" si="19"/>
        <v>-314196560</v>
      </c>
      <c r="AC300" s="6" t="b">
        <f>AB300=AB301+AB323</f>
        <v>1</v>
      </c>
    </row>
    <row r="301" spans="3:29" ht="18" customHeight="1">
      <c r="C301" s="6">
        <v>1</v>
      </c>
      <c r="D301" s="285" t="s">
        <v>1236</v>
      </c>
      <c r="E301" s="286" t="s">
        <v>1236</v>
      </c>
      <c r="F301" s="287"/>
      <c r="G301" s="286" t="s">
        <v>1237</v>
      </c>
      <c r="H301" s="288">
        <f>SUM(H302:H322)</f>
        <v>70000001417</v>
      </c>
      <c r="I301" s="288">
        <f>SUM(I302:I322)</f>
        <v>1500000000</v>
      </c>
      <c r="J301" s="288">
        <f>SUM(J302:J322)</f>
        <v>0</v>
      </c>
      <c r="K301" s="288">
        <f>SUM(K302:K322)</f>
        <v>0</v>
      </c>
      <c r="L301" s="289">
        <f>SUM(L302:L322)</f>
        <v>71500001417</v>
      </c>
      <c r="N301" s="290">
        <v>0</v>
      </c>
      <c r="O301" s="288">
        <v>0</v>
      </c>
      <c r="P301" s="288">
        <v>-1500000000</v>
      </c>
      <c r="Q301" s="288">
        <v>0</v>
      </c>
      <c r="R301" s="288">
        <v>0</v>
      </c>
      <c r="S301" s="289">
        <v>-1500000000</v>
      </c>
      <c r="U301" s="291">
        <f>SUM(U302:U322)</f>
        <v>70000001417</v>
      </c>
      <c r="Z301" s="291">
        <v>70000001417</v>
      </c>
      <c r="AB301" s="291">
        <f t="shared" si="19"/>
        <v>0</v>
      </c>
    </row>
    <row r="302" spans="3:29" ht="18" customHeight="1">
      <c r="C302" s="6">
        <v>1</v>
      </c>
      <c r="D302" s="292" t="s">
        <v>1238</v>
      </c>
      <c r="E302" s="293" t="s">
        <v>1238</v>
      </c>
      <c r="F302" s="294" t="s">
        <v>532</v>
      </c>
      <c r="G302" s="293" t="s">
        <v>1239</v>
      </c>
      <c r="H302" s="370">
        <v>0</v>
      </c>
      <c r="I302" s="295">
        <v>0</v>
      </c>
      <c r="J302" s="295">
        <v>0</v>
      </c>
      <c r="K302" s="295">
        <v>0</v>
      </c>
      <c r="L302" s="296">
        <f t="shared" ref="L302:L322" si="21">SUM(H302:K302)</f>
        <v>0</v>
      </c>
      <c r="N302" s="297">
        <v>0</v>
      </c>
      <c r="O302" s="295">
        <v>0</v>
      </c>
      <c r="P302" s="295">
        <v>0</v>
      </c>
      <c r="Q302" s="295">
        <v>0</v>
      </c>
      <c r="R302" s="295">
        <v>0</v>
      </c>
      <c r="S302" s="296">
        <v>0</v>
      </c>
      <c r="U302" s="298">
        <f t="shared" ref="U302:U322" si="22">ROUND(S302+L302,0)</f>
        <v>0</v>
      </c>
      <c r="Z302" s="305">
        <v>0</v>
      </c>
      <c r="AB302" s="305">
        <f t="shared" si="19"/>
        <v>0</v>
      </c>
    </row>
    <row r="303" spans="3:29" ht="18" customHeight="1">
      <c r="C303" s="6">
        <v>1</v>
      </c>
      <c r="D303" s="292" t="s">
        <v>1240</v>
      </c>
      <c r="E303" s="293" t="s">
        <v>1240</v>
      </c>
      <c r="F303" s="294" t="s">
        <v>2192</v>
      </c>
      <c r="G303" s="293" t="s">
        <v>1241</v>
      </c>
      <c r="H303" s="370">
        <v>70000001417</v>
      </c>
      <c r="I303" s="295">
        <v>0</v>
      </c>
      <c r="J303" s="295">
        <v>0</v>
      </c>
      <c r="K303" s="295">
        <v>0</v>
      </c>
      <c r="L303" s="296">
        <f t="shared" si="21"/>
        <v>70000001417</v>
      </c>
      <c r="N303" s="297">
        <v>0</v>
      </c>
      <c r="O303" s="295">
        <v>0</v>
      </c>
      <c r="P303" s="295">
        <v>0</v>
      </c>
      <c r="Q303" s="295">
        <v>0</v>
      </c>
      <c r="R303" s="295">
        <v>0</v>
      </c>
      <c r="S303" s="296">
        <v>0</v>
      </c>
      <c r="U303" s="298">
        <f t="shared" si="22"/>
        <v>70000001417</v>
      </c>
      <c r="Z303" s="305">
        <v>70000001417</v>
      </c>
      <c r="AB303" s="305">
        <f t="shared" si="19"/>
        <v>0</v>
      </c>
    </row>
    <row r="304" spans="3:29" ht="18" customHeight="1">
      <c r="C304" s="6">
        <v>1</v>
      </c>
      <c r="D304" s="292" t="s">
        <v>1242</v>
      </c>
      <c r="E304" s="293" t="s">
        <v>1242</v>
      </c>
      <c r="F304" s="294" t="s">
        <v>1243</v>
      </c>
      <c r="G304" s="293" t="s">
        <v>1243</v>
      </c>
      <c r="H304" s="370">
        <v>0</v>
      </c>
      <c r="I304" s="295">
        <v>1500000000</v>
      </c>
      <c r="J304" s="295">
        <v>0</v>
      </c>
      <c r="K304" s="295">
        <v>0</v>
      </c>
      <c r="L304" s="296">
        <f t="shared" si="21"/>
        <v>1500000000</v>
      </c>
      <c r="N304" s="297">
        <v>0</v>
      </c>
      <c r="O304" s="295">
        <v>0</v>
      </c>
      <c r="P304" s="295">
        <v>-1500000000</v>
      </c>
      <c r="Q304" s="295">
        <v>0</v>
      </c>
      <c r="R304" s="295">
        <v>0</v>
      </c>
      <c r="S304" s="296">
        <v>-1500000000</v>
      </c>
      <c r="U304" s="298">
        <f t="shared" si="22"/>
        <v>0</v>
      </c>
      <c r="W304" s="6" t="b">
        <f>U304=0</f>
        <v>1</v>
      </c>
      <c r="Z304" s="305">
        <v>0</v>
      </c>
      <c r="AB304" s="305">
        <f t="shared" si="19"/>
        <v>0</v>
      </c>
    </row>
    <row r="305" spans="3:28" ht="18" customHeight="1">
      <c r="C305" s="6">
        <v>1</v>
      </c>
      <c r="D305" s="292" t="s">
        <v>1244</v>
      </c>
      <c r="E305" s="293" t="s">
        <v>1244</v>
      </c>
      <c r="F305" s="294"/>
      <c r="G305" s="293" t="s">
        <v>1245</v>
      </c>
      <c r="H305" s="370">
        <v>0</v>
      </c>
      <c r="I305" s="295">
        <v>0</v>
      </c>
      <c r="J305" s="295">
        <v>0</v>
      </c>
      <c r="K305" s="295">
        <v>0</v>
      </c>
      <c r="L305" s="296">
        <f t="shared" si="21"/>
        <v>0</v>
      </c>
      <c r="N305" s="297">
        <v>0</v>
      </c>
      <c r="O305" s="295">
        <v>0</v>
      </c>
      <c r="P305" s="295">
        <v>0</v>
      </c>
      <c r="Q305" s="295">
        <v>0</v>
      </c>
      <c r="R305" s="295">
        <v>0</v>
      </c>
      <c r="S305" s="296">
        <v>0</v>
      </c>
      <c r="U305" s="298">
        <f t="shared" si="22"/>
        <v>0</v>
      </c>
      <c r="Z305" s="305">
        <v>0</v>
      </c>
      <c r="AB305" s="305">
        <f t="shared" si="19"/>
        <v>0</v>
      </c>
    </row>
    <row r="306" spans="3:28" ht="18" customHeight="1">
      <c r="C306" s="6">
        <v>1</v>
      </c>
      <c r="D306" s="292" t="s">
        <v>1246</v>
      </c>
      <c r="E306" s="293" t="s">
        <v>1246</v>
      </c>
      <c r="F306" s="294"/>
      <c r="G306" s="293" t="s">
        <v>1247</v>
      </c>
      <c r="H306" s="370">
        <v>0</v>
      </c>
      <c r="I306" s="295">
        <v>0</v>
      </c>
      <c r="J306" s="295">
        <v>0</v>
      </c>
      <c r="K306" s="295">
        <v>0</v>
      </c>
      <c r="L306" s="296">
        <f t="shared" si="21"/>
        <v>0</v>
      </c>
      <c r="N306" s="297">
        <v>0</v>
      </c>
      <c r="O306" s="295">
        <v>0</v>
      </c>
      <c r="P306" s="295">
        <v>0</v>
      </c>
      <c r="Q306" s="295">
        <v>0</v>
      </c>
      <c r="R306" s="295">
        <v>0</v>
      </c>
      <c r="S306" s="296">
        <v>0</v>
      </c>
      <c r="U306" s="298">
        <f t="shared" si="22"/>
        <v>0</v>
      </c>
      <c r="Z306" s="305">
        <v>0</v>
      </c>
      <c r="AB306" s="305">
        <f t="shared" si="19"/>
        <v>0</v>
      </c>
    </row>
    <row r="307" spans="3:28" ht="18" customHeight="1">
      <c r="C307" s="6">
        <v>1</v>
      </c>
      <c r="D307" s="292" t="s">
        <v>1248</v>
      </c>
      <c r="E307" s="293" t="s">
        <v>1248</v>
      </c>
      <c r="F307" s="294"/>
      <c r="G307" s="293" t="s">
        <v>1249</v>
      </c>
      <c r="H307" s="370">
        <v>0</v>
      </c>
      <c r="I307" s="295">
        <v>0</v>
      </c>
      <c r="J307" s="295">
        <v>0</v>
      </c>
      <c r="K307" s="295">
        <v>0</v>
      </c>
      <c r="L307" s="296">
        <f t="shared" si="21"/>
        <v>0</v>
      </c>
      <c r="N307" s="297">
        <v>0</v>
      </c>
      <c r="O307" s="295">
        <v>0</v>
      </c>
      <c r="P307" s="295">
        <v>0</v>
      </c>
      <c r="Q307" s="295">
        <v>0</v>
      </c>
      <c r="R307" s="295">
        <v>0</v>
      </c>
      <c r="S307" s="296">
        <v>0</v>
      </c>
      <c r="U307" s="298">
        <f t="shared" si="22"/>
        <v>0</v>
      </c>
      <c r="Z307" s="305">
        <v>0</v>
      </c>
      <c r="AB307" s="305">
        <f t="shared" si="19"/>
        <v>0</v>
      </c>
    </row>
    <row r="308" spans="3:28" ht="18" customHeight="1">
      <c r="C308" s="6">
        <v>1</v>
      </c>
      <c r="D308" s="292" t="s">
        <v>1250</v>
      </c>
      <c r="E308" s="293" t="s">
        <v>1250</v>
      </c>
      <c r="F308" s="294"/>
      <c r="G308" s="293" t="s">
        <v>1251</v>
      </c>
      <c r="H308" s="370">
        <v>0</v>
      </c>
      <c r="I308" s="295">
        <v>0</v>
      </c>
      <c r="J308" s="295">
        <v>0</v>
      </c>
      <c r="K308" s="295">
        <v>0</v>
      </c>
      <c r="L308" s="296">
        <f t="shared" si="21"/>
        <v>0</v>
      </c>
      <c r="N308" s="297">
        <v>0</v>
      </c>
      <c r="O308" s="295">
        <v>0</v>
      </c>
      <c r="P308" s="295">
        <v>0</v>
      </c>
      <c r="Q308" s="295">
        <v>0</v>
      </c>
      <c r="R308" s="295">
        <v>0</v>
      </c>
      <c r="S308" s="296">
        <v>0</v>
      </c>
      <c r="U308" s="298">
        <f t="shared" si="22"/>
        <v>0</v>
      </c>
      <c r="Z308" s="305">
        <v>0</v>
      </c>
      <c r="AB308" s="305">
        <f t="shared" si="19"/>
        <v>0</v>
      </c>
    </row>
    <row r="309" spans="3:28" ht="18" customHeight="1">
      <c r="C309" s="6">
        <v>1</v>
      </c>
      <c r="D309" s="292" t="s">
        <v>1252</v>
      </c>
      <c r="E309" s="293" t="s">
        <v>1252</v>
      </c>
      <c r="F309" s="294"/>
      <c r="G309" s="293" t="s">
        <v>1253</v>
      </c>
      <c r="H309" s="370">
        <v>0</v>
      </c>
      <c r="I309" s="295">
        <v>0</v>
      </c>
      <c r="J309" s="295">
        <v>0</v>
      </c>
      <c r="K309" s="295">
        <v>0</v>
      </c>
      <c r="L309" s="296">
        <f t="shared" si="21"/>
        <v>0</v>
      </c>
      <c r="N309" s="297">
        <v>0</v>
      </c>
      <c r="O309" s="295">
        <v>0</v>
      </c>
      <c r="P309" s="295">
        <v>0</v>
      </c>
      <c r="Q309" s="295">
        <v>0</v>
      </c>
      <c r="R309" s="295">
        <v>0</v>
      </c>
      <c r="S309" s="296">
        <v>0</v>
      </c>
      <c r="U309" s="298">
        <f t="shared" si="22"/>
        <v>0</v>
      </c>
      <c r="Z309" s="305">
        <v>0</v>
      </c>
      <c r="AB309" s="305">
        <f t="shared" si="19"/>
        <v>0</v>
      </c>
    </row>
    <row r="310" spans="3:28" ht="18" customHeight="1">
      <c r="C310" s="6">
        <v>1</v>
      </c>
      <c r="D310" s="292" t="s">
        <v>1254</v>
      </c>
      <c r="E310" s="293" t="s">
        <v>1254</v>
      </c>
      <c r="F310" s="294"/>
      <c r="G310" s="293" t="s">
        <v>1255</v>
      </c>
      <c r="H310" s="370">
        <v>0</v>
      </c>
      <c r="I310" s="295">
        <v>0</v>
      </c>
      <c r="J310" s="295">
        <v>0</v>
      </c>
      <c r="K310" s="295">
        <v>0</v>
      </c>
      <c r="L310" s="296">
        <f t="shared" si="21"/>
        <v>0</v>
      </c>
      <c r="N310" s="297">
        <v>0</v>
      </c>
      <c r="O310" s="295">
        <v>0</v>
      </c>
      <c r="P310" s="295">
        <v>0</v>
      </c>
      <c r="Q310" s="295">
        <v>0</v>
      </c>
      <c r="R310" s="295">
        <v>0</v>
      </c>
      <c r="S310" s="296">
        <v>0</v>
      </c>
      <c r="U310" s="298">
        <f t="shared" si="22"/>
        <v>0</v>
      </c>
      <c r="Z310" s="305">
        <v>0</v>
      </c>
      <c r="AB310" s="305">
        <f t="shared" si="19"/>
        <v>0</v>
      </c>
    </row>
    <row r="311" spans="3:28" ht="18" customHeight="1">
      <c r="C311" s="6">
        <v>1</v>
      </c>
      <c r="D311" s="292" t="s">
        <v>1256</v>
      </c>
      <c r="E311" s="293" t="s">
        <v>1256</v>
      </c>
      <c r="F311" s="294"/>
      <c r="G311" s="293" t="s">
        <v>1031</v>
      </c>
      <c r="H311" s="370">
        <v>0</v>
      </c>
      <c r="I311" s="295">
        <v>0</v>
      </c>
      <c r="J311" s="295">
        <v>0</v>
      </c>
      <c r="K311" s="295">
        <v>0</v>
      </c>
      <c r="L311" s="296">
        <f t="shared" si="21"/>
        <v>0</v>
      </c>
      <c r="N311" s="297">
        <v>0</v>
      </c>
      <c r="O311" s="295">
        <v>0</v>
      </c>
      <c r="P311" s="295">
        <v>0</v>
      </c>
      <c r="Q311" s="295">
        <v>0</v>
      </c>
      <c r="R311" s="295">
        <v>0</v>
      </c>
      <c r="S311" s="296">
        <v>0</v>
      </c>
      <c r="U311" s="298">
        <f t="shared" si="22"/>
        <v>0</v>
      </c>
      <c r="Z311" s="305">
        <v>0</v>
      </c>
      <c r="AB311" s="305">
        <f t="shared" si="19"/>
        <v>0</v>
      </c>
    </row>
    <row r="312" spans="3:28" ht="18" customHeight="1">
      <c r="C312" s="6">
        <v>1</v>
      </c>
      <c r="D312" s="292" t="s">
        <v>1257</v>
      </c>
      <c r="E312" s="293" t="s">
        <v>1257</v>
      </c>
      <c r="F312" s="294"/>
      <c r="G312" s="293" t="s">
        <v>1033</v>
      </c>
      <c r="H312" s="370">
        <v>0</v>
      </c>
      <c r="I312" s="295">
        <v>0</v>
      </c>
      <c r="J312" s="295">
        <v>0</v>
      </c>
      <c r="K312" s="295">
        <v>0</v>
      </c>
      <c r="L312" s="296">
        <f t="shared" si="21"/>
        <v>0</v>
      </c>
      <c r="N312" s="297">
        <v>0</v>
      </c>
      <c r="O312" s="295">
        <v>0</v>
      </c>
      <c r="P312" s="295">
        <v>0</v>
      </c>
      <c r="Q312" s="295">
        <v>0</v>
      </c>
      <c r="R312" s="295">
        <v>0</v>
      </c>
      <c r="S312" s="296">
        <v>0</v>
      </c>
      <c r="U312" s="298">
        <f t="shared" si="22"/>
        <v>0</v>
      </c>
      <c r="Z312" s="305">
        <v>0</v>
      </c>
      <c r="AB312" s="305">
        <f t="shared" si="19"/>
        <v>0</v>
      </c>
    </row>
    <row r="313" spans="3:28" ht="18" customHeight="1">
      <c r="C313" s="6">
        <v>1</v>
      </c>
      <c r="D313" s="292" t="s">
        <v>1258</v>
      </c>
      <c r="E313" s="293" t="s">
        <v>1258</v>
      </c>
      <c r="F313" s="294"/>
      <c r="G313" s="293" t="s">
        <v>1259</v>
      </c>
      <c r="H313" s="370">
        <v>0</v>
      </c>
      <c r="I313" s="295">
        <v>0</v>
      </c>
      <c r="J313" s="295">
        <v>0</v>
      </c>
      <c r="K313" s="295">
        <v>0</v>
      </c>
      <c r="L313" s="296">
        <f t="shared" si="21"/>
        <v>0</v>
      </c>
      <c r="N313" s="297">
        <v>0</v>
      </c>
      <c r="O313" s="295">
        <v>0</v>
      </c>
      <c r="P313" s="295">
        <v>0</v>
      </c>
      <c r="Q313" s="295">
        <v>0</v>
      </c>
      <c r="R313" s="295">
        <v>0</v>
      </c>
      <c r="S313" s="296">
        <v>0</v>
      </c>
      <c r="U313" s="298">
        <f t="shared" si="22"/>
        <v>0</v>
      </c>
      <c r="Z313" s="305">
        <v>0</v>
      </c>
      <c r="AB313" s="305">
        <f t="shared" si="19"/>
        <v>0</v>
      </c>
    </row>
    <row r="314" spans="3:28" ht="18" customHeight="1">
      <c r="C314" s="6">
        <v>1</v>
      </c>
      <c r="D314" s="292" t="s">
        <v>1260</v>
      </c>
      <c r="E314" s="293" t="s">
        <v>1260</v>
      </c>
      <c r="F314" s="294"/>
      <c r="G314" s="293" t="s">
        <v>1261</v>
      </c>
      <c r="H314" s="370">
        <v>0</v>
      </c>
      <c r="I314" s="295">
        <v>0</v>
      </c>
      <c r="J314" s="295">
        <v>0</v>
      </c>
      <c r="K314" s="295">
        <v>0</v>
      </c>
      <c r="L314" s="296">
        <f t="shared" si="21"/>
        <v>0</v>
      </c>
      <c r="N314" s="297">
        <v>0</v>
      </c>
      <c r="O314" s="295">
        <v>0</v>
      </c>
      <c r="P314" s="295">
        <v>0</v>
      </c>
      <c r="Q314" s="295">
        <v>0</v>
      </c>
      <c r="R314" s="295">
        <v>0</v>
      </c>
      <c r="S314" s="296">
        <v>0</v>
      </c>
      <c r="U314" s="298">
        <f t="shared" si="22"/>
        <v>0</v>
      </c>
      <c r="Z314" s="305">
        <v>0</v>
      </c>
      <c r="AB314" s="305">
        <f t="shared" si="19"/>
        <v>0</v>
      </c>
    </row>
    <row r="315" spans="3:28" ht="18" customHeight="1">
      <c r="C315" s="6">
        <v>1</v>
      </c>
      <c r="D315" s="292" t="s">
        <v>1262</v>
      </c>
      <c r="E315" s="293" t="s">
        <v>1262</v>
      </c>
      <c r="F315" s="294"/>
      <c r="G315" s="293" t="s">
        <v>1263</v>
      </c>
      <c r="H315" s="370">
        <v>0</v>
      </c>
      <c r="I315" s="295">
        <v>0</v>
      </c>
      <c r="J315" s="295">
        <v>0</v>
      </c>
      <c r="K315" s="295">
        <v>0</v>
      </c>
      <c r="L315" s="296">
        <f t="shared" si="21"/>
        <v>0</v>
      </c>
      <c r="N315" s="297">
        <v>0</v>
      </c>
      <c r="O315" s="295">
        <v>0</v>
      </c>
      <c r="P315" s="295">
        <v>0</v>
      </c>
      <c r="Q315" s="295">
        <v>0</v>
      </c>
      <c r="R315" s="295">
        <v>0</v>
      </c>
      <c r="S315" s="296">
        <v>0</v>
      </c>
      <c r="U315" s="298">
        <f t="shared" si="22"/>
        <v>0</v>
      </c>
      <c r="Z315" s="305">
        <v>0</v>
      </c>
      <c r="AB315" s="305">
        <f t="shared" si="19"/>
        <v>0</v>
      </c>
    </row>
    <row r="316" spans="3:28" ht="18" customHeight="1">
      <c r="C316" s="6">
        <v>1</v>
      </c>
      <c r="D316" s="292" t="s">
        <v>1264</v>
      </c>
      <c r="E316" s="293" t="s">
        <v>1264</v>
      </c>
      <c r="F316" s="294"/>
      <c r="G316" s="293" t="s">
        <v>1265</v>
      </c>
      <c r="H316" s="370">
        <v>0</v>
      </c>
      <c r="I316" s="295">
        <v>0</v>
      </c>
      <c r="J316" s="295">
        <v>0</v>
      </c>
      <c r="K316" s="295">
        <v>0</v>
      </c>
      <c r="L316" s="296">
        <f t="shared" si="21"/>
        <v>0</v>
      </c>
      <c r="N316" s="297">
        <v>0</v>
      </c>
      <c r="O316" s="295">
        <v>0</v>
      </c>
      <c r="P316" s="295">
        <v>0</v>
      </c>
      <c r="Q316" s="295">
        <v>0</v>
      </c>
      <c r="R316" s="295">
        <v>0</v>
      </c>
      <c r="S316" s="296">
        <v>0</v>
      </c>
      <c r="U316" s="298">
        <f t="shared" si="22"/>
        <v>0</v>
      </c>
      <c r="Z316" s="305">
        <v>0</v>
      </c>
      <c r="AB316" s="305">
        <f t="shared" si="19"/>
        <v>0</v>
      </c>
    </row>
    <row r="317" spans="3:28" ht="18" customHeight="1">
      <c r="C317" s="6">
        <v>1</v>
      </c>
      <c r="D317" s="292" t="s">
        <v>1266</v>
      </c>
      <c r="E317" s="293" t="s">
        <v>1266</v>
      </c>
      <c r="F317" s="294"/>
      <c r="G317" s="293" t="s">
        <v>1267</v>
      </c>
      <c r="H317" s="370">
        <v>0</v>
      </c>
      <c r="I317" s="295">
        <v>0</v>
      </c>
      <c r="J317" s="295">
        <v>0</v>
      </c>
      <c r="K317" s="295">
        <v>0</v>
      </c>
      <c r="L317" s="296">
        <f t="shared" si="21"/>
        <v>0</v>
      </c>
      <c r="N317" s="297">
        <v>0</v>
      </c>
      <c r="O317" s="295">
        <v>0</v>
      </c>
      <c r="P317" s="295">
        <v>0</v>
      </c>
      <c r="Q317" s="295">
        <v>0</v>
      </c>
      <c r="R317" s="295">
        <v>0</v>
      </c>
      <c r="S317" s="296">
        <v>0</v>
      </c>
      <c r="U317" s="298">
        <f t="shared" si="22"/>
        <v>0</v>
      </c>
      <c r="Z317" s="305">
        <v>0</v>
      </c>
      <c r="AB317" s="305">
        <f t="shared" si="19"/>
        <v>0</v>
      </c>
    </row>
    <row r="318" spans="3:28" ht="18" customHeight="1">
      <c r="C318" s="6">
        <v>1</v>
      </c>
      <c r="D318" s="292" t="s">
        <v>1268</v>
      </c>
      <c r="E318" s="293" t="s">
        <v>1268</v>
      </c>
      <c r="F318" s="294"/>
      <c r="G318" s="293" t="s">
        <v>1269</v>
      </c>
      <c r="H318" s="370">
        <v>0</v>
      </c>
      <c r="I318" s="295">
        <v>0</v>
      </c>
      <c r="J318" s="295">
        <v>0</v>
      </c>
      <c r="K318" s="295">
        <v>0</v>
      </c>
      <c r="L318" s="296">
        <f t="shared" si="21"/>
        <v>0</v>
      </c>
      <c r="N318" s="297">
        <v>0</v>
      </c>
      <c r="O318" s="295">
        <v>0</v>
      </c>
      <c r="P318" s="295">
        <v>0</v>
      </c>
      <c r="Q318" s="295">
        <v>0</v>
      </c>
      <c r="R318" s="295">
        <v>0</v>
      </c>
      <c r="S318" s="296">
        <v>0</v>
      </c>
      <c r="U318" s="298">
        <f t="shared" si="22"/>
        <v>0</v>
      </c>
      <c r="Z318" s="305">
        <v>0</v>
      </c>
      <c r="AB318" s="305">
        <f t="shared" si="19"/>
        <v>0</v>
      </c>
    </row>
    <row r="319" spans="3:28" ht="18" customHeight="1">
      <c r="C319" s="6">
        <v>1</v>
      </c>
      <c r="D319" s="292" t="s">
        <v>1270</v>
      </c>
      <c r="E319" s="293" t="s">
        <v>1270</v>
      </c>
      <c r="F319" s="294"/>
      <c r="G319" s="293" t="s">
        <v>1271</v>
      </c>
      <c r="H319" s="370">
        <v>0</v>
      </c>
      <c r="I319" s="295">
        <v>0</v>
      </c>
      <c r="J319" s="295">
        <v>0</v>
      </c>
      <c r="K319" s="295">
        <v>0</v>
      </c>
      <c r="L319" s="296">
        <f t="shared" si="21"/>
        <v>0</v>
      </c>
      <c r="N319" s="297">
        <v>0</v>
      </c>
      <c r="O319" s="295">
        <v>0</v>
      </c>
      <c r="P319" s="295">
        <v>0</v>
      </c>
      <c r="Q319" s="295">
        <v>0</v>
      </c>
      <c r="R319" s="295">
        <v>0</v>
      </c>
      <c r="S319" s="296">
        <v>0</v>
      </c>
      <c r="U319" s="298">
        <f t="shared" si="22"/>
        <v>0</v>
      </c>
      <c r="Z319" s="305">
        <v>0</v>
      </c>
      <c r="AB319" s="305">
        <f t="shared" si="19"/>
        <v>0</v>
      </c>
    </row>
    <row r="320" spans="3:28" ht="18" customHeight="1">
      <c r="C320" s="6">
        <v>1</v>
      </c>
      <c r="D320" s="292" t="s">
        <v>1272</v>
      </c>
      <c r="E320" s="293" t="s">
        <v>1272</v>
      </c>
      <c r="F320" s="294"/>
      <c r="G320" s="293" t="s">
        <v>1273</v>
      </c>
      <c r="H320" s="370">
        <v>0</v>
      </c>
      <c r="I320" s="295">
        <v>0</v>
      </c>
      <c r="J320" s="295">
        <v>0</v>
      </c>
      <c r="K320" s="295">
        <v>0</v>
      </c>
      <c r="L320" s="296">
        <f t="shared" si="21"/>
        <v>0</v>
      </c>
      <c r="N320" s="297">
        <v>0</v>
      </c>
      <c r="O320" s="295">
        <v>0</v>
      </c>
      <c r="P320" s="295">
        <v>0</v>
      </c>
      <c r="Q320" s="295">
        <v>0</v>
      </c>
      <c r="R320" s="295">
        <v>0</v>
      </c>
      <c r="S320" s="296">
        <v>0</v>
      </c>
      <c r="U320" s="298">
        <f t="shared" si="22"/>
        <v>0</v>
      </c>
      <c r="Z320" s="305">
        <v>0</v>
      </c>
      <c r="AB320" s="305">
        <f t="shared" si="19"/>
        <v>0</v>
      </c>
    </row>
    <row r="321" spans="3:29" ht="18" customHeight="1">
      <c r="C321" s="6">
        <v>1</v>
      </c>
      <c r="D321" s="292" t="s">
        <v>1274</v>
      </c>
      <c r="E321" s="293" t="s">
        <v>1274</v>
      </c>
      <c r="F321" s="294"/>
      <c r="G321" s="293" t="s">
        <v>1275</v>
      </c>
      <c r="H321" s="370">
        <v>0</v>
      </c>
      <c r="I321" s="295">
        <v>0</v>
      </c>
      <c r="J321" s="295">
        <v>0</v>
      </c>
      <c r="K321" s="295">
        <v>0</v>
      </c>
      <c r="L321" s="296">
        <f t="shared" si="21"/>
        <v>0</v>
      </c>
      <c r="N321" s="297">
        <v>0</v>
      </c>
      <c r="O321" s="295">
        <v>0</v>
      </c>
      <c r="P321" s="295">
        <v>0</v>
      </c>
      <c r="Q321" s="295">
        <v>0</v>
      </c>
      <c r="R321" s="295">
        <v>0</v>
      </c>
      <c r="S321" s="296">
        <v>0</v>
      </c>
      <c r="U321" s="298">
        <f t="shared" si="22"/>
        <v>0</v>
      </c>
      <c r="Z321" s="305">
        <v>0</v>
      </c>
      <c r="AB321" s="305">
        <f t="shared" si="19"/>
        <v>0</v>
      </c>
    </row>
    <row r="322" spans="3:29" ht="18" customHeight="1">
      <c r="C322" s="6">
        <v>1</v>
      </c>
      <c r="D322" s="292" t="s">
        <v>1276</v>
      </c>
      <c r="E322" s="293" t="s">
        <v>1276</v>
      </c>
      <c r="F322" s="294"/>
      <c r="G322" s="293" t="s">
        <v>1277</v>
      </c>
      <c r="H322" s="370">
        <v>0</v>
      </c>
      <c r="I322" s="295">
        <v>0</v>
      </c>
      <c r="J322" s="295">
        <v>0</v>
      </c>
      <c r="K322" s="295">
        <v>0</v>
      </c>
      <c r="L322" s="296">
        <f t="shared" si="21"/>
        <v>0</v>
      </c>
      <c r="N322" s="297">
        <v>0</v>
      </c>
      <c r="O322" s="295">
        <v>0</v>
      </c>
      <c r="P322" s="295">
        <v>0</v>
      </c>
      <c r="Q322" s="295">
        <v>0</v>
      </c>
      <c r="R322" s="295">
        <v>0</v>
      </c>
      <c r="S322" s="296">
        <v>0</v>
      </c>
      <c r="U322" s="298">
        <f t="shared" si="22"/>
        <v>0</v>
      </c>
      <c r="Z322" s="305">
        <v>0</v>
      </c>
      <c r="AB322" s="305">
        <f t="shared" si="19"/>
        <v>0</v>
      </c>
    </row>
    <row r="323" spans="3:29" ht="18" customHeight="1">
      <c r="C323" s="6">
        <v>1</v>
      </c>
      <c r="D323" s="285" t="s">
        <v>1278</v>
      </c>
      <c r="E323" s="286" t="s">
        <v>1278</v>
      </c>
      <c r="F323" s="287"/>
      <c r="G323" s="286" t="s">
        <v>1279</v>
      </c>
      <c r="H323" s="288">
        <f>SUM(H324:H342)</f>
        <v>-1691214510</v>
      </c>
      <c r="I323" s="288">
        <f>SUM(I324:I342)</f>
        <v>-55374775</v>
      </c>
      <c r="J323" s="288">
        <f>SUM(J324:J342)</f>
        <v>-13335652</v>
      </c>
      <c r="K323" s="288">
        <f>SUM(K324:K342)</f>
        <v>-650908781</v>
      </c>
      <c r="L323" s="289">
        <f>SUM(L324:L342)</f>
        <v>-2410833718</v>
      </c>
      <c r="N323" s="290">
        <v>0</v>
      </c>
      <c r="O323" s="288">
        <v>0</v>
      </c>
      <c r="P323" s="288">
        <v>520725000</v>
      </c>
      <c r="Q323" s="288">
        <v>0</v>
      </c>
      <c r="R323" s="288">
        <v>0</v>
      </c>
      <c r="S323" s="289">
        <v>520725000</v>
      </c>
      <c r="U323" s="291">
        <f>SUM(U324:U342)</f>
        <v>-1890108718</v>
      </c>
      <c r="V323" s="6" t="b">
        <f>U323=SUM(U324:U342)</f>
        <v>1</v>
      </c>
      <c r="Z323" s="291">
        <v>-1575912158</v>
      </c>
      <c r="AA323" s="6" t="b">
        <f>Z323=SUM(Z324:Z342)</f>
        <v>1</v>
      </c>
      <c r="AB323" s="291">
        <f t="shared" si="19"/>
        <v>-314196560</v>
      </c>
      <c r="AC323" s="6" t="b">
        <f>AB323=SUM(AB324:AB342)</f>
        <v>1</v>
      </c>
    </row>
    <row r="324" spans="3:29" ht="18" customHeight="1">
      <c r="C324" s="6">
        <v>1</v>
      </c>
      <c r="D324" s="292" t="s">
        <v>1280</v>
      </c>
      <c r="E324" s="293" t="s">
        <v>1280</v>
      </c>
      <c r="F324" s="294" t="s">
        <v>1281</v>
      </c>
      <c r="G324" s="293" t="s">
        <v>1281</v>
      </c>
      <c r="H324" s="370">
        <v>0</v>
      </c>
      <c r="I324" s="295">
        <v>0</v>
      </c>
      <c r="J324" s="295">
        <v>0</v>
      </c>
      <c r="K324" s="295">
        <v>-520725000</v>
      </c>
      <c r="L324" s="296">
        <f t="shared" ref="L324:L342" si="23">SUM(H324:K324)</f>
        <v>-520725000</v>
      </c>
      <c r="N324" s="297">
        <v>0</v>
      </c>
      <c r="O324" s="295">
        <v>0</v>
      </c>
      <c r="P324" s="295">
        <v>520725000</v>
      </c>
      <c r="Q324" s="295">
        <v>0</v>
      </c>
      <c r="R324" s="295">
        <v>0</v>
      </c>
      <c r="S324" s="296">
        <v>520725000</v>
      </c>
      <c r="U324" s="298">
        <f t="shared" ref="U324:U342" si="24">ROUND(S324+L324,0)</f>
        <v>0</v>
      </c>
      <c r="W324" s="7" t="b">
        <f>U324-H324=0</f>
        <v>1</v>
      </c>
      <c r="Z324" s="305">
        <v>0</v>
      </c>
      <c r="AB324" s="305">
        <f t="shared" si="19"/>
        <v>0</v>
      </c>
    </row>
    <row r="325" spans="3:29" ht="18" customHeight="1">
      <c r="C325" s="6">
        <v>1</v>
      </c>
      <c r="D325" s="292" t="s">
        <v>1282</v>
      </c>
      <c r="E325" s="293" t="s">
        <v>1282</v>
      </c>
      <c r="F325" s="294"/>
      <c r="G325" s="293" t="s">
        <v>1283</v>
      </c>
      <c r="H325" s="370">
        <v>0</v>
      </c>
      <c r="I325" s="295">
        <v>0</v>
      </c>
      <c r="J325" s="295">
        <v>0</v>
      </c>
      <c r="K325" s="295">
        <v>0</v>
      </c>
      <c r="L325" s="296">
        <f t="shared" si="23"/>
        <v>0</v>
      </c>
      <c r="N325" s="297">
        <v>0</v>
      </c>
      <c r="O325" s="295">
        <v>0</v>
      </c>
      <c r="P325" s="295">
        <v>0</v>
      </c>
      <c r="Q325" s="295">
        <v>0</v>
      </c>
      <c r="R325" s="295">
        <v>0</v>
      </c>
      <c r="S325" s="296">
        <v>0</v>
      </c>
      <c r="U325" s="298">
        <f t="shared" si="24"/>
        <v>0</v>
      </c>
      <c r="Z325" s="305">
        <v>0</v>
      </c>
      <c r="AB325" s="305">
        <f t="shared" si="19"/>
        <v>0</v>
      </c>
    </row>
    <row r="326" spans="3:29" ht="18" customHeight="1">
      <c r="C326" s="6">
        <v>1</v>
      </c>
      <c r="D326" s="292" t="s">
        <v>1284</v>
      </c>
      <c r="E326" s="293" t="s">
        <v>1284</v>
      </c>
      <c r="F326" s="294"/>
      <c r="G326" s="293" t="s">
        <v>1285</v>
      </c>
      <c r="H326" s="370">
        <v>0</v>
      </c>
      <c r="I326" s="295">
        <v>0</v>
      </c>
      <c r="J326" s="295">
        <v>0</v>
      </c>
      <c r="K326" s="295">
        <v>0</v>
      </c>
      <c r="L326" s="296">
        <f t="shared" si="23"/>
        <v>0</v>
      </c>
      <c r="N326" s="297">
        <v>0</v>
      </c>
      <c r="O326" s="295">
        <v>0</v>
      </c>
      <c r="P326" s="295">
        <v>0</v>
      </c>
      <c r="Q326" s="295">
        <v>0</v>
      </c>
      <c r="R326" s="295">
        <v>0</v>
      </c>
      <c r="S326" s="296">
        <v>0</v>
      </c>
      <c r="U326" s="298">
        <f t="shared" si="24"/>
        <v>0</v>
      </c>
      <c r="Z326" s="305">
        <v>0</v>
      </c>
      <c r="AB326" s="305">
        <f t="shared" si="19"/>
        <v>0</v>
      </c>
    </row>
    <row r="327" spans="3:29" ht="18" customHeight="1">
      <c r="C327" s="6">
        <v>1</v>
      </c>
      <c r="D327" s="292" t="s">
        <v>1286</v>
      </c>
      <c r="E327" s="293" t="s">
        <v>1286</v>
      </c>
      <c r="F327" s="294"/>
      <c r="G327" s="293" t="s">
        <v>1287</v>
      </c>
      <c r="H327" s="370">
        <v>0</v>
      </c>
      <c r="I327" s="295">
        <v>0</v>
      </c>
      <c r="J327" s="295">
        <v>0</v>
      </c>
      <c r="K327" s="295">
        <v>0</v>
      </c>
      <c r="L327" s="296">
        <f t="shared" si="23"/>
        <v>0</v>
      </c>
      <c r="N327" s="297">
        <v>0</v>
      </c>
      <c r="O327" s="295">
        <v>0</v>
      </c>
      <c r="P327" s="295">
        <v>0</v>
      </c>
      <c r="Q327" s="295">
        <v>0</v>
      </c>
      <c r="R327" s="295">
        <v>0</v>
      </c>
      <c r="S327" s="296">
        <v>0</v>
      </c>
      <c r="U327" s="298">
        <f t="shared" si="24"/>
        <v>0</v>
      </c>
      <c r="Z327" s="305">
        <v>0</v>
      </c>
      <c r="AB327" s="305">
        <f t="shared" si="19"/>
        <v>0</v>
      </c>
    </row>
    <row r="328" spans="3:29" ht="18" customHeight="1">
      <c r="C328" s="6">
        <v>1</v>
      </c>
      <c r="D328" s="292" t="s">
        <v>1288</v>
      </c>
      <c r="E328" s="293" t="s">
        <v>1288</v>
      </c>
      <c r="F328" s="294"/>
      <c r="G328" s="293" t="s">
        <v>1289</v>
      </c>
      <c r="H328" s="370">
        <v>0</v>
      </c>
      <c r="I328" s="295">
        <v>0</v>
      </c>
      <c r="J328" s="295">
        <v>0</v>
      </c>
      <c r="K328" s="295">
        <v>0</v>
      </c>
      <c r="L328" s="296">
        <f t="shared" si="23"/>
        <v>0</v>
      </c>
      <c r="N328" s="297">
        <v>0</v>
      </c>
      <c r="O328" s="295">
        <v>0</v>
      </c>
      <c r="P328" s="295">
        <v>0</v>
      </c>
      <c r="Q328" s="295">
        <v>0</v>
      </c>
      <c r="R328" s="295">
        <v>0</v>
      </c>
      <c r="S328" s="296">
        <v>0</v>
      </c>
      <c r="U328" s="298">
        <f t="shared" si="24"/>
        <v>0</v>
      </c>
      <c r="Z328" s="305">
        <v>0</v>
      </c>
      <c r="AB328" s="305">
        <f t="shared" ref="AB328:AB349" si="25">U328-Z328</f>
        <v>0</v>
      </c>
    </row>
    <row r="329" spans="3:29" ht="18" customHeight="1">
      <c r="C329" s="6">
        <v>1</v>
      </c>
      <c r="D329" s="292" t="s">
        <v>1290</v>
      </c>
      <c r="E329" s="293" t="s">
        <v>1290</v>
      </c>
      <c r="F329" s="294"/>
      <c r="G329" s="293" t="s">
        <v>1291</v>
      </c>
      <c r="H329" s="370">
        <v>0</v>
      </c>
      <c r="I329" s="295">
        <v>0</v>
      </c>
      <c r="J329" s="295">
        <v>0</v>
      </c>
      <c r="K329" s="295">
        <v>0</v>
      </c>
      <c r="L329" s="296">
        <f t="shared" si="23"/>
        <v>0</v>
      </c>
      <c r="N329" s="297">
        <v>0</v>
      </c>
      <c r="O329" s="295">
        <v>0</v>
      </c>
      <c r="P329" s="295">
        <v>0</v>
      </c>
      <c r="Q329" s="295">
        <v>0</v>
      </c>
      <c r="R329" s="295">
        <v>0</v>
      </c>
      <c r="S329" s="296">
        <v>0</v>
      </c>
      <c r="U329" s="298">
        <f t="shared" si="24"/>
        <v>0</v>
      </c>
      <c r="Z329" s="305">
        <v>0</v>
      </c>
      <c r="AB329" s="305">
        <f t="shared" si="25"/>
        <v>0</v>
      </c>
    </row>
    <row r="330" spans="3:29" ht="18" customHeight="1">
      <c r="C330" s="6">
        <v>1</v>
      </c>
      <c r="D330" s="292" t="s">
        <v>1292</v>
      </c>
      <c r="E330" s="293" t="s">
        <v>1292</v>
      </c>
      <c r="F330" s="294"/>
      <c r="G330" s="293" t="s">
        <v>1140</v>
      </c>
      <c r="H330" s="370">
        <v>0</v>
      </c>
      <c r="I330" s="295">
        <v>0</v>
      </c>
      <c r="J330" s="295">
        <v>0</v>
      </c>
      <c r="K330" s="295">
        <v>0</v>
      </c>
      <c r="L330" s="296">
        <f t="shared" si="23"/>
        <v>0</v>
      </c>
      <c r="N330" s="297">
        <v>0</v>
      </c>
      <c r="O330" s="295">
        <v>0</v>
      </c>
      <c r="P330" s="295">
        <v>0</v>
      </c>
      <c r="Q330" s="295">
        <v>0</v>
      </c>
      <c r="R330" s="295">
        <v>0</v>
      </c>
      <c r="S330" s="296">
        <v>0</v>
      </c>
      <c r="U330" s="298">
        <f t="shared" si="24"/>
        <v>0</v>
      </c>
      <c r="Z330" s="305">
        <v>0</v>
      </c>
      <c r="AB330" s="305">
        <f t="shared" si="25"/>
        <v>0</v>
      </c>
    </row>
    <row r="331" spans="3:29" ht="18" customHeight="1">
      <c r="C331" s="6">
        <v>1</v>
      </c>
      <c r="D331" s="292" t="s">
        <v>1293</v>
      </c>
      <c r="E331" s="293" t="s">
        <v>1370</v>
      </c>
      <c r="F331" s="294"/>
      <c r="G331" s="293" t="s">
        <v>1372</v>
      </c>
      <c r="H331" s="370">
        <v>0</v>
      </c>
      <c r="I331" s="295">
        <v>0</v>
      </c>
      <c r="J331" s="295">
        <v>0</v>
      </c>
      <c r="K331" s="295">
        <v>0</v>
      </c>
      <c r="L331" s="296">
        <f t="shared" si="23"/>
        <v>0</v>
      </c>
      <c r="N331" s="297">
        <v>0</v>
      </c>
      <c r="O331" s="295">
        <v>0</v>
      </c>
      <c r="P331" s="295">
        <v>0</v>
      </c>
      <c r="Q331" s="295">
        <v>0</v>
      </c>
      <c r="R331" s="295">
        <v>0</v>
      </c>
      <c r="S331" s="296">
        <v>0</v>
      </c>
      <c r="U331" s="298">
        <f t="shared" si="24"/>
        <v>0</v>
      </c>
      <c r="Z331" s="305">
        <v>0</v>
      </c>
      <c r="AB331" s="305">
        <f t="shared" si="25"/>
        <v>0</v>
      </c>
    </row>
    <row r="332" spans="3:29" ht="18" customHeight="1">
      <c r="C332" s="6">
        <v>1</v>
      </c>
      <c r="D332" s="292" t="s">
        <v>1293</v>
      </c>
      <c r="E332" s="293" t="s">
        <v>1371</v>
      </c>
      <c r="F332" s="294"/>
      <c r="G332" s="293" t="s">
        <v>1373</v>
      </c>
      <c r="H332" s="370">
        <v>0</v>
      </c>
      <c r="I332" s="295">
        <v>0</v>
      </c>
      <c r="J332" s="295">
        <v>0</v>
      </c>
      <c r="K332" s="295">
        <v>0</v>
      </c>
      <c r="L332" s="296">
        <f t="shared" si="23"/>
        <v>0</v>
      </c>
      <c r="N332" s="297">
        <v>0</v>
      </c>
      <c r="O332" s="295">
        <v>0</v>
      </c>
      <c r="P332" s="295">
        <v>0</v>
      </c>
      <c r="Q332" s="295">
        <v>0</v>
      </c>
      <c r="R332" s="295">
        <v>0</v>
      </c>
      <c r="S332" s="296">
        <v>0</v>
      </c>
      <c r="U332" s="298">
        <f t="shared" si="24"/>
        <v>0</v>
      </c>
      <c r="Z332" s="305">
        <v>0</v>
      </c>
      <c r="AB332" s="305">
        <f t="shared" si="25"/>
        <v>0</v>
      </c>
    </row>
    <row r="333" spans="3:29" ht="18" customHeight="1">
      <c r="C333" s="6">
        <v>1</v>
      </c>
      <c r="D333" s="292" t="s">
        <v>1294</v>
      </c>
      <c r="E333" s="293" t="s">
        <v>1294</v>
      </c>
      <c r="F333" s="294"/>
      <c r="G333" s="293" t="s">
        <v>1295</v>
      </c>
      <c r="H333" s="370">
        <v>0</v>
      </c>
      <c r="I333" s="295">
        <v>0</v>
      </c>
      <c r="J333" s="295">
        <v>0</v>
      </c>
      <c r="K333" s="295">
        <v>0</v>
      </c>
      <c r="L333" s="296">
        <f t="shared" si="23"/>
        <v>0</v>
      </c>
      <c r="N333" s="297">
        <v>0</v>
      </c>
      <c r="O333" s="295">
        <v>0</v>
      </c>
      <c r="P333" s="295">
        <v>0</v>
      </c>
      <c r="Q333" s="295">
        <v>0</v>
      </c>
      <c r="R333" s="295">
        <v>0</v>
      </c>
      <c r="S333" s="296">
        <v>0</v>
      </c>
      <c r="U333" s="298">
        <f t="shared" si="24"/>
        <v>0</v>
      </c>
      <c r="Z333" s="305">
        <v>0</v>
      </c>
      <c r="AB333" s="305">
        <f t="shared" si="25"/>
        <v>0</v>
      </c>
    </row>
    <row r="334" spans="3:29" ht="18" customHeight="1">
      <c r="C334" s="6">
        <v>1</v>
      </c>
      <c r="D334" s="292" t="s">
        <v>1296</v>
      </c>
      <c r="E334" s="293" t="s">
        <v>1296</v>
      </c>
      <c r="F334" s="294"/>
      <c r="G334" s="293" t="s">
        <v>1297</v>
      </c>
      <c r="H334" s="370">
        <v>0</v>
      </c>
      <c r="I334" s="295">
        <v>0</v>
      </c>
      <c r="J334" s="295">
        <v>0</v>
      </c>
      <c r="K334" s="295">
        <v>0</v>
      </c>
      <c r="L334" s="296">
        <f t="shared" si="23"/>
        <v>0</v>
      </c>
      <c r="N334" s="297">
        <v>0</v>
      </c>
      <c r="O334" s="295">
        <v>0</v>
      </c>
      <c r="P334" s="295">
        <v>0</v>
      </c>
      <c r="Q334" s="295">
        <v>0</v>
      </c>
      <c r="R334" s="295">
        <v>0</v>
      </c>
      <c r="S334" s="296">
        <v>0</v>
      </c>
      <c r="U334" s="298">
        <f t="shared" si="24"/>
        <v>0</v>
      </c>
      <c r="Z334" s="305">
        <v>0</v>
      </c>
      <c r="AB334" s="305">
        <f t="shared" si="25"/>
        <v>0</v>
      </c>
    </row>
    <row r="335" spans="3:29" ht="18" customHeight="1">
      <c r="C335" s="6">
        <v>1</v>
      </c>
      <c r="D335" s="292" t="s">
        <v>1298</v>
      </c>
      <c r="E335" s="293" t="s">
        <v>1298</v>
      </c>
      <c r="F335" s="294"/>
      <c r="G335" s="293" t="s">
        <v>1299</v>
      </c>
      <c r="H335" s="370">
        <v>0</v>
      </c>
      <c r="I335" s="295">
        <v>0</v>
      </c>
      <c r="J335" s="295">
        <v>0</v>
      </c>
      <c r="K335" s="295">
        <v>0</v>
      </c>
      <c r="L335" s="296">
        <f t="shared" si="23"/>
        <v>0</v>
      </c>
      <c r="N335" s="297">
        <v>0</v>
      </c>
      <c r="O335" s="295">
        <v>0</v>
      </c>
      <c r="P335" s="295">
        <v>0</v>
      </c>
      <c r="Q335" s="295">
        <v>0</v>
      </c>
      <c r="R335" s="295">
        <v>0</v>
      </c>
      <c r="S335" s="296">
        <v>0</v>
      </c>
      <c r="U335" s="298">
        <f t="shared" si="24"/>
        <v>0</v>
      </c>
      <c r="Z335" s="305">
        <v>0</v>
      </c>
      <c r="AB335" s="305">
        <f t="shared" si="25"/>
        <v>0</v>
      </c>
    </row>
    <row r="336" spans="3:29" ht="18" customHeight="1">
      <c r="C336" s="6">
        <v>1</v>
      </c>
      <c r="D336" s="292" t="s">
        <v>1300</v>
      </c>
      <c r="E336" s="293" t="s">
        <v>1300</v>
      </c>
      <c r="F336" s="294"/>
      <c r="G336" s="293" t="s">
        <v>1301</v>
      </c>
      <c r="H336" s="370">
        <v>0</v>
      </c>
      <c r="I336" s="295">
        <v>0</v>
      </c>
      <c r="J336" s="295">
        <v>0</v>
      </c>
      <c r="K336" s="295">
        <v>0</v>
      </c>
      <c r="L336" s="296">
        <f t="shared" si="23"/>
        <v>0</v>
      </c>
      <c r="N336" s="297">
        <v>0</v>
      </c>
      <c r="O336" s="295">
        <v>0</v>
      </c>
      <c r="P336" s="295">
        <v>0</v>
      </c>
      <c r="Q336" s="295">
        <v>0</v>
      </c>
      <c r="R336" s="295">
        <v>0</v>
      </c>
      <c r="S336" s="296">
        <v>0</v>
      </c>
      <c r="U336" s="298">
        <f t="shared" si="24"/>
        <v>0</v>
      </c>
      <c r="Z336" s="305">
        <v>0</v>
      </c>
      <c r="AB336" s="305">
        <f t="shared" si="25"/>
        <v>0</v>
      </c>
    </row>
    <row r="337" spans="3:29" ht="18" customHeight="1">
      <c r="C337" s="6">
        <v>1</v>
      </c>
      <c r="D337" s="292" t="s">
        <v>1302</v>
      </c>
      <c r="E337" s="293" t="s">
        <v>1302</v>
      </c>
      <c r="F337" s="294"/>
      <c r="G337" s="293" t="s">
        <v>1303</v>
      </c>
      <c r="H337" s="370">
        <v>0</v>
      </c>
      <c r="I337" s="295">
        <v>0</v>
      </c>
      <c r="J337" s="295">
        <v>0</v>
      </c>
      <c r="K337" s="295">
        <v>0</v>
      </c>
      <c r="L337" s="296">
        <f t="shared" si="23"/>
        <v>0</v>
      </c>
      <c r="N337" s="297">
        <v>0</v>
      </c>
      <c r="O337" s="295">
        <v>0</v>
      </c>
      <c r="P337" s="295">
        <v>0</v>
      </c>
      <c r="Q337" s="295">
        <v>0</v>
      </c>
      <c r="R337" s="295">
        <v>0</v>
      </c>
      <c r="S337" s="296">
        <v>0</v>
      </c>
      <c r="U337" s="298">
        <f t="shared" si="24"/>
        <v>0</v>
      </c>
      <c r="Z337" s="305">
        <v>0</v>
      </c>
      <c r="AB337" s="305">
        <f t="shared" si="25"/>
        <v>0</v>
      </c>
    </row>
    <row r="338" spans="3:29" ht="18" customHeight="1">
      <c r="C338" s="6">
        <v>1</v>
      </c>
      <c r="D338" s="292" t="s">
        <v>1304</v>
      </c>
      <c r="E338" s="293" t="s">
        <v>1304</v>
      </c>
      <c r="F338" s="294"/>
      <c r="G338" s="293" t="s">
        <v>1305</v>
      </c>
      <c r="H338" s="370">
        <v>0</v>
      </c>
      <c r="I338" s="295">
        <v>0</v>
      </c>
      <c r="J338" s="295">
        <v>0</v>
      </c>
      <c r="K338" s="295">
        <v>0</v>
      </c>
      <c r="L338" s="296">
        <f t="shared" si="23"/>
        <v>0</v>
      </c>
      <c r="N338" s="297">
        <v>0</v>
      </c>
      <c r="O338" s="295">
        <v>0</v>
      </c>
      <c r="P338" s="295">
        <v>0</v>
      </c>
      <c r="Q338" s="295">
        <v>0</v>
      </c>
      <c r="R338" s="295">
        <v>0</v>
      </c>
      <c r="S338" s="296">
        <v>0</v>
      </c>
      <c r="U338" s="298">
        <f t="shared" si="24"/>
        <v>0</v>
      </c>
      <c r="Z338" s="305">
        <v>0</v>
      </c>
      <c r="AB338" s="305">
        <f t="shared" si="25"/>
        <v>0</v>
      </c>
    </row>
    <row r="339" spans="3:29" ht="18" customHeight="1">
      <c r="C339" s="6">
        <v>1</v>
      </c>
      <c r="D339" s="292" t="s">
        <v>1306</v>
      </c>
      <c r="E339" s="293" t="s">
        <v>1306</v>
      </c>
      <c r="F339" s="294" t="s">
        <v>1680</v>
      </c>
      <c r="G339" s="293" t="s">
        <v>1307</v>
      </c>
      <c r="H339" s="370">
        <v>-1691214510</v>
      </c>
      <c r="I339" s="295">
        <v>-55374775</v>
      </c>
      <c r="J339" s="295">
        <v>-13335652</v>
      </c>
      <c r="K339" s="295">
        <v>-130183781</v>
      </c>
      <c r="L339" s="296">
        <f t="shared" si="23"/>
        <v>-1890108718</v>
      </c>
      <c r="N339" s="297">
        <v>0</v>
      </c>
      <c r="O339" s="295">
        <v>0</v>
      </c>
      <c r="P339" s="295">
        <v>0</v>
      </c>
      <c r="Q339" s="295">
        <v>0</v>
      </c>
      <c r="R339" s="295">
        <v>0</v>
      </c>
      <c r="S339" s="296">
        <v>0</v>
      </c>
      <c r="U339" s="298">
        <f t="shared" si="24"/>
        <v>-1890108718</v>
      </c>
      <c r="Z339" s="305">
        <v>-1575912158</v>
      </c>
      <c r="AB339" s="305">
        <f t="shared" si="25"/>
        <v>-314196560</v>
      </c>
    </row>
    <row r="340" spans="3:29" ht="18" customHeight="1">
      <c r="C340" s="6">
        <v>1</v>
      </c>
      <c r="D340" s="292" t="s">
        <v>1308</v>
      </c>
      <c r="E340" s="293" t="s">
        <v>1308</v>
      </c>
      <c r="F340" s="294"/>
      <c r="G340" s="293" t="s">
        <v>1309</v>
      </c>
      <c r="H340" s="370">
        <v>0</v>
      </c>
      <c r="I340" s="295">
        <v>0</v>
      </c>
      <c r="J340" s="295">
        <v>0</v>
      </c>
      <c r="K340" s="295">
        <v>0</v>
      </c>
      <c r="L340" s="296">
        <f t="shared" si="23"/>
        <v>0</v>
      </c>
      <c r="N340" s="297">
        <v>0</v>
      </c>
      <c r="O340" s="295">
        <v>0</v>
      </c>
      <c r="P340" s="295">
        <v>0</v>
      </c>
      <c r="Q340" s="295">
        <v>0</v>
      </c>
      <c r="R340" s="295">
        <v>0</v>
      </c>
      <c r="S340" s="296">
        <v>0</v>
      </c>
      <c r="U340" s="298">
        <f t="shared" si="24"/>
        <v>0</v>
      </c>
      <c r="Z340" s="305">
        <v>0</v>
      </c>
      <c r="AB340" s="305">
        <f t="shared" si="25"/>
        <v>0</v>
      </c>
    </row>
    <row r="341" spans="3:29" ht="18" customHeight="1">
      <c r="C341" s="6">
        <v>1</v>
      </c>
      <c r="D341" s="292" t="s">
        <v>1310</v>
      </c>
      <c r="E341" s="293" t="s">
        <v>1310</v>
      </c>
      <c r="F341" s="294"/>
      <c r="G341" s="293" t="s">
        <v>1311</v>
      </c>
      <c r="H341" s="370">
        <v>0</v>
      </c>
      <c r="I341" s="295">
        <v>0</v>
      </c>
      <c r="J341" s="295">
        <v>0</v>
      </c>
      <c r="K341" s="295">
        <v>0</v>
      </c>
      <c r="L341" s="296">
        <f t="shared" si="23"/>
        <v>0</v>
      </c>
      <c r="N341" s="297">
        <v>0</v>
      </c>
      <c r="O341" s="295">
        <v>0</v>
      </c>
      <c r="P341" s="295">
        <v>0</v>
      </c>
      <c r="Q341" s="295">
        <v>0</v>
      </c>
      <c r="R341" s="295">
        <v>0</v>
      </c>
      <c r="S341" s="296">
        <v>0</v>
      </c>
      <c r="U341" s="298">
        <f t="shared" si="24"/>
        <v>0</v>
      </c>
      <c r="Z341" s="305">
        <v>0</v>
      </c>
      <c r="AB341" s="305">
        <f t="shared" si="25"/>
        <v>0</v>
      </c>
    </row>
    <row r="342" spans="3:29" ht="18" customHeight="1">
      <c r="C342" s="6">
        <v>1</v>
      </c>
      <c r="D342" s="292" t="s">
        <v>1312</v>
      </c>
      <c r="E342" s="293" t="s">
        <v>1312</v>
      </c>
      <c r="F342" s="294" t="s">
        <v>1313</v>
      </c>
      <c r="G342" s="293" t="s">
        <v>1313</v>
      </c>
      <c r="H342" s="370">
        <v>0</v>
      </c>
      <c r="I342" s="295">
        <v>0</v>
      </c>
      <c r="J342" s="295">
        <v>0</v>
      </c>
      <c r="K342" s="295">
        <v>0</v>
      </c>
      <c r="L342" s="296">
        <f t="shared" si="23"/>
        <v>0</v>
      </c>
      <c r="N342" s="297">
        <v>0</v>
      </c>
      <c r="O342" s="295">
        <v>0</v>
      </c>
      <c r="P342" s="295">
        <v>0</v>
      </c>
      <c r="Q342" s="295">
        <v>0</v>
      </c>
      <c r="R342" s="295">
        <v>0</v>
      </c>
      <c r="S342" s="296">
        <v>0</v>
      </c>
      <c r="U342" s="298">
        <f t="shared" si="24"/>
        <v>0</v>
      </c>
      <c r="W342" s="33" t="s">
        <v>1674</v>
      </c>
      <c r="Z342" s="305">
        <v>0</v>
      </c>
      <c r="AB342" s="305">
        <f t="shared" si="25"/>
        <v>0</v>
      </c>
    </row>
    <row r="343" spans="3:29" ht="18" customHeight="1">
      <c r="C343" s="6">
        <v>1</v>
      </c>
      <c r="D343" s="285" t="s">
        <v>1314</v>
      </c>
      <c r="E343" s="286" t="s">
        <v>1314</v>
      </c>
      <c r="F343" s="287"/>
      <c r="G343" s="286" t="s">
        <v>1315</v>
      </c>
      <c r="H343" s="288">
        <f t="shared" ref="H343:L344" si="26">H344</f>
        <v>1167315387</v>
      </c>
      <c r="I343" s="288">
        <f t="shared" si="26"/>
        <v>0</v>
      </c>
      <c r="J343" s="288">
        <f t="shared" si="26"/>
        <v>1473025</v>
      </c>
      <c r="K343" s="288">
        <f t="shared" si="26"/>
        <v>-78484476</v>
      </c>
      <c r="L343" s="289">
        <f t="shared" si="26"/>
        <v>1090303936</v>
      </c>
      <c r="N343" s="290">
        <v>0</v>
      </c>
      <c r="O343" s="288">
        <v>0</v>
      </c>
      <c r="P343" s="288">
        <v>6546771.8484999985</v>
      </c>
      <c r="Q343" s="288">
        <v>0</v>
      </c>
      <c r="R343" s="288">
        <v>0</v>
      </c>
      <c r="S343" s="289">
        <v>6546771.8484999985</v>
      </c>
      <c r="U343" s="291">
        <f>U344</f>
        <v>1096850708</v>
      </c>
      <c r="Z343" s="291">
        <v>939179799</v>
      </c>
      <c r="AB343" s="291">
        <f t="shared" si="25"/>
        <v>157670909</v>
      </c>
    </row>
    <row r="344" spans="3:29" ht="18" customHeight="1">
      <c r="C344" s="6">
        <v>1</v>
      </c>
      <c r="D344" s="285" t="s">
        <v>1316</v>
      </c>
      <c r="E344" s="286" t="s">
        <v>1316</v>
      </c>
      <c r="F344" s="287"/>
      <c r="G344" s="286" t="s">
        <v>1315</v>
      </c>
      <c r="H344" s="288">
        <f t="shared" si="26"/>
        <v>1167315387</v>
      </c>
      <c r="I344" s="288">
        <f t="shared" si="26"/>
        <v>0</v>
      </c>
      <c r="J344" s="288">
        <f t="shared" si="26"/>
        <v>1473025</v>
      </c>
      <c r="K344" s="288">
        <f t="shared" si="26"/>
        <v>-78484476</v>
      </c>
      <c r="L344" s="289">
        <f t="shared" si="26"/>
        <v>1090303936</v>
      </c>
      <c r="N344" s="290">
        <v>0</v>
      </c>
      <c r="O344" s="288">
        <v>0</v>
      </c>
      <c r="P344" s="288">
        <v>6546771.8484999985</v>
      </c>
      <c r="Q344" s="288">
        <v>0</v>
      </c>
      <c r="R344" s="288">
        <v>0</v>
      </c>
      <c r="S344" s="289">
        <v>6546771.8484999985</v>
      </c>
      <c r="U344" s="291">
        <f>U345</f>
        <v>1096850708</v>
      </c>
      <c r="Z344" s="291">
        <v>939179799</v>
      </c>
      <c r="AB344" s="291">
        <f t="shared" si="25"/>
        <v>157670909</v>
      </c>
    </row>
    <row r="345" spans="3:29" ht="18" customHeight="1">
      <c r="C345" s="6">
        <v>1</v>
      </c>
      <c r="D345" s="292" t="s">
        <v>1317</v>
      </c>
      <c r="E345" s="293" t="s">
        <v>1317</v>
      </c>
      <c r="F345" s="294"/>
      <c r="G345" s="293" t="s">
        <v>1318</v>
      </c>
      <c r="H345" s="370">
        <v>1167315387</v>
      </c>
      <c r="I345" s="295">
        <v>0</v>
      </c>
      <c r="J345" s="295">
        <v>1473025</v>
      </c>
      <c r="K345" s="295">
        <v>-78484476</v>
      </c>
      <c r="L345" s="296">
        <f>SUM(H345:K345)</f>
        <v>1090303936</v>
      </c>
      <c r="N345" s="297">
        <v>0</v>
      </c>
      <c r="O345" s="295">
        <v>0</v>
      </c>
      <c r="P345" s="295">
        <v>6546771.8484999985</v>
      </c>
      <c r="Q345" s="295">
        <v>0</v>
      </c>
      <c r="R345" s="295">
        <v>0</v>
      </c>
      <c r="S345" s="296">
        <v>6546771.8484999985</v>
      </c>
      <c r="U345" s="298">
        <f>ROUND(S345+L345,0)</f>
        <v>1096850708</v>
      </c>
      <c r="Z345" s="305">
        <v>939179799</v>
      </c>
      <c r="AB345" s="305">
        <f t="shared" si="25"/>
        <v>157670909</v>
      </c>
    </row>
    <row r="346" spans="3:29" ht="18" customHeight="1">
      <c r="C346" s="6">
        <v>1</v>
      </c>
      <c r="D346" s="285" t="s">
        <v>1319</v>
      </c>
      <c r="E346" s="286" t="s">
        <v>1319</v>
      </c>
      <c r="F346" s="287"/>
      <c r="G346" s="286" t="s">
        <v>1320</v>
      </c>
      <c r="H346" s="288">
        <f t="shared" ref="H346:L347" si="27">H347</f>
        <v>0</v>
      </c>
      <c r="I346" s="288">
        <f t="shared" si="27"/>
        <v>0</v>
      </c>
      <c r="J346" s="288">
        <f t="shared" si="27"/>
        <v>0</v>
      </c>
      <c r="K346" s="288">
        <f t="shared" si="27"/>
        <v>0</v>
      </c>
      <c r="L346" s="289">
        <f t="shared" si="27"/>
        <v>0</v>
      </c>
      <c r="N346" s="290">
        <v>0</v>
      </c>
      <c r="O346" s="288">
        <v>0</v>
      </c>
      <c r="P346" s="288">
        <v>0</v>
      </c>
      <c r="Q346" s="288">
        <v>0</v>
      </c>
      <c r="R346" s="288">
        <v>0</v>
      </c>
      <c r="S346" s="289">
        <v>0</v>
      </c>
      <c r="U346" s="291">
        <f>U347</f>
        <v>0</v>
      </c>
      <c r="Z346" s="291">
        <v>0</v>
      </c>
      <c r="AB346" s="291">
        <f t="shared" si="25"/>
        <v>0</v>
      </c>
    </row>
    <row r="347" spans="3:29" ht="18" customHeight="1">
      <c r="C347" s="6">
        <v>1</v>
      </c>
      <c r="D347" s="285" t="s">
        <v>1321</v>
      </c>
      <c r="E347" s="286" t="s">
        <v>1321</v>
      </c>
      <c r="F347" s="287"/>
      <c r="G347" s="286" t="s">
        <v>1320</v>
      </c>
      <c r="H347" s="288">
        <f t="shared" si="27"/>
        <v>0</v>
      </c>
      <c r="I347" s="288">
        <f t="shared" si="27"/>
        <v>0</v>
      </c>
      <c r="J347" s="288">
        <f t="shared" si="27"/>
        <v>0</v>
      </c>
      <c r="K347" s="288">
        <f t="shared" si="27"/>
        <v>0</v>
      </c>
      <c r="L347" s="289">
        <f t="shared" si="27"/>
        <v>0</v>
      </c>
      <c r="N347" s="290">
        <v>0</v>
      </c>
      <c r="O347" s="288">
        <v>0</v>
      </c>
      <c r="P347" s="288">
        <v>0</v>
      </c>
      <c r="Q347" s="288">
        <v>0</v>
      </c>
      <c r="R347" s="288">
        <v>0</v>
      </c>
      <c r="S347" s="289">
        <v>0</v>
      </c>
      <c r="U347" s="291">
        <f>U348</f>
        <v>0</v>
      </c>
      <c r="Z347" s="291">
        <v>0</v>
      </c>
      <c r="AB347" s="291">
        <f t="shared" si="25"/>
        <v>0</v>
      </c>
    </row>
    <row r="348" spans="3:29" ht="18" customHeight="1">
      <c r="C348" s="6">
        <v>1</v>
      </c>
      <c r="D348" s="292" t="s">
        <v>1322</v>
      </c>
      <c r="E348" s="293" t="s">
        <v>1322</v>
      </c>
      <c r="F348" s="294"/>
      <c r="G348" s="293" t="s">
        <v>1323</v>
      </c>
      <c r="H348" s="370">
        <v>0</v>
      </c>
      <c r="I348" s="295">
        <v>0</v>
      </c>
      <c r="J348" s="295">
        <v>0</v>
      </c>
      <c r="K348" s="295">
        <v>0</v>
      </c>
      <c r="L348" s="296">
        <f>SUM(H348:K348)</f>
        <v>0</v>
      </c>
      <c r="N348" s="297">
        <v>0</v>
      </c>
      <c r="O348" s="295">
        <v>0</v>
      </c>
      <c r="P348" s="295">
        <v>0</v>
      </c>
      <c r="Q348" s="295">
        <v>0</v>
      </c>
      <c r="R348" s="295">
        <v>0</v>
      </c>
      <c r="S348" s="296">
        <v>0</v>
      </c>
      <c r="U348" s="305">
        <f>ROUND(S348+L348,0)</f>
        <v>0</v>
      </c>
      <c r="Z348" s="305">
        <v>0</v>
      </c>
      <c r="AB348" s="305">
        <f t="shared" si="25"/>
        <v>0</v>
      </c>
    </row>
    <row r="349" spans="3:29" ht="18" customHeight="1">
      <c r="C349" s="6">
        <v>1</v>
      </c>
      <c r="D349" s="285" t="s">
        <v>1324</v>
      </c>
      <c r="E349" s="286" t="s">
        <v>1324</v>
      </c>
      <c r="F349" s="287"/>
      <c r="G349" s="286" t="s">
        <v>1325</v>
      </c>
      <c r="H349" s="288">
        <f>SUM(H346,H343,H300,H181,H7)</f>
        <v>35500676293</v>
      </c>
      <c r="I349" s="288">
        <f>SUM(I346,I343,I300,I181,I7)</f>
        <v>238171608</v>
      </c>
      <c r="J349" s="288">
        <f>SUM(J346,J343,J300,J181,J7)</f>
        <v>7016527</v>
      </c>
      <c r="K349" s="288">
        <f>SUM(K346,K343,K300,K181,K7)</f>
        <v>-1018633969</v>
      </c>
      <c r="L349" s="289">
        <f>SUM(L346,L343,L300,L181,L7)</f>
        <v>34727230459</v>
      </c>
      <c r="N349" s="290">
        <v>20206929</v>
      </c>
      <c r="O349" s="288">
        <v>0</v>
      </c>
      <c r="P349" s="288">
        <v>1.4901161193847656E-8</v>
      </c>
      <c r="Q349" s="288">
        <v>0</v>
      </c>
      <c r="R349" s="288">
        <v>0</v>
      </c>
      <c r="S349" s="289">
        <v>20206929.000000015</v>
      </c>
      <c r="U349" s="291">
        <f>SUM(U346,U343,U300,U181,U7)</f>
        <v>34747437388</v>
      </c>
      <c r="V349" s="6" t="b">
        <f>U349=U300+U181+U7+U345</f>
        <v>1</v>
      </c>
      <c r="Z349" s="291">
        <v>35266774835</v>
      </c>
      <c r="AA349" s="6" t="b">
        <f>Z349=Z300+Z181+Z7+Z345</f>
        <v>1</v>
      </c>
      <c r="AB349" s="291">
        <f t="shared" si="25"/>
        <v>-519337447</v>
      </c>
      <c r="AC349" s="6" t="b">
        <f>AB349=AB300+AB181+AB7+AB345</f>
        <v>1</v>
      </c>
    </row>
    <row r="350" spans="3:29" ht="18" customHeight="1">
      <c r="C350" s="6">
        <v>1</v>
      </c>
      <c r="D350" s="285" t="s">
        <v>1326</v>
      </c>
      <c r="E350" s="286" t="s">
        <v>1326</v>
      </c>
      <c r="F350" s="287"/>
      <c r="G350" s="286" t="s">
        <v>1327</v>
      </c>
      <c r="H350" s="288">
        <f t="shared" ref="H350:L351" si="28">H351</f>
        <v>93366762419</v>
      </c>
      <c r="I350" s="288">
        <f t="shared" si="28"/>
        <v>20206929</v>
      </c>
      <c r="J350" s="288">
        <f t="shared" si="28"/>
        <v>15528652</v>
      </c>
      <c r="K350" s="288">
        <f t="shared" si="28"/>
        <v>3888916061</v>
      </c>
      <c r="L350" s="289">
        <f t="shared" si="28"/>
        <v>97291414061</v>
      </c>
      <c r="N350" s="290">
        <v>-20206929</v>
      </c>
      <c r="O350" s="288">
        <v>0</v>
      </c>
      <c r="P350" s="288">
        <v>0</v>
      </c>
      <c r="Q350" s="288">
        <v>0</v>
      </c>
      <c r="R350" s="288">
        <v>0</v>
      </c>
      <c r="S350" s="289">
        <v>-20206929</v>
      </c>
      <c r="U350" s="291">
        <f>U351</f>
        <v>97271207132</v>
      </c>
      <c r="Z350" s="291">
        <v>97271207132</v>
      </c>
      <c r="AB350" s="291">
        <f>Z355</f>
        <v>132537981967</v>
      </c>
    </row>
    <row r="351" spans="3:29" ht="18" customHeight="1">
      <c r="C351" s="6">
        <v>1</v>
      </c>
      <c r="D351" s="285" t="s">
        <v>1328</v>
      </c>
      <c r="E351" s="286" t="s">
        <v>1328</v>
      </c>
      <c r="F351" s="287"/>
      <c r="G351" s="286" t="s">
        <v>1327</v>
      </c>
      <c r="H351" s="288">
        <f t="shared" si="28"/>
        <v>93366762419</v>
      </c>
      <c r="I351" s="288">
        <f t="shared" si="28"/>
        <v>20206929</v>
      </c>
      <c r="J351" s="288">
        <f t="shared" si="28"/>
        <v>15528652</v>
      </c>
      <c r="K351" s="288">
        <f t="shared" si="28"/>
        <v>3888916061</v>
      </c>
      <c r="L351" s="289">
        <f t="shared" si="28"/>
        <v>97291414061</v>
      </c>
      <c r="N351" s="290">
        <v>-20206929</v>
      </c>
      <c r="O351" s="288">
        <v>0</v>
      </c>
      <c r="P351" s="288">
        <v>0</v>
      </c>
      <c r="Q351" s="288">
        <v>0</v>
      </c>
      <c r="R351" s="288">
        <v>0</v>
      </c>
      <c r="S351" s="289">
        <v>-20206929</v>
      </c>
      <c r="U351" s="291">
        <f>U352</f>
        <v>97271207132</v>
      </c>
      <c r="Z351" s="291">
        <v>97271207132</v>
      </c>
      <c r="AB351" s="291">
        <f>AB350</f>
        <v>132537981967</v>
      </c>
    </row>
    <row r="352" spans="3:29" ht="18" customHeight="1">
      <c r="C352" s="6">
        <v>1</v>
      </c>
      <c r="D352" s="292" t="s">
        <v>1329</v>
      </c>
      <c r="E352" s="293" t="s">
        <v>1329</v>
      </c>
      <c r="F352" s="294"/>
      <c r="G352" s="293" t="s">
        <v>1330</v>
      </c>
      <c r="H352" s="370">
        <v>93366762419</v>
      </c>
      <c r="I352" s="295">
        <v>20206929</v>
      </c>
      <c r="J352" s="295">
        <v>15528652</v>
      </c>
      <c r="K352" s="295">
        <v>3888916061</v>
      </c>
      <c r="L352" s="296">
        <f>SUM(H352:K352)</f>
        <v>97291414061</v>
      </c>
      <c r="N352" s="297">
        <v>-20206929</v>
      </c>
      <c r="O352" s="295">
        <v>0</v>
      </c>
      <c r="P352" s="295">
        <v>0</v>
      </c>
      <c r="Q352" s="295">
        <v>0</v>
      </c>
      <c r="R352" s="295">
        <v>0</v>
      </c>
      <c r="S352" s="296">
        <v>-20206929</v>
      </c>
      <c r="U352" s="305">
        <f>S352+L352</f>
        <v>97271207132</v>
      </c>
      <c r="W352" s="6" t="b">
        <f>'BS(공)'!K8='CF.1_2개월(단순차감)'!U352</f>
        <v>1</v>
      </c>
      <c r="Z352" s="305">
        <v>97271207132</v>
      </c>
      <c r="AB352" s="305">
        <f>AB351</f>
        <v>132537981967</v>
      </c>
    </row>
    <row r="353" spans="3:29" ht="18" customHeight="1">
      <c r="C353" s="6">
        <v>1</v>
      </c>
      <c r="D353" s="285" t="s">
        <v>1331</v>
      </c>
      <c r="E353" s="286" t="s">
        <v>1331</v>
      </c>
      <c r="F353" s="287"/>
      <c r="G353" s="286" t="s">
        <v>1332</v>
      </c>
      <c r="H353" s="288">
        <f t="shared" ref="H353:L354" si="29">H354</f>
        <v>128867438712</v>
      </c>
      <c r="I353" s="288">
        <f t="shared" si="29"/>
        <v>258378537</v>
      </c>
      <c r="J353" s="288">
        <f t="shared" si="29"/>
        <v>22545179</v>
      </c>
      <c r="K353" s="288">
        <f t="shared" si="29"/>
        <v>2870282092</v>
      </c>
      <c r="L353" s="289">
        <f t="shared" si="29"/>
        <v>132018644520</v>
      </c>
      <c r="N353" s="290">
        <v>0</v>
      </c>
      <c r="O353" s="288">
        <v>0</v>
      </c>
      <c r="P353" s="288">
        <v>0</v>
      </c>
      <c r="Q353" s="288">
        <v>0</v>
      </c>
      <c r="R353" s="288">
        <v>0</v>
      </c>
      <c r="S353" s="289">
        <v>0</v>
      </c>
      <c r="U353" s="291">
        <f>U354</f>
        <v>132018644520</v>
      </c>
      <c r="Z353" s="291">
        <v>132537981967</v>
      </c>
      <c r="AB353" s="291">
        <f>AB349+AB350</f>
        <v>132018644520</v>
      </c>
    </row>
    <row r="354" spans="3:29" ht="18" customHeight="1">
      <c r="C354" s="6">
        <v>1</v>
      </c>
      <c r="D354" s="285" t="s">
        <v>1333</v>
      </c>
      <c r="E354" s="286" t="s">
        <v>1333</v>
      </c>
      <c r="F354" s="287"/>
      <c r="G354" s="286" t="s">
        <v>1332</v>
      </c>
      <c r="H354" s="288">
        <f t="shared" si="29"/>
        <v>128867438712</v>
      </c>
      <c r="I354" s="288">
        <f t="shared" si="29"/>
        <v>258378537</v>
      </c>
      <c r="J354" s="288">
        <f t="shared" si="29"/>
        <v>22545179</v>
      </c>
      <c r="K354" s="288">
        <f t="shared" si="29"/>
        <v>2870282092</v>
      </c>
      <c r="L354" s="289">
        <f t="shared" si="29"/>
        <v>132018644520</v>
      </c>
      <c r="N354" s="290">
        <v>0</v>
      </c>
      <c r="O354" s="288">
        <v>0</v>
      </c>
      <c r="P354" s="288">
        <v>0</v>
      </c>
      <c r="Q354" s="288">
        <v>0</v>
      </c>
      <c r="R354" s="288">
        <v>0</v>
      </c>
      <c r="S354" s="289">
        <v>0</v>
      </c>
      <c r="U354" s="291">
        <f>U355</f>
        <v>132018644520</v>
      </c>
      <c r="Z354" s="291">
        <v>132537981967</v>
      </c>
      <c r="AB354" s="291">
        <f>AB353</f>
        <v>132018644520</v>
      </c>
    </row>
    <row r="355" spans="3:29" ht="18" customHeight="1">
      <c r="C355" s="6">
        <v>1</v>
      </c>
      <c r="D355" s="292" t="s">
        <v>1334</v>
      </c>
      <c r="E355" s="293" t="s">
        <v>1334</v>
      </c>
      <c r="F355" s="294"/>
      <c r="G355" s="293" t="s">
        <v>1335</v>
      </c>
      <c r="H355" s="370">
        <v>128867438712</v>
      </c>
      <c r="I355" s="295">
        <v>258378537</v>
      </c>
      <c r="J355" s="295">
        <v>22545179</v>
      </c>
      <c r="K355" s="295">
        <v>2870282092</v>
      </c>
      <c r="L355" s="296">
        <f>SUM(H355:K355)</f>
        <v>132018644520</v>
      </c>
      <c r="N355" s="297">
        <v>0</v>
      </c>
      <c r="O355" s="295">
        <v>0</v>
      </c>
      <c r="P355" s="295">
        <v>0</v>
      </c>
      <c r="Q355" s="295">
        <v>0</v>
      </c>
      <c r="R355" s="295">
        <v>0</v>
      </c>
      <c r="S355" s="296">
        <v>0</v>
      </c>
      <c r="U355" s="305">
        <f>S355+L355</f>
        <v>132018644520</v>
      </c>
      <c r="W355" s="7" t="b">
        <f>T_BS!X8-U355=0</f>
        <v>0</v>
      </c>
      <c r="Z355" s="305">
        <v>132537981967</v>
      </c>
      <c r="AB355" s="305">
        <f>AB354</f>
        <v>132018644520</v>
      </c>
      <c r="AC355" s="6" t="b">
        <f>AB355=U355</f>
        <v>1</v>
      </c>
    </row>
    <row r="356" spans="3:29" ht="18" customHeight="1">
      <c r="C356" s="6">
        <v>1</v>
      </c>
      <c r="D356" s="285" t="s">
        <v>1336</v>
      </c>
      <c r="E356" s="286" t="s">
        <v>1336</v>
      </c>
      <c r="F356" s="287"/>
      <c r="G356" s="286" t="s">
        <v>1337</v>
      </c>
      <c r="H356" s="288">
        <f t="shared" ref="H356:K357" si="30">H357</f>
        <v>0</v>
      </c>
      <c r="I356" s="288">
        <f t="shared" si="30"/>
        <v>0</v>
      </c>
      <c r="J356" s="288">
        <f t="shared" si="30"/>
        <v>0</v>
      </c>
      <c r="K356" s="288">
        <f t="shared" si="30"/>
        <v>0</v>
      </c>
      <c r="L356" s="289">
        <f>L357</f>
        <v>0</v>
      </c>
      <c r="N356" s="290"/>
      <c r="O356" s="288"/>
      <c r="P356" s="288"/>
      <c r="Q356" s="288"/>
      <c r="R356" s="288"/>
      <c r="S356" s="289"/>
      <c r="U356" s="291"/>
    </row>
    <row r="357" spans="3:29" ht="18" customHeight="1">
      <c r="C357" s="6">
        <v>1</v>
      </c>
      <c r="D357" s="285" t="s">
        <v>1338</v>
      </c>
      <c r="E357" s="286" t="s">
        <v>1338</v>
      </c>
      <c r="F357" s="287"/>
      <c r="G357" s="286" t="s">
        <v>1337</v>
      </c>
      <c r="H357" s="288">
        <f t="shared" si="30"/>
        <v>0</v>
      </c>
      <c r="I357" s="288">
        <f t="shared" si="30"/>
        <v>0</v>
      </c>
      <c r="J357" s="288">
        <f t="shared" si="30"/>
        <v>0</v>
      </c>
      <c r="K357" s="288">
        <f t="shared" si="30"/>
        <v>0</v>
      </c>
      <c r="L357" s="289">
        <f>L358</f>
        <v>0</v>
      </c>
      <c r="N357" s="290"/>
      <c r="O357" s="288"/>
      <c r="P357" s="288"/>
      <c r="Q357" s="288"/>
      <c r="R357" s="288"/>
      <c r="S357" s="289"/>
      <c r="U357" s="291"/>
    </row>
    <row r="358" spans="3:29" ht="18" customHeight="1" thickBot="1">
      <c r="C358" s="6">
        <v>1</v>
      </c>
      <c r="D358" s="306" t="s">
        <v>1339</v>
      </c>
      <c r="E358" s="307" t="s">
        <v>1339</v>
      </c>
      <c r="F358" s="308"/>
      <c r="G358" s="307" t="s">
        <v>1340</v>
      </c>
      <c r="H358" s="459">
        <v>0</v>
      </c>
      <c r="I358" s="309">
        <v>0</v>
      </c>
      <c r="J358" s="309">
        <v>0</v>
      </c>
      <c r="K358" s="309">
        <v>0</v>
      </c>
      <c r="L358" s="309">
        <f>L355-L352-L349</f>
        <v>0</v>
      </c>
      <c r="M358" s="17"/>
      <c r="N358" s="310"/>
      <c r="O358" s="311"/>
      <c r="P358" s="311">
        <v>0</v>
      </c>
      <c r="Q358" s="311">
        <v>0</v>
      </c>
      <c r="R358" s="311">
        <v>0</v>
      </c>
      <c r="S358" s="312">
        <v>0</v>
      </c>
      <c r="U358" s="313">
        <f>S358+L358</f>
        <v>0</v>
      </c>
    </row>
    <row r="359" spans="3:29" ht="18" customHeight="1" thickBot="1"/>
    <row r="360" spans="3:29" ht="18" customHeight="1">
      <c r="D360" s="206"/>
      <c r="E360" s="207"/>
      <c r="F360" s="314"/>
      <c r="G360" s="207" t="s">
        <v>1387</v>
      </c>
      <c r="H360" s="315">
        <f t="shared" ref="H360:U360" si="31">H7</f>
        <v>2776289498</v>
      </c>
      <c r="I360" s="315">
        <f t="shared" si="31"/>
        <v>-1062858162</v>
      </c>
      <c r="J360" s="315">
        <f t="shared" si="31"/>
        <v>18879154</v>
      </c>
      <c r="K360" s="315">
        <f t="shared" si="31"/>
        <v>680949926</v>
      </c>
      <c r="L360" s="315">
        <f t="shared" si="31"/>
        <v>2413260416</v>
      </c>
      <c r="M360" s="315">
        <f t="shared" si="31"/>
        <v>0</v>
      </c>
      <c r="N360" s="315">
        <v>0</v>
      </c>
      <c r="O360" s="315">
        <v>0</v>
      </c>
      <c r="P360" s="315">
        <v>-141771.84849999845</v>
      </c>
      <c r="Q360" s="315">
        <v>0</v>
      </c>
      <c r="R360" s="315">
        <v>-20000000</v>
      </c>
      <c r="S360" s="315">
        <v>-20141771.848499998</v>
      </c>
      <c r="T360" s="315">
        <f t="shared" si="31"/>
        <v>0</v>
      </c>
      <c r="U360" s="316">
        <f t="shared" si="31"/>
        <v>2393118644</v>
      </c>
    </row>
    <row r="361" spans="3:29" ht="18" customHeight="1">
      <c r="D361" s="208"/>
      <c r="G361" s="6" t="s">
        <v>1388</v>
      </c>
      <c r="H361" s="279">
        <f t="shared" ref="H361:M361" si="32">H181</f>
        <v>-36751715499</v>
      </c>
      <c r="I361" s="279">
        <f t="shared" si="32"/>
        <v>-143595455</v>
      </c>
      <c r="J361" s="279">
        <f t="shared" si="32"/>
        <v>0</v>
      </c>
      <c r="K361" s="279">
        <f t="shared" si="32"/>
        <v>-970190638</v>
      </c>
      <c r="L361" s="279">
        <f t="shared" si="32"/>
        <v>-37865501592</v>
      </c>
      <c r="M361" s="279">
        <f t="shared" si="32"/>
        <v>0</v>
      </c>
      <c r="N361" s="279">
        <v>20206929</v>
      </c>
      <c r="O361" s="279">
        <v>0</v>
      </c>
      <c r="P361" s="279">
        <v>972870000</v>
      </c>
      <c r="Q361" s="279">
        <v>0</v>
      </c>
      <c r="R361" s="279">
        <v>20000000</v>
      </c>
      <c r="S361" s="279">
        <v>1013076929</v>
      </c>
      <c r="T361" s="279">
        <f>T181</f>
        <v>0</v>
      </c>
      <c r="U361" s="317">
        <f>U181</f>
        <v>-36852424663</v>
      </c>
    </row>
    <row r="362" spans="3:29" ht="18" customHeight="1" thickBot="1">
      <c r="D362" s="209"/>
      <c r="E362" s="210"/>
      <c r="F362" s="318"/>
      <c r="G362" s="210" t="s">
        <v>1389</v>
      </c>
      <c r="H362" s="319">
        <f t="shared" ref="H362:M362" si="33">H300</f>
        <v>68308786907</v>
      </c>
      <c r="I362" s="319">
        <f t="shared" si="33"/>
        <v>1444625225</v>
      </c>
      <c r="J362" s="319">
        <f t="shared" si="33"/>
        <v>-13335652</v>
      </c>
      <c r="K362" s="319">
        <f t="shared" si="33"/>
        <v>-650908781</v>
      </c>
      <c r="L362" s="319">
        <f t="shared" si="33"/>
        <v>69089167699</v>
      </c>
      <c r="M362" s="319">
        <f t="shared" si="33"/>
        <v>0</v>
      </c>
      <c r="N362" s="319">
        <v>0</v>
      </c>
      <c r="O362" s="319">
        <v>0</v>
      </c>
      <c r="P362" s="319">
        <v>-979275000</v>
      </c>
      <c r="Q362" s="319">
        <v>0</v>
      </c>
      <c r="R362" s="319">
        <v>0</v>
      </c>
      <c r="S362" s="319">
        <v>-979275000</v>
      </c>
      <c r="T362" s="319">
        <f>T300</f>
        <v>0</v>
      </c>
      <c r="U362" s="320">
        <f>U300</f>
        <v>68109892699</v>
      </c>
    </row>
    <row r="364" spans="3:29" ht="18" customHeight="1" thickBot="1"/>
    <row r="365" spans="3:29" ht="17.25" customHeight="1">
      <c r="D365" s="206"/>
      <c r="E365" s="207"/>
      <c r="F365" s="314"/>
      <c r="G365" s="207" t="s">
        <v>302</v>
      </c>
      <c r="H365" s="315">
        <f>H14-SUM(T_IS!H69)</f>
        <v>-424978548</v>
      </c>
      <c r="I365" s="315">
        <f>I14-SUM(T_IS!I69)</f>
        <v>0</v>
      </c>
      <c r="J365" s="315">
        <f>J14-SUM(T_IS!J69)</f>
        <v>0</v>
      </c>
      <c r="K365" s="315">
        <f>K14-SUM(T_IS!K69)</f>
        <v>0</v>
      </c>
      <c r="L365" s="315">
        <f>L14-SUM(T_IS!L69)</f>
        <v>-424978548</v>
      </c>
      <c r="M365" s="207"/>
      <c r="N365" s="315"/>
      <c r="O365" s="315"/>
      <c r="P365" s="315"/>
      <c r="Q365" s="315"/>
      <c r="R365" s="315"/>
      <c r="S365" s="315"/>
      <c r="T365" s="207"/>
      <c r="U365" s="316">
        <f>U14-T_IS!X69</f>
        <v>-424978548</v>
      </c>
    </row>
    <row r="366" spans="3:29" ht="17.25" customHeight="1">
      <c r="D366" s="208"/>
      <c r="E366" s="6" t="s">
        <v>2204</v>
      </c>
      <c r="F366" s="374">
        <v>528196397</v>
      </c>
      <c r="G366" s="188" t="s">
        <v>488</v>
      </c>
      <c r="H366" s="279">
        <f>H11-(SUM(T_IS!H47:H52))-F366</f>
        <v>-104952014</v>
      </c>
      <c r="I366" s="279">
        <f>I11-SUM(T_IS!I47:I52)</f>
        <v>-132879956</v>
      </c>
      <c r="J366" s="462">
        <f>J11-SUM(T_IS!J47:J52)</f>
        <v>-1932622</v>
      </c>
      <c r="K366" s="279">
        <f>K11-SUM(T_IS!K47:K52)</f>
        <v>-5207265</v>
      </c>
      <c r="L366" s="279">
        <f>L11-SUM(T_IS!L47:L52)-F366</f>
        <v>-244971857</v>
      </c>
      <c r="U366" s="317"/>
    </row>
    <row r="367" spans="3:29" ht="18" customHeight="1">
      <c r="D367" s="208"/>
      <c r="G367" s="183" t="s">
        <v>386</v>
      </c>
      <c r="H367" s="279">
        <f>H12-T_IS!H53</f>
        <v>4870190</v>
      </c>
      <c r="I367" s="279">
        <f>I12-T_IS!I53</f>
        <v>-1540788</v>
      </c>
      <c r="J367" s="279">
        <f>J12-T_IS!J53</f>
        <v>0</v>
      </c>
      <c r="K367" s="279">
        <f>K12-T_IS!K53</f>
        <v>867748</v>
      </c>
      <c r="L367" s="279">
        <f>L12-T_IS!L53</f>
        <v>4197150</v>
      </c>
      <c r="U367" s="317"/>
    </row>
    <row r="368" spans="3:29" ht="18" customHeight="1">
      <c r="D368" s="208"/>
      <c r="G368" s="6" t="s">
        <v>683</v>
      </c>
      <c r="H368" s="279">
        <f>H15-SUM(T_IS!H95:H96)</f>
        <v>-359179173</v>
      </c>
      <c r="I368" s="279">
        <f>I15-SUM(T_IS!I95:I96)</f>
        <v>0</v>
      </c>
      <c r="J368" s="279">
        <f>J15-SUM(T_IS!J95:J96)</f>
        <v>0</v>
      </c>
      <c r="K368" s="279">
        <f>K15-SUM(T_IS!K95:K96)</f>
        <v>0</v>
      </c>
      <c r="L368" s="279">
        <f>L15-SUM(T_IS!L95:L96)</f>
        <v>-359179173</v>
      </c>
      <c r="M368" s="279"/>
      <c r="U368" s="317">
        <f>U15-SUM(T_IS!X95:X96)</f>
        <v>-359179173</v>
      </c>
    </row>
    <row r="369" spans="4:21" ht="18" customHeight="1">
      <c r="D369" s="208"/>
      <c r="G369" s="6" t="s">
        <v>707</v>
      </c>
      <c r="H369" s="279">
        <f>H17-SUM(T_IS!H97)</f>
        <v>-3683478730</v>
      </c>
      <c r="I369" s="279">
        <f>I17-SUM(T_IS!I97)</f>
        <v>0</v>
      </c>
      <c r="J369" s="279">
        <f>J17-SUM(T_IS!J97)</f>
        <v>0</v>
      </c>
      <c r="K369" s="279">
        <f>K17-SUM(T_IS!K97)</f>
        <v>0</v>
      </c>
      <c r="L369" s="279">
        <f>L17-SUM(T_IS!L97)</f>
        <v>-3683478730</v>
      </c>
      <c r="M369" s="279"/>
      <c r="U369" s="317">
        <f>U17-T_IS!X97</f>
        <v>-3683478730</v>
      </c>
    </row>
    <row r="370" spans="4:21" ht="18" customHeight="1">
      <c r="D370" s="208"/>
      <c r="G370" s="6" t="s">
        <v>687</v>
      </c>
      <c r="H370" s="279">
        <f>H29-SUM(T_IS!H109)</f>
        <v>0</v>
      </c>
      <c r="I370" s="279">
        <f>I29-SUM(T_IS!I109)</f>
        <v>0</v>
      </c>
      <c r="J370" s="279">
        <f>J29-SUM(T_IS!J109)</f>
        <v>0</v>
      </c>
      <c r="K370" s="279">
        <f>K29-SUM(T_IS!K109)</f>
        <v>-15469511</v>
      </c>
      <c r="L370" s="279">
        <f>L29-SUM(T_IS!L109)</f>
        <v>-15469511</v>
      </c>
      <c r="U370" s="317">
        <f>U29-T_IS!X109</f>
        <v>-15469511</v>
      </c>
    </row>
    <row r="371" spans="4:21" ht="18" customHeight="1">
      <c r="D371" s="208"/>
      <c r="G371" s="6" t="s">
        <v>481</v>
      </c>
      <c r="H371" s="279">
        <f>H32-T_IS!H116</f>
        <v>0</v>
      </c>
      <c r="I371" s="279">
        <f>I32-T_IS!I116</f>
        <v>0</v>
      </c>
      <c r="J371" s="279">
        <f>J32-T_IS!J116</f>
        <v>0</v>
      </c>
      <c r="K371" s="279">
        <f>K32-T_IS!K116</f>
        <v>0</v>
      </c>
      <c r="L371" s="279">
        <f>L32-T_IS!L116</f>
        <v>0</v>
      </c>
      <c r="U371" s="317">
        <f>U32-T_IS!X116</f>
        <v>0</v>
      </c>
    </row>
    <row r="372" spans="4:21" ht="18" customHeight="1">
      <c r="D372" s="208"/>
      <c r="G372" s="6" t="s">
        <v>686</v>
      </c>
      <c r="H372" s="279">
        <f>H33-T_IS!H108</f>
        <v>-581305304</v>
      </c>
      <c r="I372" s="279">
        <f>I33-T_IS!I108</f>
        <v>0</v>
      </c>
      <c r="J372" s="279">
        <f>J33-T_IS!J108</f>
        <v>0</v>
      </c>
      <c r="K372" s="279">
        <f>K33-T_IS!K108</f>
        <v>0</v>
      </c>
      <c r="L372" s="279">
        <f>L33-T_IS!L108</f>
        <v>-581305304</v>
      </c>
      <c r="U372" s="317">
        <f>U33-T_IS!X108</f>
        <v>-601148104</v>
      </c>
    </row>
    <row r="373" spans="4:21" ht="18" customHeight="1">
      <c r="D373" s="208"/>
      <c r="G373" s="6" t="s">
        <v>681</v>
      </c>
      <c r="H373" s="279">
        <f>H61-SUM(T_IS!H88:H91)</f>
        <v>80583095</v>
      </c>
      <c r="I373" s="279">
        <f>I61-SUM(T_IS!I88:I91)</f>
        <v>-8159909</v>
      </c>
      <c r="J373" s="279">
        <f>J61-SUM(T_IS!J88:J91)</f>
        <v>1497</v>
      </c>
      <c r="K373" s="279">
        <f>K61-SUM(T_IS!K88:K91)</f>
        <v>-3514998</v>
      </c>
      <c r="L373" s="279">
        <f>L61-SUM(T_IS!L88:L91)</f>
        <v>68909685</v>
      </c>
      <c r="U373" s="317">
        <f>U61-SUM(T_IS!X88:X91)</f>
        <v>68622031</v>
      </c>
    </row>
    <row r="374" spans="4:21" ht="18" customHeight="1">
      <c r="D374" s="208"/>
      <c r="G374" s="6" t="s">
        <v>380</v>
      </c>
      <c r="H374" s="279">
        <f>H62-SUM(T_IS!H126)</f>
        <v>113397257</v>
      </c>
      <c r="I374" s="279">
        <f>I62-SUM(T_IS!I126)</f>
        <v>0</v>
      </c>
      <c r="J374" s="279">
        <f>J62-SUM(T_IS!J126)</f>
        <v>0</v>
      </c>
      <c r="K374" s="279">
        <f>K62-SUM(T_IS!K126)</f>
        <v>-2851976</v>
      </c>
      <c r="L374" s="279">
        <f>L62-SUM(T_IS!L126)</f>
        <v>110545281</v>
      </c>
      <c r="U374" s="317">
        <f>U62-SUM(T_IS!X126)</f>
        <v>110545281</v>
      </c>
    </row>
    <row r="375" spans="4:21" ht="18" customHeight="1">
      <c r="D375" s="208"/>
      <c r="G375" s="6" t="s">
        <v>673</v>
      </c>
      <c r="H375" s="279">
        <f>H110+SUM(T_IS!H77:H78)</f>
        <v>2077973345</v>
      </c>
      <c r="I375" s="279">
        <f>I110+SUM(T_IS!I77:I78)</f>
        <v>4410732</v>
      </c>
      <c r="J375" s="279">
        <f>J110+SUM(T_IS!J77:J78)</f>
        <v>1658647</v>
      </c>
      <c r="K375" s="279">
        <f>K110+SUM(T_IS!K77:K78)</f>
        <v>20915875</v>
      </c>
      <c r="L375" s="279">
        <f>L110+SUM(T_IS!L77:L78)</f>
        <v>2104958599</v>
      </c>
      <c r="U375" s="317">
        <f>U110+SUM(T_IS!X77:X78)</f>
        <v>2105246253</v>
      </c>
    </row>
    <row r="376" spans="4:21" ht="18" customHeight="1">
      <c r="D376" s="208"/>
      <c r="G376" s="6" t="s">
        <v>675</v>
      </c>
      <c r="H376" s="279">
        <f>H75+SUM(T_IS!H82:H83)</f>
        <v>-1206156623</v>
      </c>
      <c r="I376" s="279">
        <f>I75+SUM(T_IS!I82:I83)</f>
        <v>0</v>
      </c>
      <c r="J376" s="279">
        <f>J75+SUM(T_IS!J82:J83)</f>
        <v>0</v>
      </c>
      <c r="K376" s="279">
        <f>K75+SUM(T_IS!K82:K83)</f>
        <v>0</v>
      </c>
      <c r="L376" s="279">
        <f>L75+SUM(T_IS!L82:L83)</f>
        <v>-1206156623</v>
      </c>
      <c r="U376" s="317">
        <f>U75+SUM(T_IS!X82:X83)</f>
        <v>-1206156623</v>
      </c>
    </row>
    <row r="377" spans="4:21" ht="18" customHeight="1">
      <c r="D377" s="208"/>
      <c r="G377" s="6" t="s">
        <v>808</v>
      </c>
      <c r="H377" s="279">
        <f>H115+SUM(T_IS!H86)</f>
        <v>3510625687</v>
      </c>
      <c r="I377" s="279">
        <f>I115+SUM(T_IS!I86)</f>
        <v>0</v>
      </c>
      <c r="J377" s="279">
        <f>J115+SUM(T_IS!J86)</f>
        <v>0</v>
      </c>
      <c r="K377" s="279">
        <f>K115+SUM(T_IS!K86)</f>
        <v>0</v>
      </c>
      <c r="L377" s="279">
        <f>L115+SUM(T_IS!L86)</f>
        <v>3510625687</v>
      </c>
      <c r="U377" s="317">
        <f>U115+SUM(T_IS!X86)</f>
        <v>3510625687</v>
      </c>
    </row>
    <row r="378" spans="4:21" ht="18" customHeight="1">
      <c r="D378" s="208"/>
      <c r="G378" s="6" t="s">
        <v>810</v>
      </c>
      <c r="H378" s="279">
        <f>H114+T_IS!H84</f>
        <v>709769554</v>
      </c>
      <c r="I378" s="279">
        <f>I114+T_IS!I84</f>
        <v>0</v>
      </c>
      <c r="J378" s="279">
        <f>J114+T_IS!J84</f>
        <v>0</v>
      </c>
      <c r="K378" s="279">
        <f>K114+T_IS!K84</f>
        <v>0</v>
      </c>
      <c r="L378" s="279">
        <f>L114+T_IS!L84</f>
        <v>709769554</v>
      </c>
      <c r="U378" s="317">
        <f>U114+T_IS!X84</f>
        <v>709769554</v>
      </c>
    </row>
    <row r="379" spans="4:21" ht="18" customHeight="1">
      <c r="D379" s="208"/>
      <c r="G379" s="6" t="s">
        <v>816</v>
      </c>
      <c r="H379" s="279">
        <f>H80+T_IS!H119</f>
        <v>0</v>
      </c>
      <c r="I379" s="279">
        <f>I80+T_IS!I119</f>
        <v>0</v>
      </c>
      <c r="J379" s="279">
        <f>J80+T_IS!J119</f>
        <v>0</v>
      </c>
      <c r="K379" s="279">
        <f>K80+T_IS!K119</f>
        <v>0</v>
      </c>
      <c r="L379" s="279">
        <f>L80+T_IS!L119</f>
        <v>0</v>
      </c>
      <c r="U379" s="317">
        <f>U80+T_IS!X119</f>
        <v>-5865724</v>
      </c>
    </row>
    <row r="380" spans="4:21" ht="18" customHeight="1">
      <c r="D380" s="208"/>
      <c r="G380" s="6" t="s">
        <v>678</v>
      </c>
      <c r="H380" s="279">
        <f>H89+T_IS!H102</f>
        <v>59575954</v>
      </c>
      <c r="I380" s="279">
        <f>I89+T_IS!I102</f>
        <v>0</v>
      </c>
      <c r="J380" s="279">
        <f>J89+T_IS!J102</f>
        <v>0</v>
      </c>
      <c r="K380" s="279">
        <f>K89+T_IS!K102</f>
        <v>290548</v>
      </c>
      <c r="L380" s="279">
        <f>L89+T_IS!L102</f>
        <v>59866502</v>
      </c>
      <c r="U380" s="317">
        <f>U89+T_IS!X102</f>
        <v>59866502</v>
      </c>
    </row>
    <row r="381" spans="4:21" ht="18" customHeight="1" thickBot="1">
      <c r="D381" s="209"/>
      <c r="E381" s="210"/>
      <c r="F381" s="318"/>
      <c r="G381" s="210" t="s">
        <v>679</v>
      </c>
      <c r="H381" s="319">
        <f>H91+T_IS!H103</f>
        <v>0</v>
      </c>
      <c r="I381" s="319">
        <f>I91+T_IS!I103</f>
        <v>0</v>
      </c>
      <c r="J381" s="319">
        <f>J91+T_IS!J103</f>
        <v>0</v>
      </c>
      <c r="K381" s="319">
        <f>K91+T_IS!K103</f>
        <v>0</v>
      </c>
      <c r="L381" s="319">
        <f>L91+T_IS!L103</f>
        <v>0</v>
      </c>
      <c r="M381" s="210"/>
      <c r="N381" s="319"/>
      <c r="O381" s="319"/>
      <c r="P381" s="319"/>
      <c r="Q381" s="319"/>
      <c r="R381" s="319"/>
      <c r="S381" s="319"/>
      <c r="T381" s="210"/>
      <c r="U381" s="320">
        <f>U91+T_IS!X103</f>
        <v>0</v>
      </c>
    </row>
    <row r="384" spans="4:21" ht="18" customHeight="1">
      <c r="J384" s="279">
        <f>J375/2</f>
        <v>829323.5</v>
      </c>
    </row>
  </sheetData>
  <autoFilter ref="D6:U358" xr:uid="{00000000-0009-0000-0000-000002000000}"/>
  <phoneticPr fontId="2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D3:L123"/>
  <sheetViews>
    <sheetView showGridLines="0" zoomScale="80" zoomScaleNormal="80" workbookViewId="0">
      <pane xSplit="5" ySplit="4" topLeftCell="F5" activePane="bottomRight" state="frozen"/>
      <selection activeCell="J13" sqref="J13"/>
      <selection pane="topRight" activeCell="J13" sqref="J13"/>
      <selection pane="bottomLeft" activeCell="J13" sqref="J13"/>
      <selection pane="bottomRight" activeCell="F78" sqref="F78"/>
    </sheetView>
  </sheetViews>
  <sheetFormatPr defaultColWidth="8.75" defaultRowHeight="18" customHeight="1"/>
  <cols>
    <col min="1" max="3" width="2.375" style="498" customWidth="1"/>
    <col min="4" max="5" width="17.375" style="498" customWidth="1"/>
    <col min="6" max="9" width="20.625" style="498" customWidth="1"/>
    <col min="10" max="10" width="18.875" style="498" customWidth="1"/>
    <col min="11" max="11" width="29.875" style="498" bestFit="1" customWidth="1"/>
    <col min="12" max="12" width="15.5" style="498" bestFit="1" customWidth="1"/>
    <col min="13" max="16384" width="8.75" style="498"/>
  </cols>
  <sheetData>
    <row r="3" spans="4:9" s="494" customFormat="1" ht="18" customHeight="1" thickBot="1">
      <c r="D3" s="494" t="s">
        <v>528</v>
      </c>
      <c r="H3" s="495"/>
      <c r="I3" s="495"/>
    </row>
    <row r="4" spans="4:9" ht="38.450000000000003" customHeight="1">
      <c r="D4" s="496" t="s">
        <v>16</v>
      </c>
      <c r="E4" s="497" t="s">
        <v>19</v>
      </c>
      <c r="F4" s="497" t="s">
        <v>15</v>
      </c>
      <c r="G4" s="497" t="s">
        <v>2079</v>
      </c>
      <c r="H4" s="497" t="s">
        <v>2586</v>
      </c>
      <c r="I4" s="497" t="s">
        <v>2584</v>
      </c>
    </row>
    <row r="5" spans="4:9" ht="18" customHeight="1">
      <c r="D5" s="499"/>
      <c r="E5" s="500" t="s">
        <v>14</v>
      </c>
      <c r="F5" s="500">
        <f>SUM(F6,F27)</f>
        <v>172003850785</v>
      </c>
      <c r="G5" s="500">
        <f>SUM(G6,G27)</f>
        <v>643721799</v>
      </c>
      <c r="H5" s="500">
        <f>SUM(H6,H27)</f>
        <v>-398706243</v>
      </c>
      <c r="I5" s="501">
        <f>SUM(I6,I27)</f>
        <v>3910903550</v>
      </c>
    </row>
    <row r="6" spans="4:9" ht="18" customHeight="1">
      <c r="D6" s="502"/>
      <c r="E6" s="503" t="s">
        <v>11</v>
      </c>
      <c r="F6" s="503">
        <f>SUM(F7,F10,F14,F23)</f>
        <v>172003850785</v>
      </c>
      <c r="G6" s="503">
        <f>SUM(G7,G10,G14,G23)</f>
        <v>643721799</v>
      </c>
      <c r="H6" s="503">
        <f>SUM(H7,H10,H14,H23)</f>
        <v>-398706243</v>
      </c>
      <c r="I6" s="504">
        <f>SUM(I7,I10,I14,I23)</f>
        <v>3910903550</v>
      </c>
    </row>
    <row r="7" spans="4:9" ht="18" customHeight="1">
      <c r="D7" s="505"/>
      <c r="E7" s="506" t="s">
        <v>10</v>
      </c>
      <c r="F7" s="506">
        <f>F8+F9</f>
        <v>37810786500</v>
      </c>
      <c r="G7" s="506">
        <f t="shared" ref="G7:I7" si="0">G8+G9</f>
        <v>11666500</v>
      </c>
      <c r="H7" s="506">
        <f t="shared" si="0"/>
        <v>37013277500</v>
      </c>
      <c r="I7" s="507">
        <f t="shared" si="0"/>
        <v>511470000</v>
      </c>
    </row>
    <row r="8" spans="4:9" ht="18" customHeight="1">
      <c r="D8" s="508">
        <v>310100</v>
      </c>
      <c r="E8" s="509" t="s">
        <v>190</v>
      </c>
      <c r="F8" s="509">
        <f>T_BS!H234</f>
        <v>28429923500</v>
      </c>
      <c r="G8" s="509">
        <f>T_BS!I234</f>
        <v>11666500</v>
      </c>
      <c r="H8" s="509">
        <f>T_BS!J234</f>
        <v>37013277500</v>
      </c>
      <c r="I8" s="510">
        <f>T_BS!K234</f>
        <v>511470000</v>
      </c>
    </row>
    <row r="9" spans="4:9" ht="18" customHeight="1">
      <c r="D9" s="2086">
        <v>310300</v>
      </c>
      <c r="E9" s="2062" t="s">
        <v>2914</v>
      </c>
      <c r="F9" s="2062">
        <f>T_BS!H235</f>
        <v>9380863000</v>
      </c>
      <c r="G9" s="2062">
        <f>T_BS!I235</f>
        <v>0</v>
      </c>
      <c r="H9" s="2062">
        <f>T_BS!J235</f>
        <v>0</v>
      </c>
      <c r="I9" s="2063">
        <f>T_BS!K235</f>
        <v>0</v>
      </c>
    </row>
    <row r="10" spans="4:9" ht="18" customHeight="1">
      <c r="D10" s="505"/>
      <c r="E10" s="506" t="s">
        <v>12</v>
      </c>
      <c r="F10" s="506">
        <f>SUM(F11:F13)</f>
        <v>110823464474</v>
      </c>
      <c r="G10" s="506">
        <f>SUM(G11:G13)</f>
        <v>1992475900</v>
      </c>
      <c r="H10" s="506">
        <f>SUM(H11:H13)</f>
        <v>0</v>
      </c>
      <c r="I10" s="507">
        <f>SUM(I11:I13)</f>
        <v>0</v>
      </c>
    </row>
    <row r="11" spans="4:9" ht="18" customHeight="1">
      <c r="D11" s="508">
        <v>320100</v>
      </c>
      <c r="E11" s="509" t="s">
        <v>191</v>
      </c>
      <c r="F11" s="509">
        <f>T_BS!H237+T_BS!H238</f>
        <v>109628063914</v>
      </c>
      <c r="G11" s="509">
        <f>T_BS!I237+T_BS!I238</f>
        <v>1992475900</v>
      </c>
      <c r="H11" s="509">
        <f>T_BS!J237+T_BS!J238</f>
        <v>0</v>
      </c>
      <c r="I11" s="510">
        <f>T_BS!K237+T_BS!K238</f>
        <v>0</v>
      </c>
    </row>
    <row r="12" spans="4:9" ht="18" customHeight="1">
      <c r="D12" s="508">
        <v>320500</v>
      </c>
      <c r="E12" s="509" t="s">
        <v>192</v>
      </c>
      <c r="F12" s="509">
        <f>T_BS!H239</f>
        <v>0</v>
      </c>
      <c r="G12" s="509">
        <f>T_BS!I239</f>
        <v>0</v>
      </c>
      <c r="H12" s="509">
        <f>T_BS!J239</f>
        <v>0</v>
      </c>
      <c r="I12" s="510">
        <f>T_BS!K239</f>
        <v>0</v>
      </c>
    </row>
    <row r="13" spans="4:9" ht="18" customHeight="1">
      <c r="D13" s="508">
        <v>320300</v>
      </c>
      <c r="E13" s="509" t="s">
        <v>193</v>
      </c>
      <c r="F13" s="509">
        <f>T_BS!H240</f>
        <v>1195400560</v>
      </c>
      <c r="G13" s="509">
        <f>T_BS!I240</f>
        <v>0</v>
      </c>
      <c r="H13" s="509">
        <f>T_BS!J240</f>
        <v>0</v>
      </c>
      <c r="I13" s="510">
        <f>T_BS!K240</f>
        <v>0</v>
      </c>
    </row>
    <row r="14" spans="4:9" ht="18" customHeight="1">
      <c r="D14" s="505"/>
      <c r="E14" s="506" t="s">
        <v>194</v>
      </c>
      <c r="F14" s="506">
        <f>SUM(F15:F22)</f>
        <v>-7930555229</v>
      </c>
      <c r="G14" s="506">
        <f>SUM(G15:G22)</f>
        <v>0</v>
      </c>
      <c r="H14" s="506">
        <f>SUM(H15:H22)</f>
        <v>936609346</v>
      </c>
      <c r="I14" s="507">
        <f>SUM(I15:I22)</f>
        <v>-1065782088</v>
      </c>
    </row>
    <row r="15" spans="4:9" ht="18" customHeight="1">
      <c r="D15" s="508">
        <v>350300</v>
      </c>
      <c r="E15" s="509" t="s">
        <v>195</v>
      </c>
      <c r="F15" s="509">
        <f>T_BS!H242</f>
        <v>0</v>
      </c>
      <c r="G15" s="509">
        <f>T_BS!I242</f>
        <v>0</v>
      </c>
      <c r="H15" s="509">
        <f>T_BS!J242</f>
        <v>0</v>
      </c>
      <c r="I15" s="510">
        <f>T_BS!K242</f>
        <v>0</v>
      </c>
    </row>
    <row r="16" spans="4:9" ht="18" customHeight="1">
      <c r="D16" s="508">
        <v>350350</v>
      </c>
      <c r="E16" s="509" t="s">
        <v>196</v>
      </c>
      <c r="F16" s="509">
        <f>T_BS!H243</f>
        <v>-1293810742</v>
      </c>
      <c r="G16" s="509">
        <f>T_BS!I243</f>
        <v>0</v>
      </c>
      <c r="H16" s="509">
        <f>T_BS!J243</f>
        <v>0</v>
      </c>
      <c r="I16" s="510">
        <f>T_BS!K243</f>
        <v>0</v>
      </c>
    </row>
    <row r="17" spans="4:9" ht="18" customHeight="1">
      <c r="D17" s="508" t="s">
        <v>226</v>
      </c>
      <c r="E17" s="509" t="s">
        <v>225</v>
      </c>
      <c r="F17" s="509">
        <f>T_BS!H244</f>
        <v>0</v>
      </c>
      <c r="G17" s="509">
        <f>T_BS!I244</f>
        <v>0</v>
      </c>
      <c r="H17" s="509">
        <f>T_BS!J244</f>
        <v>0</v>
      </c>
      <c r="I17" s="510">
        <f>T_BS!K244</f>
        <v>0</v>
      </c>
    </row>
    <row r="18" spans="4:9" ht="18" customHeight="1">
      <c r="D18" s="508">
        <v>350400</v>
      </c>
      <c r="E18" s="509" t="s">
        <v>197</v>
      </c>
      <c r="F18" s="509">
        <f>T_BS!H245</f>
        <v>1083527473</v>
      </c>
      <c r="G18" s="509">
        <f>T_BS!I245</f>
        <v>0</v>
      </c>
      <c r="H18" s="509">
        <f>T_BS!J245</f>
        <v>0</v>
      </c>
      <c r="I18" s="510">
        <f>T_BS!K245</f>
        <v>0</v>
      </c>
    </row>
    <row r="19" spans="4:9" ht="18" customHeight="1">
      <c r="D19" s="508">
        <v>350210</v>
      </c>
      <c r="E19" s="509" t="s">
        <v>198</v>
      </c>
      <c r="F19" s="509">
        <f>T_BS!H246</f>
        <v>-7720271960</v>
      </c>
      <c r="G19" s="509">
        <f>T_BS!I246</f>
        <v>0</v>
      </c>
      <c r="H19" s="509">
        <f>T_BS!J246</f>
        <v>0</v>
      </c>
      <c r="I19" s="510">
        <f>T_BS!K246</f>
        <v>-778091133</v>
      </c>
    </row>
    <row r="20" spans="4:9" ht="18" customHeight="1">
      <c r="D20" s="508" t="s">
        <v>199</v>
      </c>
      <c r="E20" s="509" t="s">
        <v>200</v>
      </c>
      <c r="F20" s="509">
        <f>T_BS!H247</f>
        <v>0</v>
      </c>
      <c r="G20" s="509">
        <f>T_BS!I247</f>
        <v>0</v>
      </c>
      <c r="H20" s="509">
        <f>T_BS!J247</f>
        <v>0</v>
      </c>
      <c r="I20" s="510">
        <f>T_BS!K247</f>
        <v>0</v>
      </c>
    </row>
    <row r="21" spans="4:9" ht="18" customHeight="1">
      <c r="D21" s="508" t="s">
        <v>201</v>
      </c>
      <c r="E21" s="509" t="s">
        <v>202</v>
      </c>
      <c r="F21" s="509">
        <f>T_BS!H248</f>
        <v>0</v>
      </c>
      <c r="G21" s="509">
        <f>T_BS!I248</f>
        <v>0</v>
      </c>
      <c r="H21" s="509">
        <f>T_BS!J248</f>
        <v>0</v>
      </c>
      <c r="I21" s="510">
        <f>T_BS!K248</f>
        <v>0</v>
      </c>
    </row>
    <row r="22" spans="4:9" ht="18" customHeight="1">
      <c r="D22" s="508" t="s">
        <v>203</v>
      </c>
      <c r="E22" s="509" t="s">
        <v>204</v>
      </c>
      <c r="F22" s="509">
        <f>T_BS!H249</f>
        <v>0</v>
      </c>
      <c r="G22" s="509">
        <f>T_BS!I249</f>
        <v>0</v>
      </c>
      <c r="H22" s="509">
        <f>T_BS!J249</f>
        <v>936609346</v>
      </c>
      <c r="I22" s="510">
        <f>T_BS!K249</f>
        <v>-287690955</v>
      </c>
    </row>
    <row r="23" spans="4:9" ht="18" customHeight="1">
      <c r="D23" s="505"/>
      <c r="E23" s="506" t="s">
        <v>13</v>
      </c>
      <c r="F23" s="506">
        <f>SUM(F24:F26)</f>
        <v>31300155040</v>
      </c>
      <c r="G23" s="506">
        <f>SUM(G24:G26)</f>
        <v>-1360420601</v>
      </c>
      <c r="H23" s="506">
        <f>SUM(H24:H26)</f>
        <v>-38348593089</v>
      </c>
      <c r="I23" s="507">
        <f>SUM(I24:I26)</f>
        <v>4465215638</v>
      </c>
    </row>
    <row r="24" spans="4:9" ht="18" customHeight="1">
      <c r="D24" s="508">
        <v>350951</v>
      </c>
      <c r="E24" s="509" t="s">
        <v>205</v>
      </c>
      <c r="F24" s="509">
        <f>T_BS!H252</f>
        <v>1963915128</v>
      </c>
      <c r="G24" s="509">
        <f>T_BS!I252</f>
        <v>0</v>
      </c>
      <c r="H24" s="509">
        <f>T_BS!J252</f>
        <v>0</v>
      </c>
      <c r="I24" s="510">
        <f>T_BS!K252</f>
        <v>0</v>
      </c>
    </row>
    <row r="25" spans="4:9" ht="18" customHeight="1">
      <c r="D25" s="508" t="s">
        <v>206</v>
      </c>
      <c r="E25" s="509" t="s">
        <v>207</v>
      </c>
      <c r="F25" s="509">
        <f>T_BS!H253</f>
        <v>0</v>
      </c>
      <c r="G25" s="509">
        <f>T_BS!I253</f>
        <v>-1005025891</v>
      </c>
      <c r="H25" s="509">
        <f>T_BS!J253</f>
        <v>-38587039942</v>
      </c>
      <c r="I25" s="510">
        <f>T_BS!K253</f>
        <v>3058983333</v>
      </c>
    </row>
    <row r="26" spans="4:9" ht="18" customHeight="1">
      <c r="D26" s="508" t="s">
        <v>208</v>
      </c>
      <c r="E26" s="509" t="s">
        <v>209</v>
      </c>
      <c r="F26" s="509">
        <f>T_BS!H254</f>
        <v>29336239912</v>
      </c>
      <c r="G26" s="509">
        <f>T_BS!I254</f>
        <v>-355394710</v>
      </c>
      <c r="H26" s="509">
        <f>T_BS!J254</f>
        <v>238446853</v>
      </c>
      <c r="I26" s="510">
        <f>T_BS!K254</f>
        <v>1406232305</v>
      </c>
    </row>
    <row r="27" spans="4:9" ht="18" customHeight="1">
      <c r="D27" s="502"/>
      <c r="E27" s="503" t="s">
        <v>210</v>
      </c>
      <c r="F27" s="503">
        <f>F28</f>
        <v>0</v>
      </c>
      <c r="G27" s="503"/>
      <c r="H27" s="503">
        <f>H28</f>
        <v>0</v>
      </c>
      <c r="I27" s="504">
        <f>I28</f>
        <v>0</v>
      </c>
    </row>
    <row r="28" spans="4:9" ht="18" customHeight="1" thickBot="1">
      <c r="D28" s="511" t="s">
        <v>492</v>
      </c>
      <c r="E28" s="512" t="s">
        <v>210</v>
      </c>
      <c r="F28" s="513">
        <f>T_BS!H256</f>
        <v>0</v>
      </c>
      <c r="G28" s="513"/>
      <c r="H28" s="513">
        <f>T_BS!J256</f>
        <v>0</v>
      </c>
      <c r="I28" s="514">
        <f>T_BS!K256</f>
        <v>0</v>
      </c>
    </row>
    <row r="29" spans="4:9" s="540" customFormat="1" ht="18" customHeight="1">
      <c r="F29" s="540" t="b">
        <f>F5=T_BS!H231</f>
        <v>1</v>
      </c>
      <c r="G29" s="540" t="b">
        <f>G5=T_BS!I231</f>
        <v>1</v>
      </c>
      <c r="H29" s="540" t="b">
        <f>H5=T_BS!J231</f>
        <v>1</v>
      </c>
      <c r="I29" s="540" t="b">
        <f>I5=T_BS!K231</f>
        <v>1</v>
      </c>
    </row>
    <row r="31" spans="4:9" ht="18" customHeight="1" thickBot="1">
      <c r="D31" s="498" t="s">
        <v>529</v>
      </c>
    </row>
    <row r="32" spans="4:9" ht="33" customHeight="1">
      <c r="D32" s="515" t="s">
        <v>16</v>
      </c>
      <c r="E32" s="516" t="s">
        <v>19</v>
      </c>
      <c r="F32" s="516" t="s">
        <v>15</v>
      </c>
      <c r="G32" s="516" t="s">
        <v>2189</v>
      </c>
      <c r="H32" s="516" t="s">
        <v>2585</v>
      </c>
      <c r="I32" s="517" t="s">
        <v>2583</v>
      </c>
    </row>
    <row r="33" spans="4:9" ht="18" customHeight="1">
      <c r="D33" s="499"/>
      <c r="E33" s="500" t="s">
        <v>14</v>
      </c>
      <c r="F33" s="500">
        <v>80788610856</v>
      </c>
      <c r="G33" s="500">
        <v>-1000833491</v>
      </c>
      <c r="H33" s="500">
        <v>-596550565</v>
      </c>
      <c r="I33" s="501">
        <v>2753929053</v>
      </c>
    </row>
    <row r="34" spans="4:9" ht="18" customHeight="1">
      <c r="D34" s="502"/>
      <c r="E34" s="503" t="s">
        <v>11</v>
      </c>
      <c r="F34" s="503">
        <v>80788610856</v>
      </c>
      <c r="G34" s="503">
        <v>-1000833491</v>
      </c>
      <c r="H34" s="503">
        <v>-596550565</v>
      </c>
      <c r="I34" s="504">
        <v>2753929053</v>
      </c>
    </row>
    <row r="35" spans="4:9" ht="18" customHeight="1">
      <c r="D35" s="505"/>
      <c r="E35" s="506" t="s">
        <v>10</v>
      </c>
      <c r="F35" s="506">
        <v>28429923500</v>
      </c>
      <c r="G35" s="506">
        <v>5000000</v>
      </c>
      <c r="H35" s="506">
        <v>37013277500</v>
      </c>
      <c r="I35" s="507">
        <v>511470000</v>
      </c>
    </row>
    <row r="36" spans="4:9" ht="18" customHeight="1">
      <c r="D36" s="508">
        <v>310100</v>
      </c>
      <c r="E36" s="509" t="s">
        <v>190</v>
      </c>
      <c r="F36" s="509">
        <v>28429923500</v>
      </c>
      <c r="G36" s="509">
        <v>5000000</v>
      </c>
      <c r="H36" s="509">
        <v>37013277500</v>
      </c>
      <c r="I36" s="510">
        <v>511470000</v>
      </c>
    </row>
    <row r="37" spans="4:9" ht="18" customHeight="1">
      <c r="D37" s="505"/>
      <c r="E37" s="506" t="s">
        <v>12</v>
      </c>
      <c r="F37" s="506">
        <v>178862777624</v>
      </c>
      <c r="G37" s="506">
        <v>-807600</v>
      </c>
      <c r="H37" s="506">
        <v>0</v>
      </c>
      <c r="I37" s="507">
        <v>0</v>
      </c>
    </row>
    <row r="38" spans="4:9" ht="18" customHeight="1">
      <c r="D38" s="508">
        <v>320100</v>
      </c>
      <c r="E38" s="509" t="s">
        <v>191</v>
      </c>
      <c r="F38" s="509">
        <v>177997002186</v>
      </c>
      <c r="G38" s="509">
        <v>-807600</v>
      </c>
      <c r="H38" s="509">
        <v>0</v>
      </c>
      <c r="I38" s="510">
        <v>0</v>
      </c>
    </row>
    <row r="39" spans="4:9" ht="18" customHeight="1">
      <c r="D39" s="508">
        <v>320500</v>
      </c>
      <c r="E39" s="509" t="s">
        <v>192</v>
      </c>
      <c r="F39" s="509">
        <v>0</v>
      </c>
      <c r="G39" s="509">
        <v>0</v>
      </c>
      <c r="H39" s="509">
        <v>0</v>
      </c>
      <c r="I39" s="510">
        <v>0</v>
      </c>
    </row>
    <row r="40" spans="4:9" ht="18" customHeight="1">
      <c r="D40" s="508">
        <v>320300</v>
      </c>
      <c r="E40" s="509" t="s">
        <v>193</v>
      </c>
      <c r="F40" s="509">
        <v>865775438</v>
      </c>
      <c r="G40" s="509">
        <v>0</v>
      </c>
      <c r="H40" s="509">
        <v>0</v>
      </c>
      <c r="I40" s="510">
        <v>0</v>
      </c>
    </row>
    <row r="41" spans="4:9" ht="18" customHeight="1">
      <c r="D41" s="505"/>
      <c r="E41" s="506" t="s">
        <v>194</v>
      </c>
      <c r="F41" s="506">
        <v>-7572300426</v>
      </c>
      <c r="G41" s="506">
        <v>0</v>
      </c>
      <c r="H41" s="506">
        <v>977211877</v>
      </c>
      <c r="I41" s="507">
        <v>-816524280</v>
      </c>
    </row>
    <row r="42" spans="4:9" ht="18" customHeight="1">
      <c r="D42" s="508">
        <v>350300</v>
      </c>
      <c r="E42" s="509" t="s">
        <v>195</v>
      </c>
      <c r="F42" s="509">
        <v>-4240000</v>
      </c>
      <c r="G42" s="509">
        <v>0</v>
      </c>
      <c r="H42" s="509">
        <v>0</v>
      </c>
      <c r="I42" s="510">
        <v>0</v>
      </c>
    </row>
    <row r="43" spans="4:9" ht="18" customHeight="1">
      <c r="D43" s="508">
        <v>350350</v>
      </c>
      <c r="E43" s="509" t="s">
        <v>196</v>
      </c>
      <c r="F43" s="509">
        <v>-1292039719</v>
      </c>
      <c r="G43" s="509">
        <v>0</v>
      </c>
      <c r="H43" s="509">
        <v>0</v>
      </c>
      <c r="I43" s="510">
        <v>0</v>
      </c>
    </row>
    <row r="44" spans="4:9" ht="18" customHeight="1">
      <c r="D44" s="508" t="s">
        <v>226</v>
      </c>
      <c r="E44" s="509" t="s">
        <v>225</v>
      </c>
      <c r="F44" s="509">
        <v>0</v>
      </c>
      <c r="G44" s="509">
        <v>0</v>
      </c>
      <c r="H44" s="509">
        <v>0</v>
      </c>
      <c r="I44" s="510">
        <v>0</v>
      </c>
    </row>
    <row r="45" spans="4:9" ht="18" customHeight="1">
      <c r="D45" s="508">
        <v>350400</v>
      </c>
      <c r="E45" s="509" t="s">
        <v>197</v>
      </c>
      <c r="F45" s="509">
        <v>1444251253</v>
      </c>
      <c r="G45" s="509">
        <v>0</v>
      </c>
      <c r="H45" s="509">
        <v>0</v>
      </c>
      <c r="I45" s="510">
        <v>0</v>
      </c>
    </row>
    <row r="46" spans="4:9" ht="18" customHeight="1">
      <c r="D46" s="508">
        <v>350210</v>
      </c>
      <c r="E46" s="509" t="s">
        <v>198</v>
      </c>
      <c r="F46" s="509">
        <v>-7720271960</v>
      </c>
      <c r="G46" s="509">
        <v>0</v>
      </c>
      <c r="H46" s="509">
        <v>0</v>
      </c>
      <c r="I46" s="510">
        <v>-778091133</v>
      </c>
    </row>
    <row r="47" spans="4:9" ht="18" customHeight="1">
      <c r="D47" s="508" t="s">
        <v>199</v>
      </c>
      <c r="E47" s="509" t="s">
        <v>200</v>
      </c>
      <c r="F47" s="509">
        <v>0</v>
      </c>
      <c r="G47" s="509">
        <v>0</v>
      </c>
      <c r="H47" s="509">
        <v>0</v>
      </c>
      <c r="I47" s="510">
        <v>0</v>
      </c>
    </row>
    <row r="48" spans="4:9" ht="18" customHeight="1">
      <c r="D48" s="508" t="s">
        <v>201</v>
      </c>
      <c r="E48" s="509" t="s">
        <v>202</v>
      </c>
      <c r="F48" s="509">
        <v>0</v>
      </c>
      <c r="G48" s="509">
        <v>0</v>
      </c>
      <c r="H48" s="509">
        <v>0</v>
      </c>
      <c r="I48" s="510">
        <v>0</v>
      </c>
    </row>
    <row r="49" spans="4:9" ht="18" customHeight="1">
      <c r="D49" s="508" t="s">
        <v>203</v>
      </c>
      <c r="E49" s="509" t="s">
        <v>204</v>
      </c>
      <c r="F49" s="509">
        <v>0</v>
      </c>
      <c r="G49" s="509">
        <v>0</v>
      </c>
      <c r="H49" s="509">
        <v>977211877</v>
      </c>
      <c r="I49" s="510">
        <v>-38433147</v>
      </c>
    </row>
    <row r="50" spans="4:9" ht="18" customHeight="1">
      <c r="D50" s="505"/>
      <c r="E50" s="506" t="s">
        <v>13</v>
      </c>
      <c r="F50" s="506">
        <v>-118931789842</v>
      </c>
      <c r="G50" s="506">
        <v>-1005025891</v>
      </c>
      <c r="H50" s="506">
        <v>-38587039942</v>
      </c>
      <c r="I50" s="507">
        <v>3058983333</v>
      </c>
    </row>
    <row r="51" spans="4:9" ht="18" customHeight="1">
      <c r="D51" s="508">
        <v>350951</v>
      </c>
      <c r="E51" s="509" t="s">
        <v>205</v>
      </c>
      <c r="F51" s="509">
        <v>-1140444443</v>
      </c>
      <c r="G51" s="509">
        <v>0</v>
      </c>
      <c r="H51" s="509">
        <v>0</v>
      </c>
      <c r="I51" s="510">
        <v>0</v>
      </c>
    </row>
    <row r="52" spans="4:9" ht="18" customHeight="1">
      <c r="D52" s="508" t="s">
        <v>206</v>
      </c>
      <c r="E52" s="509" t="s">
        <v>207</v>
      </c>
      <c r="F52" s="509">
        <v>-101891092076</v>
      </c>
      <c r="G52" s="509">
        <v>31277483</v>
      </c>
      <c r="H52" s="509">
        <v>-38269317159</v>
      </c>
      <c r="I52" s="510">
        <v>3625530956</v>
      </c>
    </row>
    <row r="53" spans="4:9" ht="18" customHeight="1">
      <c r="D53" s="508" t="s">
        <v>208</v>
      </c>
      <c r="E53" s="509" t="s">
        <v>209</v>
      </c>
      <c r="F53" s="509">
        <v>-15900253323</v>
      </c>
      <c r="G53" s="509">
        <v>-1036303374</v>
      </c>
      <c r="H53" s="509">
        <v>-317722783</v>
      </c>
      <c r="I53" s="510">
        <v>-566547623</v>
      </c>
    </row>
    <row r="54" spans="4:9" ht="18" customHeight="1">
      <c r="D54" s="502"/>
      <c r="E54" s="503" t="s">
        <v>210</v>
      </c>
      <c r="F54" s="503">
        <v>0</v>
      </c>
      <c r="G54" s="503"/>
      <c r="H54" s="503">
        <v>0</v>
      </c>
      <c r="I54" s="504">
        <v>0</v>
      </c>
    </row>
    <row r="55" spans="4:9" ht="18" customHeight="1" thickBot="1">
      <c r="D55" s="511" t="s">
        <v>492</v>
      </c>
      <c r="E55" s="512" t="s">
        <v>210</v>
      </c>
      <c r="F55" s="513">
        <v>0</v>
      </c>
      <c r="G55" s="513"/>
      <c r="H55" s="513">
        <v>0</v>
      </c>
      <c r="I55" s="514">
        <v>0</v>
      </c>
    </row>
    <row r="57" spans="4:9" s="519" customFormat="1" ht="18" customHeight="1" thickBot="1">
      <c r="D57" s="518" t="s">
        <v>531</v>
      </c>
    </row>
    <row r="58" spans="4:9" ht="36.6" customHeight="1">
      <c r="D58" s="515" t="s">
        <v>16</v>
      </c>
      <c r="E58" s="516" t="s">
        <v>19</v>
      </c>
      <c r="F58" s="516" t="s">
        <v>15</v>
      </c>
      <c r="G58" s="516" t="s">
        <v>2189</v>
      </c>
      <c r="H58" s="516" t="s">
        <v>2585</v>
      </c>
      <c r="I58" s="517" t="s">
        <v>2583</v>
      </c>
    </row>
    <row r="59" spans="4:9" ht="18" customHeight="1">
      <c r="D59" s="499"/>
      <c r="E59" s="500" t="s">
        <v>14</v>
      </c>
      <c r="F59" s="500">
        <f>SUM(F60,F81)</f>
        <v>91215239929</v>
      </c>
      <c r="G59" s="500">
        <f>SUM(G60,G81)</f>
        <v>1644555290</v>
      </c>
      <c r="H59" s="500">
        <f>SUM(H60,H81)</f>
        <v>197844322</v>
      </c>
      <c r="I59" s="501">
        <f>SUM(I60,I81)</f>
        <v>1156974497</v>
      </c>
    </row>
    <row r="60" spans="4:9" ht="18" customHeight="1">
      <c r="D60" s="502"/>
      <c r="E60" s="503" t="s">
        <v>11</v>
      </c>
      <c r="F60" s="503">
        <f>SUM(F61,F64,F68,F77)</f>
        <v>91215239929</v>
      </c>
      <c r="G60" s="503">
        <f>SUM(G61,G64,G68,G77)</f>
        <v>1644555290</v>
      </c>
      <c r="H60" s="503">
        <f>SUM(H61,H64,H68,H77)</f>
        <v>197844322</v>
      </c>
      <c r="I60" s="504">
        <f>SUM(I61,I64,I68,I77)</f>
        <v>1156974497</v>
      </c>
    </row>
    <row r="61" spans="4:9" ht="18" customHeight="1">
      <c r="D61" s="505"/>
      <c r="E61" s="506" t="s">
        <v>10</v>
      </c>
      <c r="F61" s="506">
        <f>F62+F63</f>
        <v>9380863000</v>
      </c>
      <c r="G61" s="506">
        <f>G62</f>
        <v>6666500</v>
      </c>
      <c r="H61" s="506">
        <f>H62</f>
        <v>0</v>
      </c>
      <c r="I61" s="507">
        <f>I62</f>
        <v>0</v>
      </c>
    </row>
    <row r="62" spans="4:9" ht="18" customHeight="1">
      <c r="D62" s="508">
        <v>310100</v>
      </c>
      <c r="E62" s="509" t="s">
        <v>190</v>
      </c>
      <c r="F62" s="509">
        <f>F8-F36</f>
        <v>0</v>
      </c>
      <c r="G62" s="509">
        <f>G8-G36</f>
        <v>6666500</v>
      </c>
      <c r="H62" s="509">
        <f>H8-H36</f>
        <v>0</v>
      </c>
      <c r="I62" s="510">
        <f>I8-I36</f>
        <v>0</v>
      </c>
    </row>
    <row r="63" spans="4:9" ht="18" customHeight="1">
      <c r="D63" s="2086">
        <v>310200</v>
      </c>
      <c r="E63" s="2062" t="s">
        <v>2914</v>
      </c>
      <c r="F63" s="2062">
        <f>F9</f>
        <v>9380863000</v>
      </c>
      <c r="G63" s="2062">
        <v>0</v>
      </c>
      <c r="H63" s="2062">
        <v>0</v>
      </c>
      <c r="I63" s="2063">
        <v>0</v>
      </c>
    </row>
    <row r="64" spans="4:9" ht="18" customHeight="1">
      <c r="D64" s="505"/>
      <c r="E64" s="506" t="s">
        <v>12</v>
      </c>
      <c r="F64" s="506">
        <f>SUM(F65:F67)</f>
        <v>-68039313150</v>
      </c>
      <c r="G64" s="506">
        <f>SUM(G65:G67)</f>
        <v>1993283500</v>
      </c>
      <c r="H64" s="506">
        <f>SUM(H65:H67)</f>
        <v>0</v>
      </c>
      <c r="I64" s="507">
        <f>SUM(I65:I67)</f>
        <v>0</v>
      </c>
    </row>
    <row r="65" spans="4:9" ht="18" customHeight="1">
      <c r="D65" s="508">
        <v>320100</v>
      </c>
      <c r="E65" s="509" t="s">
        <v>191</v>
      </c>
      <c r="F65" s="509">
        <f t="shared" ref="F65:I67" si="1">F11-F38</f>
        <v>-68368938272</v>
      </c>
      <c r="G65" s="509">
        <f>G11-G38</f>
        <v>1993283500</v>
      </c>
      <c r="H65" s="509">
        <f t="shared" si="1"/>
        <v>0</v>
      </c>
      <c r="I65" s="510">
        <f t="shared" si="1"/>
        <v>0</v>
      </c>
    </row>
    <row r="66" spans="4:9" ht="18" customHeight="1">
      <c r="D66" s="508">
        <v>320500</v>
      </c>
      <c r="E66" s="509" t="s">
        <v>192</v>
      </c>
      <c r="F66" s="509">
        <f t="shared" si="1"/>
        <v>0</v>
      </c>
      <c r="G66" s="509">
        <f>G12-G39</f>
        <v>0</v>
      </c>
      <c r="H66" s="509">
        <f t="shared" si="1"/>
        <v>0</v>
      </c>
      <c r="I66" s="510">
        <f t="shared" si="1"/>
        <v>0</v>
      </c>
    </row>
    <row r="67" spans="4:9" ht="18" customHeight="1">
      <c r="D67" s="508">
        <v>320300</v>
      </c>
      <c r="E67" s="509" t="s">
        <v>193</v>
      </c>
      <c r="F67" s="509">
        <f t="shared" si="1"/>
        <v>329625122</v>
      </c>
      <c r="G67" s="509">
        <f>G13-G40</f>
        <v>0</v>
      </c>
      <c r="H67" s="509">
        <f t="shared" si="1"/>
        <v>0</v>
      </c>
      <c r="I67" s="510">
        <f t="shared" si="1"/>
        <v>0</v>
      </c>
    </row>
    <row r="68" spans="4:9" ht="18" customHeight="1">
      <c r="D68" s="505"/>
      <c r="E68" s="506" t="s">
        <v>194</v>
      </c>
      <c r="F68" s="506">
        <f>SUM(F69:F76)</f>
        <v>-358254803</v>
      </c>
      <c r="G68" s="506">
        <f>SUM(G69:G76)</f>
        <v>0</v>
      </c>
      <c r="H68" s="506">
        <f>SUM(H69:H76)</f>
        <v>-40602531</v>
      </c>
      <c r="I68" s="507">
        <f>SUM(I69:I76)</f>
        <v>-249257808</v>
      </c>
    </row>
    <row r="69" spans="4:9" ht="18" customHeight="1">
      <c r="D69" s="508">
        <v>350300</v>
      </c>
      <c r="E69" s="509" t="s">
        <v>195</v>
      </c>
      <c r="F69" s="509">
        <f t="shared" ref="F69:I76" si="2">F15-F42</f>
        <v>4240000</v>
      </c>
      <c r="G69" s="509">
        <f t="shared" ref="G69:G76" si="3">G15-G42</f>
        <v>0</v>
      </c>
      <c r="H69" s="509">
        <f t="shared" si="2"/>
        <v>0</v>
      </c>
      <c r="I69" s="510">
        <f t="shared" si="2"/>
        <v>0</v>
      </c>
    </row>
    <row r="70" spans="4:9" ht="18" customHeight="1">
      <c r="D70" s="508">
        <v>350350</v>
      </c>
      <c r="E70" s="509" t="s">
        <v>196</v>
      </c>
      <c r="F70" s="509">
        <f t="shared" si="2"/>
        <v>-1771023</v>
      </c>
      <c r="G70" s="509">
        <f t="shared" si="3"/>
        <v>0</v>
      </c>
      <c r="H70" s="509">
        <f t="shared" si="2"/>
        <v>0</v>
      </c>
      <c r="I70" s="510">
        <f t="shared" si="2"/>
        <v>0</v>
      </c>
    </row>
    <row r="71" spans="4:9" ht="18" customHeight="1">
      <c r="D71" s="508" t="s">
        <v>226</v>
      </c>
      <c r="E71" s="509" t="s">
        <v>225</v>
      </c>
      <c r="F71" s="509">
        <f t="shared" si="2"/>
        <v>0</v>
      </c>
      <c r="G71" s="509">
        <f t="shared" si="3"/>
        <v>0</v>
      </c>
      <c r="H71" s="509">
        <f t="shared" si="2"/>
        <v>0</v>
      </c>
      <c r="I71" s="510">
        <f t="shared" si="2"/>
        <v>0</v>
      </c>
    </row>
    <row r="72" spans="4:9" ht="18" customHeight="1">
      <c r="D72" s="508">
        <v>350400</v>
      </c>
      <c r="E72" s="509" t="s">
        <v>197</v>
      </c>
      <c r="F72" s="509">
        <f t="shared" si="2"/>
        <v>-360723780</v>
      </c>
      <c r="G72" s="509">
        <f t="shared" si="3"/>
        <v>0</v>
      </c>
      <c r="H72" s="509">
        <f t="shared" si="2"/>
        <v>0</v>
      </c>
      <c r="I72" s="510">
        <f t="shared" si="2"/>
        <v>0</v>
      </c>
    </row>
    <row r="73" spans="4:9" ht="18" customHeight="1">
      <c r="D73" s="508">
        <v>350210</v>
      </c>
      <c r="E73" s="509" t="s">
        <v>198</v>
      </c>
      <c r="F73" s="509">
        <f t="shared" si="2"/>
        <v>0</v>
      </c>
      <c r="G73" s="509">
        <f t="shared" si="3"/>
        <v>0</v>
      </c>
      <c r="H73" s="509">
        <f t="shared" si="2"/>
        <v>0</v>
      </c>
      <c r="I73" s="510">
        <f t="shared" si="2"/>
        <v>0</v>
      </c>
    </row>
    <row r="74" spans="4:9" ht="18" customHeight="1">
      <c r="D74" s="508" t="s">
        <v>199</v>
      </c>
      <c r="E74" s="509" t="s">
        <v>200</v>
      </c>
      <c r="F74" s="509">
        <f t="shared" si="2"/>
        <v>0</v>
      </c>
      <c r="G74" s="509">
        <f t="shared" si="3"/>
        <v>0</v>
      </c>
      <c r="H74" s="509">
        <f t="shared" si="2"/>
        <v>0</v>
      </c>
      <c r="I74" s="510">
        <f t="shared" si="2"/>
        <v>0</v>
      </c>
    </row>
    <row r="75" spans="4:9" ht="18" customHeight="1">
      <c r="D75" s="508" t="s">
        <v>201</v>
      </c>
      <c r="E75" s="509" t="s">
        <v>202</v>
      </c>
      <c r="F75" s="509">
        <f t="shared" si="2"/>
        <v>0</v>
      </c>
      <c r="G75" s="509">
        <f t="shared" si="3"/>
        <v>0</v>
      </c>
      <c r="H75" s="509">
        <f t="shared" si="2"/>
        <v>0</v>
      </c>
      <c r="I75" s="510">
        <f t="shared" si="2"/>
        <v>0</v>
      </c>
    </row>
    <row r="76" spans="4:9" ht="18" customHeight="1">
      <c r="D76" s="508" t="s">
        <v>203</v>
      </c>
      <c r="E76" s="509" t="s">
        <v>204</v>
      </c>
      <c r="F76" s="509">
        <f t="shared" si="2"/>
        <v>0</v>
      </c>
      <c r="G76" s="509">
        <f t="shared" si="3"/>
        <v>0</v>
      </c>
      <c r="H76" s="509">
        <f>H22-H49</f>
        <v>-40602531</v>
      </c>
      <c r="I76" s="510">
        <f t="shared" si="2"/>
        <v>-249257808</v>
      </c>
    </row>
    <row r="77" spans="4:9" ht="18" customHeight="1">
      <c r="D77" s="505"/>
      <c r="E77" s="506" t="s">
        <v>13</v>
      </c>
      <c r="F77" s="506">
        <f>SUM(F78:F80)</f>
        <v>150231944882</v>
      </c>
      <c r="G77" s="506">
        <f>SUM(G78:G80)</f>
        <v>-355394710</v>
      </c>
      <c r="H77" s="506">
        <f>SUM(H78:H80)</f>
        <v>238446853</v>
      </c>
      <c r="I77" s="507">
        <f>SUM(I78:I80)</f>
        <v>1406232305</v>
      </c>
    </row>
    <row r="78" spans="4:9" ht="18" customHeight="1">
      <c r="D78" s="508">
        <v>350951</v>
      </c>
      <c r="E78" s="509" t="s">
        <v>205</v>
      </c>
      <c r="F78" s="509">
        <f>F24-F51</f>
        <v>3104359571</v>
      </c>
      <c r="G78" s="509">
        <f>G24-G51</f>
        <v>0</v>
      </c>
      <c r="H78" s="509">
        <f>H24-H51</f>
        <v>0</v>
      </c>
      <c r="I78" s="510">
        <f>I24-I51</f>
        <v>0</v>
      </c>
    </row>
    <row r="79" spans="4:9" ht="18" customHeight="1">
      <c r="D79" s="508" t="s">
        <v>206</v>
      </c>
      <c r="E79" s="509" t="s">
        <v>207</v>
      </c>
      <c r="F79" s="509">
        <f>F25-F52-F53</f>
        <v>117791345399</v>
      </c>
      <c r="G79" s="509">
        <f>G25-G52-G53</f>
        <v>0</v>
      </c>
      <c r="H79" s="509">
        <f>H25-H52-H53</f>
        <v>0</v>
      </c>
      <c r="I79" s="510">
        <f>I25-I52-I53</f>
        <v>0</v>
      </c>
    </row>
    <row r="80" spans="4:9" ht="18" customHeight="1">
      <c r="D80" s="508" t="s">
        <v>208</v>
      </c>
      <c r="E80" s="509" t="s">
        <v>209</v>
      </c>
      <c r="F80" s="509">
        <f>F26</f>
        <v>29336239912</v>
      </c>
      <c r="G80" s="509">
        <f>G26</f>
        <v>-355394710</v>
      </c>
      <c r="H80" s="509">
        <f>H26</f>
        <v>238446853</v>
      </c>
      <c r="I80" s="510">
        <f>I26</f>
        <v>1406232305</v>
      </c>
    </row>
    <row r="81" spans="4:9" ht="18" customHeight="1">
      <c r="D81" s="502"/>
      <c r="E81" s="503" t="s">
        <v>210</v>
      </c>
      <c r="F81" s="503">
        <f>F82</f>
        <v>0</v>
      </c>
      <c r="G81" s="503">
        <f>G82</f>
        <v>0</v>
      </c>
      <c r="H81" s="503">
        <f>H82</f>
        <v>0</v>
      </c>
      <c r="I81" s="504">
        <f>I82</f>
        <v>0</v>
      </c>
    </row>
    <row r="82" spans="4:9" ht="18" customHeight="1" thickBot="1">
      <c r="D82" s="511" t="s">
        <v>492</v>
      </c>
      <c r="E82" s="512" t="s">
        <v>210</v>
      </c>
      <c r="F82" s="513">
        <f>F28-F55</f>
        <v>0</v>
      </c>
      <c r="G82" s="513">
        <f>G28-G55</f>
        <v>0</v>
      </c>
      <c r="H82" s="513">
        <f>H28-H55</f>
        <v>0</v>
      </c>
      <c r="I82" s="514">
        <f>I28-I55</f>
        <v>0</v>
      </c>
    </row>
    <row r="84" spans="4:9" ht="18" customHeight="1">
      <c r="D84" s="494" t="s">
        <v>1602</v>
      </c>
    </row>
    <row r="85" spans="4:9" ht="18" customHeight="1" thickBot="1">
      <c r="D85" s="494"/>
    </row>
    <row r="86" spans="4:9" ht="38.450000000000003" customHeight="1">
      <c r="D86" s="516"/>
      <c r="E86" s="516"/>
      <c r="F86" s="516" t="s">
        <v>15</v>
      </c>
      <c r="G86" s="516" t="s">
        <v>2189</v>
      </c>
      <c r="H86" s="516" t="s">
        <v>2585</v>
      </c>
      <c r="I86" s="517" t="s">
        <v>2583</v>
      </c>
    </row>
    <row r="87" spans="4:9" s="494" customFormat="1" ht="18" customHeight="1">
      <c r="D87" s="520" t="s">
        <v>10</v>
      </c>
      <c r="E87" s="520"/>
      <c r="F87" s="520"/>
      <c r="G87" s="520"/>
      <c r="H87" s="520"/>
      <c r="I87" s="520"/>
    </row>
    <row r="88" spans="4:9" ht="18" customHeight="1">
      <c r="E88" s="498" t="s">
        <v>532</v>
      </c>
      <c r="F88" s="498">
        <v>0</v>
      </c>
      <c r="H88" s="498">
        <v>0</v>
      </c>
      <c r="I88" s="498">
        <v>0</v>
      </c>
    </row>
    <row r="89" spans="4:9" ht="18" customHeight="1">
      <c r="E89" s="498" t="s">
        <v>1606</v>
      </c>
      <c r="F89" s="498">
        <f>F62</f>
        <v>0</v>
      </c>
      <c r="H89" s="498">
        <v>0</v>
      </c>
      <c r="I89" s="498">
        <v>0</v>
      </c>
    </row>
    <row r="90" spans="4:9" ht="18" customHeight="1">
      <c r="E90" s="498" t="s">
        <v>1689</v>
      </c>
      <c r="F90" s="498">
        <v>0</v>
      </c>
      <c r="H90" s="498">
        <v>0</v>
      </c>
      <c r="I90" s="498">
        <v>0</v>
      </c>
    </row>
    <row r="91" spans="4:9" ht="18" customHeight="1">
      <c r="E91" s="498" t="s">
        <v>2271</v>
      </c>
      <c r="G91" s="498">
        <f>G62</f>
        <v>6666500</v>
      </c>
    </row>
    <row r="92" spans="4:9" ht="18" customHeight="1" thickBot="1">
      <c r="D92" s="521"/>
      <c r="E92" s="521"/>
      <c r="F92" s="521">
        <f>SUM(F88:F91)</f>
        <v>0</v>
      </c>
      <c r="G92" s="521">
        <f>SUM(G88:G91)</f>
        <v>6666500</v>
      </c>
      <c r="H92" s="521">
        <f>SUM(H88:H91)</f>
        <v>0</v>
      </c>
      <c r="I92" s="521">
        <f>SUM(I88:I91)</f>
        <v>0</v>
      </c>
    </row>
    <row r="93" spans="4:9" ht="18" customHeight="1" thickTop="1">
      <c r="F93" s="498" t="b">
        <f>F92=F61</f>
        <v>0</v>
      </c>
      <c r="G93" s="498" t="b">
        <f>G92=G61</f>
        <v>1</v>
      </c>
      <c r="H93" s="498" t="b">
        <f>H92=H61</f>
        <v>1</v>
      </c>
      <c r="I93" s="498" t="b">
        <f>I92=I61</f>
        <v>1</v>
      </c>
    </row>
    <row r="94" spans="4:9" s="494" customFormat="1" ht="18" customHeight="1">
      <c r="D94" s="520" t="s">
        <v>12</v>
      </c>
      <c r="E94" s="520"/>
      <c r="F94" s="520"/>
      <c r="G94" s="520"/>
      <c r="H94" s="520"/>
      <c r="I94" s="520"/>
    </row>
    <row r="95" spans="4:9" ht="18" customHeight="1">
      <c r="E95" s="498" t="s">
        <v>532</v>
      </c>
      <c r="F95" s="498">
        <v>0</v>
      </c>
      <c r="H95" s="498">
        <v>0</v>
      </c>
      <c r="I95" s="498">
        <v>0</v>
      </c>
    </row>
    <row r="96" spans="4:9" ht="18" customHeight="1">
      <c r="E96" s="498" t="s">
        <v>1606</v>
      </c>
      <c r="F96" s="498">
        <v>0</v>
      </c>
    </row>
    <row r="97" spans="4:12" s="1932" customFormat="1" ht="18" customHeight="1">
      <c r="E97" s="1932" t="s">
        <v>2825</v>
      </c>
      <c r="F97" s="1932">
        <f>F65</f>
        <v>-68368938272</v>
      </c>
    </row>
    <row r="98" spans="4:12" ht="18" customHeight="1">
      <c r="E98" s="498" t="s">
        <v>1604</v>
      </c>
      <c r="F98" s="498">
        <f>F67</f>
        <v>329625122</v>
      </c>
      <c r="H98" s="498">
        <v>0</v>
      </c>
      <c r="I98" s="498">
        <v>0</v>
      </c>
    </row>
    <row r="99" spans="4:12" ht="18" customHeight="1">
      <c r="E99" s="498" t="s">
        <v>1605</v>
      </c>
      <c r="F99" s="498">
        <v>0</v>
      </c>
      <c r="H99" s="498">
        <v>0</v>
      </c>
      <c r="I99" s="498">
        <v>0</v>
      </c>
    </row>
    <row r="100" spans="4:12" ht="18" customHeight="1">
      <c r="E100" s="498" t="s">
        <v>537</v>
      </c>
      <c r="F100" s="498">
        <v>0</v>
      </c>
      <c r="H100" s="498">
        <v>0</v>
      </c>
      <c r="I100" s="498">
        <v>0</v>
      </c>
    </row>
    <row r="101" spans="4:12" ht="18" customHeight="1">
      <c r="E101" s="498" t="s">
        <v>2271</v>
      </c>
      <c r="G101" s="498">
        <f>G65</f>
        <v>1993283500</v>
      </c>
    </row>
    <row r="102" spans="4:12" s="494" customFormat="1" ht="18" customHeight="1" thickBot="1">
      <c r="D102" s="522"/>
      <c r="E102" s="522"/>
      <c r="F102" s="522">
        <f>SUM(F95:F101)</f>
        <v>-68039313150</v>
      </c>
      <c r="G102" s="522">
        <f>SUM(G95:G101)</f>
        <v>1993283500</v>
      </c>
      <c r="H102" s="522">
        <f>SUM(H95:H101)</f>
        <v>0</v>
      </c>
      <c r="I102" s="522">
        <f>SUM(I95:I101)</f>
        <v>0</v>
      </c>
    </row>
    <row r="103" spans="4:12" ht="18" customHeight="1" thickTop="1">
      <c r="F103" s="498" t="b">
        <f>F102=F64</f>
        <v>1</v>
      </c>
      <c r="G103" s="498" t="b">
        <f>G102=G64</f>
        <v>1</v>
      </c>
      <c r="H103" s="498" t="b">
        <f>H102=H64</f>
        <v>1</v>
      </c>
      <c r="I103" s="498" t="b">
        <f>I102=I64</f>
        <v>1</v>
      </c>
    </row>
    <row r="104" spans="4:12" s="494" customFormat="1" ht="18" customHeight="1">
      <c r="D104" s="520" t="s">
        <v>194</v>
      </c>
      <c r="E104" s="520"/>
      <c r="F104" s="520"/>
      <c r="G104" s="520"/>
      <c r="H104" s="520"/>
      <c r="I104" s="520"/>
    </row>
    <row r="105" spans="4:12" ht="18" customHeight="1">
      <c r="E105" s="498" t="s">
        <v>758</v>
      </c>
      <c r="F105" s="498">
        <f>F72</f>
        <v>-360723780</v>
      </c>
    </row>
    <row r="106" spans="4:12" ht="18" customHeight="1">
      <c r="E106" s="498" t="s">
        <v>1603</v>
      </c>
    </row>
    <row r="107" spans="4:12" ht="18" customHeight="1">
      <c r="E107" s="498" t="s">
        <v>1604</v>
      </c>
    </row>
    <row r="108" spans="4:12" ht="18" customHeight="1">
      <c r="E108" s="498" t="s">
        <v>1605</v>
      </c>
    </row>
    <row r="109" spans="4:12" ht="18" customHeight="1">
      <c r="E109" s="498" t="s">
        <v>1607</v>
      </c>
      <c r="F109" s="498">
        <v>0</v>
      </c>
    </row>
    <row r="110" spans="4:12" ht="18" customHeight="1">
      <c r="E110" s="498" t="s">
        <v>1608</v>
      </c>
      <c r="F110" s="498">
        <f>F76</f>
        <v>0</v>
      </c>
      <c r="H110" s="498">
        <f>H76</f>
        <v>-40602531</v>
      </c>
      <c r="I110" s="498">
        <f>I76</f>
        <v>-249257808</v>
      </c>
    </row>
    <row r="111" spans="4:12" ht="18" customHeight="1" thickBot="1">
      <c r="D111" s="521"/>
      <c r="E111" s="521"/>
      <c r="F111" s="521">
        <f>SUM(F105:F110)</f>
        <v>-360723780</v>
      </c>
      <c r="G111" s="521"/>
      <c r="H111" s="521">
        <f>SUM(H105:H110)</f>
        <v>-40602531</v>
      </c>
      <c r="I111" s="521">
        <f>SUM(I105:I110)</f>
        <v>-249257808</v>
      </c>
    </row>
    <row r="112" spans="4:12" ht="18" customHeight="1" thickTop="1">
      <c r="F112" s="498" t="b">
        <f>F111=F68</f>
        <v>0</v>
      </c>
      <c r="G112" s="498" t="b">
        <f>G111=G68</f>
        <v>1</v>
      </c>
      <c r="H112" s="498" t="b">
        <f>H111=H68</f>
        <v>1</v>
      </c>
      <c r="I112" s="498" t="b">
        <f>I111=I68</f>
        <v>1</v>
      </c>
      <c r="K112" s="1874" t="s">
        <v>2808</v>
      </c>
      <c r="L112" s="1359"/>
    </row>
    <row r="113" spans="4:12" s="494" customFormat="1" ht="18" customHeight="1">
      <c r="D113" s="520" t="s">
        <v>13</v>
      </c>
      <c r="E113" s="520"/>
      <c r="F113" s="520"/>
      <c r="G113" s="520"/>
      <c r="H113" s="520"/>
      <c r="I113" s="520"/>
      <c r="K113" s="1875" t="s">
        <v>2772</v>
      </c>
      <c r="L113" s="1883">
        <v>-1140444443</v>
      </c>
    </row>
    <row r="114" spans="4:12" ht="18" customHeight="1" thickBot="1">
      <c r="E114" s="498" t="s">
        <v>1609</v>
      </c>
      <c r="F114" s="498">
        <f>SUM(T_IS!H128)</f>
        <v>29336239912</v>
      </c>
      <c r="G114" s="498">
        <f>G80</f>
        <v>-355394710</v>
      </c>
      <c r="H114" s="498">
        <f>SUM(T_IS!J128)</f>
        <v>238446853</v>
      </c>
      <c r="I114" s="498">
        <f>SUM(T_IS!K128)</f>
        <v>1406232305</v>
      </c>
      <c r="K114" s="1876" t="s">
        <v>2773</v>
      </c>
      <c r="L114" s="1884">
        <v>-117791345399</v>
      </c>
    </row>
    <row r="115" spans="4:12" ht="18" customHeight="1" thickTop="1">
      <c r="E115" s="498" t="s">
        <v>1610</v>
      </c>
      <c r="F115" s="498">
        <v>0</v>
      </c>
      <c r="H115" s="498">
        <v>0</v>
      </c>
      <c r="I115" s="498">
        <v>0</v>
      </c>
      <c r="K115" s="1877" t="s">
        <v>2774</v>
      </c>
      <c r="L115" s="1885">
        <v>-118931789842</v>
      </c>
    </row>
    <row r="116" spans="4:12" ht="18" customHeight="1">
      <c r="E116" s="498" t="s">
        <v>1611</v>
      </c>
      <c r="F116" s="498">
        <f>F78</f>
        <v>3104359571</v>
      </c>
      <c r="H116" s="498">
        <v>0</v>
      </c>
      <c r="I116" s="498">
        <v>0</v>
      </c>
    </row>
    <row r="117" spans="4:12" ht="18" customHeight="1">
      <c r="E117" s="498" t="s">
        <v>1612</v>
      </c>
      <c r="F117" s="498">
        <v>0</v>
      </c>
      <c r="H117" s="498">
        <v>0</v>
      </c>
      <c r="I117" s="498">
        <v>0</v>
      </c>
    </row>
    <row r="118" spans="4:12" s="1932" customFormat="1" ht="18" customHeight="1">
      <c r="E118" s="1932" t="s">
        <v>2825</v>
      </c>
      <c r="F118" s="1932">
        <f>-L114</f>
        <v>117791345399</v>
      </c>
    </row>
    <row r="119" spans="4:12" ht="18" customHeight="1">
      <c r="D119" s="509"/>
      <c r="E119" s="509" t="s">
        <v>1689</v>
      </c>
      <c r="F119" s="509">
        <v>0</v>
      </c>
      <c r="G119" s="509"/>
      <c r="H119" s="509">
        <v>0</v>
      </c>
      <c r="I119" s="509">
        <v>0</v>
      </c>
    </row>
    <row r="120" spans="4:12" ht="18" customHeight="1">
      <c r="D120" s="509"/>
      <c r="E120" s="509" t="s">
        <v>2271</v>
      </c>
      <c r="F120" s="509"/>
      <c r="G120" s="509">
        <f>G79</f>
        <v>0</v>
      </c>
      <c r="H120" s="509"/>
      <c r="I120" s="509"/>
    </row>
    <row r="121" spans="4:12" s="494" customFormat="1" ht="18" customHeight="1" thickBot="1">
      <c r="F121" s="494">
        <f>SUM(F114:F120)</f>
        <v>150231944882</v>
      </c>
      <c r="G121" s="494">
        <f>SUM(G114:G120)</f>
        <v>-355394710</v>
      </c>
      <c r="H121" s="494">
        <f>SUM(H114:H120)</f>
        <v>238446853</v>
      </c>
      <c r="I121" s="494">
        <f>SUM(I114:I120)</f>
        <v>1406232305</v>
      </c>
    </row>
    <row r="122" spans="4:12" ht="18" customHeight="1" thickTop="1">
      <c r="D122" s="523"/>
      <c r="E122" s="523"/>
      <c r="F122" s="523" t="b">
        <f>F121=F77</f>
        <v>1</v>
      </c>
      <c r="G122" s="523" t="b">
        <f>G121=G77</f>
        <v>1</v>
      </c>
      <c r="H122" s="523" t="b">
        <f>H121=H77</f>
        <v>1</v>
      </c>
      <c r="I122" s="523" t="b">
        <f>I121=I77</f>
        <v>1</v>
      </c>
    </row>
    <row r="123" spans="4:12" ht="18" customHeight="1">
      <c r="F123" s="498">
        <f>F121-F77</f>
        <v>0</v>
      </c>
    </row>
  </sheetData>
  <phoneticPr fontId="22" type="noConversion"/>
  <pageMargins left="0.7" right="0.7" top="0.75" bottom="0.75" header="0.3" footer="0.3"/>
  <pageSetup orientation="portrait" r:id="rId1"/>
  <ignoredErrors>
    <ignoredError sqref="F64:J75 F79:J83 G78:J78 F77:J77 F76:G76 I76:J7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2:Q67"/>
  <sheetViews>
    <sheetView showGridLines="0" zoomScale="80" zoomScaleNormal="80" workbookViewId="0">
      <selection activeCell="B49" sqref="B49:E55"/>
    </sheetView>
  </sheetViews>
  <sheetFormatPr defaultColWidth="9" defaultRowHeight="13.5"/>
  <cols>
    <col min="1" max="1" width="2.125" style="1703" customWidth="1"/>
    <col min="2" max="2" width="13.875" style="1703" bestFit="1" customWidth="1"/>
    <col min="3" max="8" width="12.625" style="1703" customWidth="1"/>
    <col min="9" max="9" width="10.625" style="1704" customWidth="1"/>
    <col min="10" max="10" width="9" style="1703" customWidth="1"/>
    <col min="11" max="11" width="9" style="1703"/>
    <col min="12" max="12" width="10.625" style="1703" bestFit="1" customWidth="1"/>
    <col min="13" max="13" width="14.625" style="1703" bestFit="1" customWidth="1"/>
    <col min="14" max="16" width="14.125" style="1703" bestFit="1" customWidth="1"/>
    <col min="17" max="16384" width="9" style="1703"/>
  </cols>
  <sheetData>
    <row r="2" spans="2:11">
      <c r="B2" s="1702" t="s">
        <v>2275</v>
      </c>
    </row>
    <row r="3" spans="2:11">
      <c r="B3" s="1705"/>
      <c r="H3" s="1706" t="s">
        <v>2072</v>
      </c>
    </row>
    <row r="4" spans="2:11" ht="15" customHeight="1" thickBot="1">
      <c r="B4" s="2108" t="s">
        <v>2048</v>
      </c>
      <c r="C4" s="1707" t="s">
        <v>2039</v>
      </c>
      <c r="D4" s="1708"/>
      <c r="E4" s="1708"/>
      <c r="F4" s="1709" t="s">
        <v>2043</v>
      </c>
      <c r="G4" s="1710"/>
      <c r="H4" s="1710"/>
    </row>
    <row r="5" spans="2:11" ht="15" customHeight="1" thickTop="1" thickBot="1">
      <c r="B5" s="2109"/>
      <c r="C5" s="1711" t="s">
        <v>1819</v>
      </c>
      <c r="D5" s="1712" t="s">
        <v>1814</v>
      </c>
      <c r="E5" s="1712" t="s">
        <v>1815</v>
      </c>
      <c r="F5" s="1713" t="s">
        <v>2040</v>
      </c>
      <c r="G5" s="1714" t="s">
        <v>2041</v>
      </c>
      <c r="H5" s="1714" t="s">
        <v>2042</v>
      </c>
    </row>
    <row r="6" spans="2:11" ht="14.45" customHeight="1" thickTop="1">
      <c r="B6" s="1715" t="s">
        <v>2045</v>
      </c>
      <c r="C6" s="1716">
        <f>T_BS!H$6</f>
        <v>273496102034</v>
      </c>
      <c r="D6" s="1717">
        <f>T_BS!H150</f>
        <v>101492251249</v>
      </c>
      <c r="E6" s="1717">
        <f>T_BS!H$231</f>
        <v>172003850785</v>
      </c>
      <c r="F6" s="1718">
        <f>T_IS!H6</f>
        <v>257574735469</v>
      </c>
      <c r="G6" s="1719">
        <f>T_IS!H$75</f>
        <v>-9075056741</v>
      </c>
      <c r="H6" s="1720">
        <f>T_IS!H$127</f>
        <v>29336239912</v>
      </c>
      <c r="I6" s="1721" t="b">
        <f>C6=D6+E6</f>
        <v>1</v>
      </c>
      <c r="J6" s="1722"/>
      <c r="K6" s="1722"/>
    </row>
    <row r="7" spans="2:11" ht="14.45" customHeight="1">
      <c r="B7" s="1723" t="s">
        <v>2044</v>
      </c>
      <c r="C7" s="1724">
        <f>T_BS!J$6</f>
        <v>337517275</v>
      </c>
      <c r="D7" s="1725">
        <f>T_BS!J$150</f>
        <v>736223518</v>
      </c>
      <c r="E7" s="1726">
        <f>T_BS!J$231</f>
        <v>-398706243</v>
      </c>
      <c r="F7" s="1727">
        <f>T_IS!J6</f>
        <v>625958430</v>
      </c>
      <c r="G7" s="1726">
        <f>T_IS!J$75</f>
        <v>51817922</v>
      </c>
      <c r="H7" s="1726">
        <f>T_IS!J$127</f>
        <v>238446853</v>
      </c>
      <c r="I7" s="1721" t="b">
        <f>C7=D7+E7</f>
        <v>1</v>
      </c>
    </row>
    <row r="8" spans="2:11" ht="14.45" customHeight="1">
      <c r="B8" s="1728" t="s">
        <v>1990</v>
      </c>
      <c r="C8" s="1729">
        <f>T_BS!K$6</f>
        <v>7378594887</v>
      </c>
      <c r="D8" s="1730">
        <f>T_BS!K$150</f>
        <v>3467691337</v>
      </c>
      <c r="E8" s="1730">
        <f>T_BS!K$231</f>
        <v>3910903550</v>
      </c>
      <c r="F8" s="1731">
        <f>T_IS!K6</f>
        <v>17471196096</v>
      </c>
      <c r="G8" s="1732">
        <f>T_IS!K$75</f>
        <v>1447049225</v>
      </c>
      <c r="H8" s="1732">
        <f>T_IS!K$127</f>
        <v>1406232305</v>
      </c>
      <c r="I8" s="1721" t="b">
        <f>C8=D8+E8</f>
        <v>1</v>
      </c>
    </row>
    <row r="9" spans="2:11" ht="14.45" customHeight="1">
      <c r="B9" s="1733" t="s">
        <v>2082</v>
      </c>
      <c r="C9" s="1734">
        <f>T_BS!I6</f>
        <v>1076990862</v>
      </c>
      <c r="D9" s="1735">
        <f>T_BS!I150</f>
        <v>433269063</v>
      </c>
      <c r="E9" s="1736">
        <f>T_BS!I231</f>
        <v>643721799</v>
      </c>
      <c r="F9" s="1737">
        <f>T_IS!I6</f>
        <v>2119958142</v>
      </c>
      <c r="G9" s="1736">
        <f>T_IS!I75</f>
        <v>-281973078</v>
      </c>
      <c r="H9" s="1736">
        <f>T_IS!I127</f>
        <v>-355394710</v>
      </c>
      <c r="I9" s="1721" t="b">
        <f>C9=D9+E9</f>
        <v>1</v>
      </c>
    </row>
    <row r="10" spans="2:11" ht="14.45" customHeight="1">
      <c r="B10" s="1738" t="s">
        <v>2047</v>
      </c>
      <c r="C10" s="1739">
        <f>T_BS!V6</f>
        <v>-7379271506</v>
      </c>
      <c r="D10" s="1740">
        <f>T_BS!V150</f>
        <v>-1538260471</v>
      </c>
      <c r="E10" s="1740">
        <f>T_BS!V231</f>
        <v>-5841011035</v>
      </c>
      <c r="F10" s="1741">
        <f>T_IS!V6</f>
        <v>-3567735464</v>
      </c>
      <c r="G10" s="1740">
        <f>T_IS!V75</f>
        <v>-169493499</v>
      </c>
      <c r="H10" s="1740">
        <f>T_IS!V127</f>
        <v>-1389027259</v>
      </c>
      <c r="I10" s="1721" t="b">
        <f>C10=D10+E10</f>
        <v>1</v>
      </c>
    </row>
    <row r="11" spans="2:11" ht="14.45" customHeight="1" thickBot="1">
      <c r="B11" s="1742" t="s">
        <v>2046</v>
      </c>
      <c r="C11" s="1743">
        <f t="shared" ref="C11:H11" si="0">SUM(C6:C10)</f>
        <v>274909933552</v>
      </c>
      <c r="D11" s="1744">
        <f t="shared" si="0"/>
        <v>104591174696</v>
      </c>
      <c r="E11" s="1744">
        <f t="shared" si="0"/>
        <v>170318758856</v>
      </c>
      <c r="F11" s="1745">
        <f t="shared" si="0"/>
        <v>274224112673</v>
      </c>
      <c r="G11" s="1746">
        <f t="shared" si="0"/>
        <v>-8027656171</v>
      </c>
      <c r="H11" s="1747">
        <f t="shared" si="0"/>
        <v>29236497101</v>
      </c>
      <c r="I11" s="1721"/>
    </row>
    <row r="12" spans="2:11" ht="14.25" hidden="1" thickTop="1">
      <c r="B12" s="1748"/>
      <c r="C12" s="1748" t="b">
        <f>C11=T_BS!X6</f>
        <v>1</v>
      </c>
      <c r="D12" s="1748" t="b">
        <f>D11=T_BS!X150</f>
        <v>1</v>
      </c>
      <c r="E12" s="1748" t="b">
        <f>E11=T_BS!X231</f>
        <v>1</v>
      </c>
      <c r="F12" s="1748" t="b">
        <f>F11=T_IS!X6</f>
        <v>1</v>
      </c>
      <c r="G12" s="1748"/>
      <c r="H12" s="1748" t="b">
        <f>G11=T_IS!X75</f>
        <v>1</v>
      </c>
    </row>
    <row r="13" spans="2:11" ht="14.25" hidden="1" thickTop="1">
      <c r="B13" s="1749"/>
      <c r="C13" s="1749" t="b">
        <f>C11=T_BS!X6</f>
        <v>1</v>
      </c>
      <c r="D13" s="1749" t="b">
        <f>D11=T_BS!X150</f>
        <v>1</v>
      </c>
      <c r="E13" s="1749" t="b">
        <f>E11=T_BS!X231</f>
        <v>1</v>
      </c>
      <c r="F13" s="1749" t="b">
        <f>F11=T_IS!X6</f>
        <v>1</v>
      </c>
      <c r="G13" s="1749"/>
      <c r="H13" s="1749" t="b">
        <f>G11=T_IS!X75</f>
        <v>1</v>
      </c>
    </row>
    <row r="14" spans="2:11" ht="14.25" hidden="1" thickTop="1">
      <c r="E14" s="1750"/>
    </row>
    <row r="15" spans="2:11" ht="14.25" hidden="1" thickTop="1">
      <c r="E15" s="1750"/>
    </row>
    <row r="16" spans="2:11" ht="14.25" hidden="1" thickTop="1"/>
    <row r="17" ht="14.25" hidden="1" thickTop="1"/>
    <row r="18" ht="14.25" hidden="1" thickTop="1"/>
    <row r="19" ht="14.25" hidden="1" thickTop="1"/>
    <row r="20" ht="14.25" hidden="1" thickTop="1"/>
    <row r="21" ht="14.25" hidden="1" thickTop="1"/>
    <row r="22" ht="14.25" hidden="1" thickTop="1"/>
    <row r="23" ht="14.25" hidden="1" thickTop="1"/>
    <row r="24" ht="14.25" hidden="1" thickTop="1"/>
    <row r="25" ht="14.25" hidden="1" thickTop="1"/>
    <row r="26" ht="14.25" hidden="1" thickTop="1"/>
    <row r="27" ht="14.25" hidden="1" thickTop="1"/>
    <row r="28" ht="14.25" hidden="1" thickTop="1"/>
    <row r="29" ht="14.25" hidden="1" thickTop="1"/>
    <row r="30" ht="14.25" hidden="1" thickTop="1"/>
    <row r="31" ht="14.25" hidden="1" thickTop="1"/>
    <row r="32" ht="14.25" hidden="1" thickTop="1"/>
    <row r="33" spans="2:17" ht="14.25" hidden="1" thickTop="1"/>
    <row r="34" spans="2:17" ht="17.25" customHeight="1" thickTop="1"/>
    <row r="35" spans="2:17">
      <c r="B35" s="1705" t="s">
        <v>2274</v>
      </c>
    </row>
    <row r="36" spans="2:17" s="1751" customFormat="1">
      <c r="B36" s="1705"/>
      <c r="E36" s="1752" t="s">
        <v>2072</v>
      </c>
      <c r="F36" s="1753"/>
      <c r="G36" s="1753"/>
      <c r="H36" s="1752"/>
      <c r="I36" s="1754"/>
      <c r="L36" s="1751" t="s">
        <v>0</v>
      </c>
      <c r="M36" s="1751">
        <f>SUMIF(T198_TB!M:M,재무상태요약!L36,T198_TB!L:L)</f>
        <v>281479038632</v>
      </c>
    </row>
    <row r="37" spans="2:17" s="1751" customFormat="1" ht="15" customHeight="1" thickBot="1">
      <c r="B37" s="1755" t="s">
        <v>1786</v>
      </c>
      <c r="C37" s="1756" t="s">
        <v>1986</v>
      </c>
      <c r="D37" s="1756" t="s">
        <v>2059</v>
      </c>
      <c r="E37" s="1757" t="s">
        <v>2060</v>
      </c>
      <c r="F37" s="1758"/>
      <c r="G37" s="1758"/>
      <c r="H37" s="1759"/>
      <c r="I37" s="1754"/>
      <c r="L37" s="1751" t="s">
        <v>8</v>
      </c>
      <c r="M37" s="1751">
        <f>SUMIF(T198_TB!M:M,재무상태요약!L37,T198_TB!L:L)</f>
        <v>-111160279776</v>
      </c>
    </row>
    <row r="38" spans="2:17" s="1751" customFormat="1" ht="14.45" customHeight="1" thickTop="1">
      <c r="B38" s="1760" t="s">
        <v>1819</v>
      </c>
      <c r="C38" s="1761">
        <f>T_BS!X6</f>
        <v>274909933552</v>
      </c>
      <c r="D38" s="1762">
        <f>+M36</f>
        <v>281479038632</v>
      </c>
      <c r="E38" s="2090">
        <f>(C38-D38)/1000</f>
        <v>-6569105.0800000001</v>
      </c>
      <c r="F38" s="1763"/>
      <c r="G38" s="1763"/>
      <c r="H38" s="1759"/>
      <c r="I38" s="1754"/>
      <c r="L38" s="1751" t="s">
        <v>546</v>
      </c>
      <c r="M38" s="1751">
        <f>SUMIF(T198_TB!M:M,재무상태요약!L38,T198_TB!L:L)</f>
        <v>-141082261755</v>
      </c>
    </row>
    <row r="39" spans="2:17" s="1751" customFormat="1" ht="14.45" customHeight="1">
      <c r="B39" s="1764" t="s">
        <v>1814</v>
      </c>
      <c r="C39" s="1765">
        <f>T_BS!X150</f>
        <v>104591174696</v>
      </c>
      <c r="D39" s="1766">
        <f>-M37</f>
        <v>111160279776</v>
      </c>
      <c r="E39" s="2091">
        <f>(C39-D39)/1000</f>
        <v>-6569105.0800000001</v>
      </c>
      <c r="F39" s="1763"/>
      <c r="G39" s="1763"/>
      <c r="H39" s="1759"/>
      <c r="I39" s="1754"/>
      <c r="L39" s="1751" t="s">
        <v>690</v>
      </c>
      <c r="M39" s="1751">
        <f>SUMIF(T198_TB!M:M,재무상태요약!L39,T198_TB!L:L)</f>
        <v>-274224112673</v>
      </c>
    </row>
    <row r="40" spans="2:17" s="1751" customFormat="1" ht="14.45" customHeight="1">
      <c r="B40" s="1767" t="s">
        <v>1815</v>
      </c>
      <c r="C40" s="1768">
        <f>T_BS!X231</f>
        <v>170318758856</v>
      </c>
      <c r="D40" s="1769">
        <f>-M38+D43</f>
        <v>170318758856</v>
      </c>
      <c r="E40" s="1770">
        <f t="shared" ref="E40:E43" si="1">C40-D40</f>
        <v>0</v>
      </c>
      <c r="F40" s="1763"/>
      <c r="G40" s="1763"/>
      <c r="H40" s="1759"/>
      <c r="I40" s="1754"/>
      <c r="L40" s="1751" t="s">
        <v>2061</v>
      </c>
      <c r="M40" s="1751">
        <f>SUMIF(T198_TB!M:M,재무상태요약!L40,T198_TB!L:L)</f>
        <v>214733437246</v>
      </c>
    </row>
    <row r="41" spans="2:17" s="1751" customFormat="1" ht="14.45" customHeight="1">
      <c r="B41" s="1771" t="s">
        <v>2062</v>
      </c>
      <c r="C41" s="1772">
        <f>T_IS!X6</f>
        <v>274224112673</v>
      </c>
      <c r="D41" s="1773">
        <f>-M39</f>
        <v>274224112673</v>
      </c>
      <c r="E41" s="1774">
        <f t="shared" si="1"/>
        <v>0</v>
      </c>
      <c r="F41" s="1763"/>
      <c r="G41" s="1763"/>
      <c r="H41" s="1759"/>
      <c r="I41" s="1754"/>
      <c r="L41" s="1751" t="s">
        <v>2063</v>
      </c>
      <c r="M41" s="1751">
        <f>SUMIF(T198_TB!M:M,재무상태요약!L41,T198_TB!L:L)</f>
        <v>67518331598</v>
      </c>
    </row>
    <row r="42" spans="2:17" s="1751" customFormat="1" ht="14.45" customHeight="1">
      <c r="B42" s="1764" t="s">
        <v>2041</v>
      </c>
      <c r="C42" s="1765">
        <f>T_IS!X75</f>
        <v>-8027656171</v>
      </c>
      <c r="D42" s="1766">
        <f>-M39-M40-M41</f>
        <v>-8027656171</v>
      </c>
      <c r="E42" s="1775">
        <f t="shared" si="1"/>
        <v>0</v>
      </c>
      <c r="F42" s="1776"/>
      <c r="G42" s="1776"/>
      <c r="H42" s="1759"/>
      <c r="I42" s="1754"/>
      <c r="L42" s="1751" t="s">
        <v>2064</v>
      </c>
      <c r="M42" s="1751">
        <f>SUMIF(T198_TB!M:M,재무상태요약!L42,T198_TB!L:L)</f>
        <v>-43640885624</v>
      </c>
    </row>
    <row r="43" spans="2:17" s="1751" customFormat="1" ht="14.45" customHeight="1" thickBot="1">
      <c r="B43" s="1777" t="s">
        <v>2042</v>
      </c>
      <c r="C43" s="1778">
        <f>T_IS!X127</f>
        <v>29236497101</v>
      </c>
      <c r="D43" s="1778">
        <f>+D42-M42-M43</f>
        <v>29236497101</v>
      </c>
      <c r="E43" s="1779">
        <f t="shared" si="1"/>
        <v>0</v>
      </c>
      <c r="F43" s="1780"/>
      <c r="G43" s="1776"/>
      <c r="H43" s="1759"/>
      <c r="I43" s="1754"/>
      <c r="L43" s="1751" t="s">
        <v>2065</v>
      </c>
      <c r="M43" s="1751">
        <f>SUMIF(T198_TB!M:M,재무상태요약!L43,T198_TB!L:L)</f>
        <v>6376732352</v>
      </c>
    </row>
    <row r="44" spans="2:17" s="1751" customFormat="1" ht="17.25" hidden="1" thickTop="1">
      <c r="C44" s="1751" t="b">
        <f>C38=C39+C40</f>
        <v>1</v>
      </c>
      <c r="D44" s="1751" t="b">
        <f>D38=D39+D40</f>
        <v>1</v>
      </c>
      <c r="F44" s="1753"/>
      <c r="G44" s="1753"/>
      <c r="I44" s="1754"/>
      <c r="L44" s="1781"/>
    </row>
    <row r="45" spans="2:17" s="1751" customFormat="1" ht="6.75" customHeight="1" thickTop="1">
      <c r="I45" s="1754"/>
      <c r="L45" s="1781"/>
    </row>
    <row r="46" spans="2:17" s="1751" customFormat="1" ht="16.5">
      <c r="B46" s="1705" t="s">
        <v>2073</v>
      </c>
      <c r="I46" s="1754"/>
      <c r="M46" s="1781"/>
    </row>
    <row r="47" spans="2:17" s="1751" customFormat="1" ht="16.5">
      <c r="B47" s="1705"/>
      <c r="E47" s="1752" t="s">
        <v>2072</v>
      </c>
      <c r="I47" s="1782"/>
      <c r="M47" s="1754" t="s">
        <v>2066</v>
      </c>
      <c r="O47" s="1754" t="s">
        <v>2067</v>
      </c>
    </row>
    <row r="48" spans="2:17" s="1751" customFormat="1" ht="15" customHeight="1" thickBot="1">
      <c r="B48" s="1755" t="s">
        <v>1786</v>
      </c>
      <c r="C48" s="1756" t="s">
        <v>1987</v>
      </c>
      <c r="D48" s="1756" t="s">
        <v>1986</v>
      </c>
      <c r="E48" s="1757" t="s">
        <v>1799</v>
      </c>
      <c r="G48" s="1754"/>
      <c r="I48" s="1782"/>
      <c r="L48" s="1783" t="s">
        <v>1786</v>
      </c>
      <c r="M48" s="1784" t="s">
        <v>1987</v>
      </c>
      <c r="N48" s="1784" t="s">
        <v>1986</v>
      </c>
      <c r="O48" s="1784" t="s">
        <v>1987</v>
      </c>
      <c r="P48" s="1784" t="s">
        <v>1986</v>
      </c>
      <c r="Q48" s="1785" t="s">
        <v>1799</v>
      </c>
    </row>
    <row r="49" spans="2:17" s="1751" customFormat="1" ht="14.45" customHeight="1" thickTop="1">
      <c r="B49" s="1760" t="s">
        <v>2062</v>
      </c>
      <c r="C49" s="1761">
        <f>M49-O49</f>
        <v>25821620809</v>
      </c>
      <c r="D49" s="1761">
        <f>N49-P49</f>
        <v>26437299898</v>
      </c>
      <c r="E49" s="1786"/>
      <c r="I49" s="2056">
        <f t="shared" ref="I49:I55" si="2">+D49/100000000</f>
        <v>264.37299897999998</v>
      </c>
      <c r="L49" s="1787" t="s">
        <v>2062</v>
      </c>
      <c r="M49" s="1787">
        <f>T_IS!H6</f>
        <v>257574735469</v>
      </c>
      <c r="N49" s="1787">
        <f>T_IS!X6</f>
        <v>274224112673</v>
      </c>
      <c r="O49" s="1788">
        <v>231753114660</v>
      </c>
      <c r="P49" s="1788">
        <v>247786812775</v>
      </c>
      <c r="Q49" s="1789"/>
    </row>
    <row r="50" spans="2:17" s="1751" customFormat="1" ht="14.45" customHeight="1">
      <c r="B50" s="1764" t="s">
        <v>2068</v>
      </c>
      <c r="C50" s="1765">
        <f t="shared" ref="C50:C55" si="3">M50-O50</f>
        <v>20980664217</v>
      </c>
      <c r="D50" s="1765">
        <f t="shared" ref="D50:D55" si="4">N50-P50</f>
        <v>21862796442</v>
      </c>
      <c r="E50" s="1790"/>
      <c r="I50" s="2056">
        <f t="shared" si="2"/>
        <v>218.62796442000001</v>
      </c>
      <c r="L50" s="1787" t="s">
        <v>2068</v>
      </c>
      <c r="M50" s="1787">
        <f>T_IS!H26</f>
        <v>199798916102</v>
      </c>
      <c r="N50" s="1787">
        <f>T_IS!X26</f>
        <v>214733437246</v>
      </c>
      <c r="O50" s="1788">
        <v>178818251885</v>
      </c>
      <c r="P50" s="1788">
        <v>192870640804</v>
      </c>
      <c r="Q50" s="1789"/>
    </row>
    <row r="51" spans="2:17" s="1751" customFormat="1" ht="14.45" customHeight="1">
      <c r="B51" s="1764" t="s">
        <v>2069</v>
      </c>
      <c r="C51" s="1765">
        <f t="shared" si="3"/>
        <v>4840956592</v>
      </c>
      <c r="D51" s="1765">
        <f t="shared" si="4"/>
        <v>4574503456</v>
      </c>
      <c r="E51" s="1790"/>
      <c r="I51" s="2056">
        <f t="shared" si="2"/>
        <v>45.745034560000001</v>
      </c>
      <c r="L51" s="1787" t="s">
        <v>2069</v>
      </c>
      <c r="M51" s="1791">
        <f>M49-M50</f>
        <v>57775819367</v>
      </c>
      <c r="N51" s="1791">
        <f>N49-N50</f>
        <v>59490675427</v>
      </c>
      <c r="O51" s="1788">
        <v>52934862775</v>
      </c>
      <c r="P51" s="1788">
        <v>54916171971</v>
      </c>
      <c r="Q51" s="1789"/>
    </row>
    <row r="52" spans="2:17" s="1751" customFormat="1" ht="14.45" customHeight="1">
      <c r="B52" s="1764" t="s">
        <v>2070</v>
      </c>
      <c r="C52" s="1765">
        <f t="shared" si="3"/>
        <v>9862780161</v>
      </c>
      <c r="D52" s="1765">
        <f t="shared" si="4"/>
        <v>9894872046</v>
      </c>
      <c r="E52" s="1790"/>
      <c r="I52" s="2056">
        <f t="shared" si="2"/>
        <v>98.948720460000004</v>
      </c>
      <c r="L52" s="1787" t="s">
        <v>2070</v>
      </c>
      <c r="M52" s="1787">
        <f>T_IS!H37</f>
        <v>66850876108</v>
      </c>
      <c r="N52" s="1787">
        <f>T_IS!X37</f>
        <v>67518331598</v>
      </c>
      <c r="O52" s="1788">
        <v>56988095947</v>
      </c>
      <c r="P52" s="1788">
        <v>57623459552</v>
      </c>
      <c r="Q52" s="1789"/>
    </row>
    <row r="53" spans="2:17" s="1751" customFormat="1" ht="14.45" customHeight="1">
      <c r="B53" s="1764" t="s">
        <v>2041</v>
      </c>
      <c r="C53" s="1765">
        <f t="shared" si="3"/>
        <v>-5021823569</v>
      </c>
      <c r="D53" s="1765">
        <f t="shared" si="4"/>
        <v>-5320368590</v>
      </c>
      <c r="E53" s="1792"/>
      <c r="I53" s="2056">
        <f t="shared" si="2"/>
        <v>-53.203685900000004</v>
      </c>
      <c r="L53" s="1787" t="s">
        <v>2041</v>
      </c>
      <c r="M53" s="1791">
        <f>M51-M52</f>
        <v>-9075056741</v>
      </c>
      <c r="N53" s="1791">
        <f>N51-N52</f>
        <v>-8027656171</v>
      </c>
      <c r="O53" s="1788">
        <v>-4053233172</v>
      </c>
      <c r="P53" s="1788">
        <v>-2707287581</v>
      </c>
      <c r="Q53" s="1793"/>
    </row>
    <row r="54" spans="2:17" s="1751" customFormat="1" ht="14.45" customHeight="1">
      <c r="B54" s="1764" t="s">
        <v>2071</v>
      </c>
      <c r="C54" s="1765">
        <f t="shared" si="3"/>
        <v>-9503950752</v>
      </c>
      <c r="D54" s="1765">
        <f t="shared" si="4"/>
        <v>-9835227830</v>
      </c>
      <c r="E54" s="1792"/>
      <c r="I54" s="2056">
        <f t="shared" si="2"/>
        <v>-98.352278299999995</v>
      </c>
      <c r="L54" s="1787" t="s">
        <v>2071</v>
      </c>
      <c r="M54" s="1791">
        <f>M55-M53</f>
        <v>38411296653</v>
      </c>
      <c r="N54" s="1791">
        <f>N55-N53</f>
        <v>37264153272</v>
      </c>
      <c r="O54" s="1788">
        <v>47915247405</v>
      </c>
      <c r="P54" s="1788">
        <v>47099381102</v>
      </c>
      <c r="Q54" s="1793"/>
    </row>
    <row r="55" spans="2:17" s="1751" customFormat="1" ht="14.45" customHeight="1" thickBot="1">
      <c r="B55" s="1777" t="s">
        <v>2042</v>
      </c>
      <c r="C55" s="1794">
        <f t="shared" si="3"/>
        <v>-14525774321</v>
      </c>
      <c r="D55" s="1794">
        <f t="shared" si="4"/>
        <v>-15155596420</v>
      </c>
      <c r="E55" s="1795"/>
      <c r="I55" s="2056">
        <f t="shared" si="2"/>
        <v>-151.55596420000001</v>
      </c>
      <c r="L55" s="1787" t="s">
        <v>2042</v>
      </c>
      <c r="M55" s="1787">
        <f>T_IS!H127</f>
        <v>29336239912</v>
      </c>
      <c r="N55" s="1787">
        <f>T_IS!X127</f>
        <v>29236497101</v>
      </c>
      <c r="O55" s="1788">
        <v>43862014233</v>
      </c>
      <c r="P55" s="1788">
        <v>44392093521</v>
      </c>
      <c r="Q55" s="1789"/>
    </row>
    <row r="56" spans="2:17" ht="14.25" thickTop="1"/>
    <row r="57" spans="2:17" ht="6.75" customHeight="1"/>
    <row r="58" spans="2:17">
      <c r="B58" s="1705" t="s">
        <v>2074</v>
      </c>
    </row>
    <row r="59" spans="2:17">
      <c r="B59" s="1751" t="s">
        <v>2075</v>
      </c>
    </row>
    <row r="60" spans="2:17">
      <c r="B60" s="1751" t="s">
        <v>2076</v>
      </c>
    </row>
    <row r="61" spans="2:17">
      <c r="B61" s="1751" t="s">
        <v>2077</v>
      </c>
      <c r="P61" s="2057"/>
    </row>
    <row r="62" spans="2:17">
      <c r="B62" s="1751" t="s">
        <v>2078</v>
      </c>
      <c r="P62" s="2057"/>
    </row>
    <row r="63" spans="2:17">
      <c r="P63" s="2057"/>
    </row>
    <row r="64" spans="2:17">
      <c r="P64" s="2057"/>
    </row>
    <row r="65" spans="16:16">
      <c r="P65" s="2057"/>
    </row>
    <row r="66" spans="16:16">
      <c r="P66" s="2057"/>
    </row>
    <row r="67" spans="16:16">
      <c r="P67" s="2057"/>
    </row>
  </sheetData>
  <mergeCells count="1">
    <mergeCell ref="B4:B5"/>
  </mergeCells>
  <phoneticPr fontId="22" type="noConversion"/>
  <pageMargins left="0.7" right="0.7" top="0.75" bottom="0.75" header="0.3" footer="0.3"/>
  <pageSetup paperSize="9" orientation="portrait" r:id="rId1"/>
  <ignoredErrors>
    <ignoredError sqref="M57:Q57 D40 M52:N55 Q52:Q55 M56:N56 Q56 M58:N58 Q58:Q62 M59:N6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0.79998168889431442"/>
  </sheetPr>
  <dimension ref="A1:AP311"/>
  <sheetViews>
    <sheetView showGridLines="0" tabSelected="1" zoomScale="80" zoomScaleNormal="80" workbookViewId="0">
      <pane xSplit="7" ySplit="5" topLeftCell="H6" activePane="bottomRight" state="frozen"/>
      <selection activeCell="I248" sqref="I248"/>
      <selection pane="topRight" activeCell="I248" sqref="I248"/>
      <selection pane="bottomLeft" activeCell="I248" sqref="I248"/>
      <selection pane="bottomRight" activeCell="J21" sqref="J21"/>
    </sheetView>
  </sheetViews>
  <sheetFormatPr defaultColWidth="8.75" defaultRowHeight="18" customHeight="1" outlineLevelCol="1"/>
  <cols>
    <col min="1" max="1" width="2.75" style="770" customWidth="1"/>
    <col min="2" max="3" width="2.75" style="1359" customWidth="1"/>
    <col min="4" max="4" width="20.125" style="836" customWidth="1"/>
    <col min="5" max="5" width="27.75" style="770" bestFit="1" customWidth="1"/>
    <col min="6" max="6" width="14.375" style="836" customWidth="1"/>
    <col min="7" max="7" width="36.625" style="770" customWidth="1"/>
    <col min="8" max="11" width="17.625" style="498" customWidth="1" outlineLevel="1"/>
    <col min="12" max="12" width="17.625" style="498" customWidth="1"/>
    <col min="13" max="13" width="2.25" style="1653" customWidth="1"/>
    <col min="14" max="21" width="18.25" style="498" hidden="1" customWidth="1" outlineLevel="1"/>
    <col min="22" max="22" width="18.25" style="498" customWidth="1" collapsed="1"/>
    <col min="23" max="23" width="2.125" style="1653" customWidth="1"/>
    <col min="24" max="24" width="18.25" style="498" customWidth="1"/>
    <col min="25" max="25" width="1.875" style="1653" customWidth="1"/>
    <col min="26" max="26" width="16.625" style="820" customWidth="1"/>
    <col min="27" max="27" width="1.875" style="1653" customWidth="1"/>
    <col min="28" max="39" width="16.625" style="820" customWidth="1"/>
    <col min="40" max="40" width="16.625" style="498" customWidth="1"/>
    <col min="41" max="41" width="13.125" style="770" bestFit="1" customWidth="1"/>
    <col min="42" max="42" width="15" style="770" bestFit="1" customWidth="1"/>
    <col min="43" max="16384" width="8.75" style="770"/>
  </cols>
  <sheetData>
    <row r="1" spans="1:42" ht="17.100000000000001" customHeight="1" thickBot="1">
      <c r="F1" s="770"/>
      <c r="H1" s="575"/>
      <c r="I1" s="575"/>
      <c r="J1" s="575"/>
      <c r="K1" s="575"/>
      <c r="L1" s="575"/>
      <c r="M1" s="575"/>
      <c r="N1" s="575"/>
      <c r="O1" s="575"/>
      <c r="P1" s="575"/>
      <c r="Q1" s="575"/>
      <c r="R1" s="575"/>
      <c r="S1" s="575"/>
      <c r="T1" s="575"/>
      <c r="U1" s="575"/>
      <c r="V1" s="575"/>
      <c r="W1" s="575"/>
      <c r="Z1" s="1688"/>
      <c r="AB1" s="1688"/>
      <c r="AC1" s="1688"/>
      <c r="AD1" s="1688"/>
      <c r="AE1" s="1688"/>
      <c r="AF1" s="1688"/>
      <c r="AG1" s="1688"/>
      <c r="AH1" s="1688"/>
      <c r="AI1" s="1688"/>
      <c r="AJ1" s="1688"/>
    </row>
    <row r="2" spans="1:42" s="1412" customFormat="1" ht="17.100000000000001" customHeight="1">
      <c r="B2" s="1362"/>
      <c r="C2" s="1362"/>
      <c r="D2" s="1603"/>
      <c r="E2" s="770"/>
      <c r="F2" s="770"/>
      <c r="G2" s="540"/>
      <c r="H2" s="1599"/>
      <c r="I2" s="1599"/>
      <c r="J2" s="1599"/>
      <c r="K2" s="1599"/>
      <c r="L2" s="1654"/>
      <c r="M2" s="1655"/>
      <c r="N2" s="1654"/>
      <c r="O2" s="1654"/>
      <c r="P2" s="1654"/>
      <c r="Q2" s="1654"/>
      <c r="R2" s="1654"/>
      <c r="S2" s="1654"/>
      <c r="T2" s="1656"/>
      <c r="U2" s="1654"/>
      <c r="V2" s="1654"/>
      <c r="W2" s="1655"/>
      <c r="X2" s="1604" t="s">
        <v>498</v>
      </c>
      <c r="Y2" s="1655"/>
      <c r="Z2" s="2103"/>
      <c r="AA2" s="1638"/>
      <c r="AB2" s="2103"/>
      <c r="AC2" s="1657"/>
      <c r="AD2" s="1657"/>
      <c r="AE2" s="1657"/>
      <c r="AF2" s="1657"/>
      <c r="AG2" s="1657"/>
      <c r="AH2" s="1657"/>
      <c r="AI2" s="1657"/>
      <c r="AJ2" s="1657"/>
      <c r="AK2" s="1657"/>
      <c r="AL2" s="1657"/>
      <c r="AM2" s="1657"/>
      <c r="AN2" s="540"/>
    </row>
    <row r="3" spans="1:42" s="1603" customFormat="1" ht="17.100000000000001" customHeight="1">
      <c r="B3" s="1574"/>
      <c r="C3" s="1574"/>
      <c r="E3" s="770"/>
      <c r="F3" s="770"/>
      <c r="G3" s="1796"/>
      <c r="H3" s="1599" t="s">
        <v>2925</v>
      </c>
      <c r="I3" s="1599" t="s">
        <v>2909</v>
      </c>
      <c r="J3" s="1599" t="s">
        <v>2878</v>
      </c>
      <c r="K3" s="1599" t="s">
        <v>2878</v>
      </c>
      <c r="L3" s="755"/>
      <c r="M3" s="1658"/>
      <c r="N3" s="755"/>
      <c r="O3" s="755"/>
      <c r="P3" s="755"/>
      <c r="Q3" s="755"/>
      <c r="R3" s="1659"/>
      <c r="S3" s="755"/>
      <c r="T3" s="755"/>
      <c r="U3" s="755"/>
      <c r="V3" s="755"/>
      <c r="W3" s="1658"/>
      <c r="X3" s="495" t="s">
        <v>2910</v>
      </c>
      <c r="Y3" s="1658"/>
      <c r="Z3" s="2104"/>
      <c r="AA3" s="2102"/>
      <c r="AB3" s="2104"/>
      <c r="AC3" s="1660"/>
      <c r="AD3" s="1660"/>
      <c r="AE3" s="1660"/>
      <c r="AF3" s="1660"/>
      <c r="AG3" s="1660"/>
      <c r="AH3" s="1660"/>
      <c r="AI3" s="1660"/>
      <c r="AJ3" s="1660"/>
      <c r="AK3" s="1660"/>
      <c r="AL3" s="1660"/>
      <c r="AM3" s="1660"/>
      <c r="AN3" s="495"/>
    </row>
    <row r="4" spans="1:42" s="1603" customFormat="1" ht="18" customHeight="1" thickBot="1">
      <c r="B4" s="1574"/>
      <c r="C4" s="1574"/>
      <c r="E4" s="770"/>
      <c r="F4" s="770"/>
      <c r="H4" s="755" t="str">
        <f>IF(H6-H257=0,"TRUE",H6-H257)</f>
        <v>TRUE</v>
      </c>
      <c r="I4" s="755" t="str">
        <f>IF(I6-I257=0,"TRUE",I6-I257)</f>
        <v>TRUE</v>
      </c>
      <c r="J4" s="755" t="str">
        <f>IF(J6-J257=0,"TRUE",J6-J257)</f>
        <v>TRUE</v>
      </c>
      <c r="K4" s="755" t="str">
        <f>IF(K6-K257=0,"TRUE",K6-K257)</f>
        <v>TRUE</v>
      </c>
      <c r="L4" s="755">
        <f>L6-L257</f>
        <v>0</v>
      </c>
      <c r="M4" s="1658"/>
      <c r="N4" s="755">
        <f t="shared" ref="N4:V4" si="0">N6-N257</f>
        <v>0</v>
      </c>
      <c r="O4" s="755">
        <f t="shared" si="0"/>
        <v>0</v>
      </c>
      <c r="P4" s="755">
        <f>P6-P257</f>
        <v>0</v>
      </c>
      <c r="Q4" s="755">
        <f t="shared" si="0"/>
        <v>0</v>
      </c>
      <c r="R4" s="755">
        <f t="shared" si="0"/>
        <v>0</v>
      </c>
      <c r="S4" s="755">
        <f t="shared" si="0"/>
        <v>0</v>
      </c>
      <c r="T4" s="755">
        <f>T6-T257</f>
        <v>0</v>
      </c>
      <c r="U4" s="755">
        <f t="shared" si="0"/>
        <v>0</v>
      </c>
      <c r="V4" s="755">
        <f t="shared" si="0"/>
        <v>0</v>
      </c>
      <c r="W4" s="1658"/>
      <c r="X4" s="495">
        <f>X6-X257</f>
        <v>0</v>
      </c>
      <c r="Y4" s="1658"/>
      <c r="Z4" s="495"/>
      <c r="AA4" s="1658"/>
      <c r="AB4" s="495">
        <f t="shared" ref="AB4" si="1">AB6-AB257</f>
        <v>0</v>
      </c>
      <c r="AC4" s="495">
        <f t="shared" ref="AC4:AD4" si="2">AC6-AC257</f>
        <v>0</v>
      </c>
      <c r="AD4" s="495">
        <f t="shared" si="2"/>
        <v>0</v>
      </c>
      <c r="AE4" s="495">
        <f t="shared" ref="AE4:AJ4" si="3">AE6-AE257</f>
        <v>0</v>
      </c>
      <c r="AF4" s="495">
        <f t="shared" si="3"/>
        <v>0</v>
      </c>
      <c r="AG4" s="495">
        <f t="shared" si="3"/>
        <v>0</v>
      </c>
      <c r="AH4" s="495">
        <f t="shared" si="3"/>
        <v>0</v>
      </c>
      <c r="AI4" s="495">
        <f t="shared" si="3"/>
        <v>0</v>
      </c>
      <c r="AJ4" s="495">
        <f t="shared" si="3"/>
        <v>0</v>
      </c>
      <c r="AK4" s="495">
        <f>AK6-AK257</f>
        <v>0</v>
      </c>
      <c r="AL4" s="495">
        <f>AL6-AL257</f>
        <v>0</v>
      </c>
      <c r="AM4" s="495">
        <f>AM6-AM257</f>
        <v>0</v>
      </c>
      <c r="AN4" s="495">
        <f>AN6-AN257</f>
        <v>0</v>
      </c>
    </row>
    <row r="5" spans="1:42" s="1661" customFormat="1" ht="30.95" customHeight="1">
      <c r="B5" s="1662"/>
      <c r="C5" s="1662"/>
      <c r="D5" s="1512" t="s">
        <v>16</v>
      </c>
      <c r="E5" s="1513" t="s">
        <v>1822</v>
      </c>
      <c r="F5" s="1513" t="s">
        <v>18</v>
      </c>
      <c r="G5" s="1513" t="s">
        <v>19</v>
      </c>
      <c r="H5" s="497" t="s">
        <v>15</v>
      </c>
      <c r="I5" s="497" t="s">
        <v>2079</v>
      </c>
      <c r="J5" s="497" t="s">
        <v>2586</v>
      </c>
      <c r="K5" s="497" t="s">
        <v>2584</v>
      </c>
      <c r="L5" s="517" t="s">
        <v>227</v>
      </c>
      <c r="M5" s="1663"/>
      <c r="N5" s="515" t="s">
        <v>391</v>
      </c>
      <c r="O5" s="516" t="s">
        <v>402</v>
      </c>
      <c r="P5" s="516" t="s">
        <v>403</v>
      </c>
      <c r="Q5" s="516" t="s">
        <v>409</v>
      </c>
      <c r="R5" s="516" t="s">
        <v>410</v>
      </c>
      <c r="S5" s="516" t="s">
        <v>487</v>
      </c>
      <c r="T5" s="516" t="s">
        <v>490</v>
      </c>
      <c r="U5" s="516" t="s">
        <v>491</v>
      </c>
      <c r="V5" s="517" t="s">
        <v>489</v>
      </c>
      <c r="W5" s="1663"/>
      <c r="X5" s="1604" t="s">
        <v>2889</v>
      </c>
      <c r="Y5" s="1663"/>
      <c r="Z5" s="1604" t="s">
        <v>2904</v>
      </c>
      <c r="AA5" s="1663"/>
      <c r="AB5" s="1605" t="s">
        <v>2912</v>
      </c>
      <c r="AC5" s="1605" t="s">
        <v>2899</v>
      </c>
      <c r="AD5" s="1605" t="s">
        <v>2886</v>
      </c>
      <c r="AE5" s="1605" t="s">
        <v>2830</v>
      </c>
      <c r="AF5" s="1605" t="s">
        <v>2827</v>
      </c>
      <c r="AG5" s="1605" t="s">
        <v>2812</v>
      </c>
      <c r="AH5" s="1605" t="s">
        <v>2574</v>
      </c>
      <c r="AI5" s="1605" t="s">
        <v>2406</v>
      </c>
      <c r="AJ5" s="1605" t="s">
        <v>2325</v>
      </c>
      <c r="AK5" s="1605" t="s">
        <v>2320</v>
      </c>
      <c r="AL5" s="1605" t="s">
        <v>2296</v>
      </c>
      <c r="AM5" s="517" t="s">
        <v>2205</v>
      </c>
      <c r="AN5" s="517" t="s">
        <v>2592</v>
      </c>
    </row>
    <row r="6" spans="1:42" ht="18" customHeight="1">
      <c r="A6" s="498"/>
      <c r="D6" s="1578"/>
      <c r="E6" s="1579"/>
      <c r="F6" s="1580"/>
      <c r="G6" s="1579" t="s">
        <v>0</v>
      </c>
      <c r="H6" s="1664">
        <f>SUM(H7,H74)</f>
        <v>273496102034</v>
      </c>
      <c r="I6" s="500">
        <f>SUM(I7,I74)</f>
        <v>1076990862</v>
      </c>
      <c r="J6" s="500">
        <f>SUM(J7,J74)</f>
        <v>337517275</v>
      </c>
      <c r="K6" s="500">
        <f>SUM(K7,K74)</f>
        <v>7378594887</v>
      </c>
      <c r="L6" s="501">
        <f>SUM(L7,L74)</f>
        <v>282289205058</v>
      </c>
      <c r="N6" s="1665">
        <f t="shared" ref="N6:V6" si="4">SUM(N7,N74)</f>
        <v>19842800</v>
      </c>
      <c r="O6" s="500">
        <f t="shared" si="4"/>
        <v>0</v>
      </c>
      <c r="P6" s="500">
        <f t="shared" si="4"/>
        <v>-34015833</v>
      </c>
      <c r="Q6" s="500">
        <f t="shared" si="4"/>
        <v>-26099026</v>
      </c>
      <c r="R6" s="500">
        <f t="shared" si="4"/>
        <v>1787221215</v>
      </c>
      <c r="S6" s="500">
        <f t="shared" si="4"/>
        <v>-1532524639</v>
      </c>
      <c r="T6" s="500">
        <f t="shared" si="4"/>
        <v>-182737552</v>
      </c>
      <c r="U6" s="500">
        <f t="shared" si="4"/>
        <v>-7410958471</v>
      </c>
      <c r="V6" s="501">
        <f t="shared" si="4"/>
        <v>-7379271506</v>
      </c>
      <c r="X6" s="1666">
        <f>SUM(X7,X74)</f>
        <v>274909933552</v>
      </c>
      <c r="Z6" s="1666">
        <f>SUM(Z7,Z74)</f>
        <v>17655276375</v>
      </c>
      <c r="AB6" s="1666">
        <v>257942062953</v>
      </c>
      <c r="AC6" s="1666">
        <v>273580395770</v>
      </c>
      <c r="AD6" s="1666">
        <v>264821711447</v>
      </c>
      <c r="AE6" s="1666">
        <v>260522455553</v>
      </c>
      <c r="AF6" s="1666">
        <v>263664328406</v>
      </c>
      <c r="AG6" s="1666">
        <v>260602005740</v>
      </c>
      <c r="AH6" s="1666">
        <v>277445840316</v>
      </c>
      <c r="AI6" s="1666">
        <v>254904569179</v>
      </c>
      <c r="AJ6" s="1666">
        <v>244862741802</v>
      </c>
      <c r="AK6" s="1666">
        <v>254444269644</v>
      </c>
      <c r="AL6" s="1666">
        <v>258676373389</v>
      </c>
      <c r="AM6" s="1666">
        <f>SUM(AM7,AM74)</f>
        <v>176086631208</v>
      </c>
      <c r="AN6" s="1666">
        <v>172443439357</v>
      </c>
      <c r="AP6" s="498"/>
    </row>
    <row r="7" spans="1:42" ht="18" customHeight="1">
      <c r="A7" s="498"/>
      <c r="D7" s="1583"/>
      <c r="E7" s="1584"/>
      <c r="F7" s="1585"/>
      <c r="G7" s="1584" t="s">
        <v>2442</v>
      </c>
      <c r="H7" s="1619">
        <f>SUM(H8,H13,H15,H42,H52,H38,H57,)</f>
        <v>208558243581</v>
      </c>
      <c r="I7" s="503">
        <f>SUM(I8,I13,I15,I42,I52,I38,I57,)</f>
        <v>927089514</v>
      </c>
      <c r="J7" s="503">
        <f>SUM(J8,J13,J15,J42,J52,J38,J57,)</f>
        <v>277653650</v>
      </c>
      <c r="K7" s="503">
        <f>SUM(K8,K13,K15,K42,K52,K38,K57,)</f>
        <v>6477442302</v>
      </c>
      <c r="L7" s="504">
        <f>SUM(L8,L13,L15,L42,L52,L38,L57,)</f>
        <v>216240429047</v>
      </c>
      <c r="N7" s="1623">
        <f t="shared" ref="N7:V7" si="5">SUM(N8,N13,N15,N42,N52,N38,N57,)</f>
        <v>0</v>
      </c>
      <c r="O7" s="503">
        <f t="shared" si="5"/>
        <v>0</v>
      </c>
      <c r="P7" s="503">
        <f t="shared" si="5"/>
        <v>-34015833</v>
      </c>
      <c r="Q7" s="503">
        <f t="shared" si="5"/>
        <v>-26099026</v>
      </c>
      <c r="R7" s="503">
        <f t="shared" si="5"/>
        <v>0</v>
      </c>
      <c r="S7" s="503">
        <f t="shared" si="5"/>
        <v>-1512524639</v>
      </c>
      <c r="T7" s="503">
        <f t="shared" si="5"/>
        <v>0</v>
      </c>
      <c r="U7" s="503">
        <f t="shared" si="5"/>
        <v>0</v>
      </c>
      <c r="V7" s="504">
        <f t="shared" si="5"/>
        <v>-1572639498</v>
      </c>
      <c r="X7" s="1622">
        <f>SUM(X8,X13,X15,X42,X52,X38,X57,)</f>
        <v>214667789549</v>
      </c>
      <c r="Z7" s="1622">
        <f>SUM(Z8,Z13,Z15,Z42,Z52,Z38,Z57,)</f>
        <v>15587590753</v>
      </c>
      <c r="AB7" s="1622">
        <v>203845784643</v>
      </c>
      <c r="AC7" s="1622">
        <v>219012054269</v>
      </c>
      <c r="AD7" s="1622">
        <v>211393851400</v>
      </c>
      <c r="AE7" s="1622">
        <v>206478778695</v>
      </c>
      <c r="AF7" s="1622">
        <v>209259007717</v>
      </c>
      <c r="AG7" s="1622">
        <v>205803071415</v>
      </c>
      <c r="AH7" s="1622">
        <v>223766591125</v>
      </c>
      <c r="AI7" s="1622">
        <v>199080198796</v>
      </c>
      <c r="AJ7" s="1622">
        <v>200234791634</v>
      </c>
      <c r="AK7" s="1622">
        <f>SUM(AK8,AK13,AK15,AK42,AK52,AK38,AK57,)</f>
        <v>209735587488</v>
      </c>
      <c r="AL7" s="1622">
        <f>SUM(AL8,AL13,AL15,AL42,AL52,AL38,AL57,)</f>
        <v>213660300818</v>
      </c>
      <c r="AM7" s="1622">
        <f>SUM(AM8,AM13,AM15,AM42,AM52,AM38,AM57,)</f>
        <v>151822156274</v>
      </c>
      <c r="AN7" s="1622">
        <v>146277936324</v>
      </c>
      <c r="AP7" s="498"/>
    </row>
    <row r="8" spans="1:42" ht="18" customHeight="1">
      <c r="A8" s="498"/>
      <c r="D8" s="1588"/>
      <c r="E8" s="1589"/>
      <c r="F8" s="1590"/>
      <c r="G8" s="1589" t="s">
        <v>1</v>
      </c>
      <c r="H8" s="520">
        <f>SUM(H9:H12)</f>
        <v>140099571337</v>
      </c>
      <c r="I8" s="506">
        <f>SUM(I9:I12)</f>
        <v>774620684</v>
      </c>
      <c r="J8" s="506">
        <f>SUM(J9:J12)</f>
        <v>226676089</v>
      </c>
      <c r="K8" s="506">
        <f>SUM(K9:K12)</f>
        <v>3991322331</v>
      </c>
      <c r="L8" s="507">
        <f>SUM(L9:L12)</f>
        <v>145092190441</v>
      </c>
      <c r="N8" s="1631">
        <f t="shared" ref="N8:V8" si="6">SUM(N9:N12)</f>
        <v>0</v>
      </c>
      <c r="O8" s="506">
        <f t="shared" si="6"/>
        <v>0</v>
      </c>
      <c r="P8" s="506">
        <f t="shared" si="6"/>
        <v>0</v>
      </c>
      <c r="Q8" s="506">
        <f t="shared" si="6"/>
        <v>0</v>
      </c>
      <c r="R8" s="506">
        <f t="shared" si="6"/>
        <v>0</v>
      </c>
      <c r="S8" s="506">
        <f t="shared" si="6"/>
        <v>0</v>
      </c>
      <c r="T8" s="506">
        <f t="shared" si="6"/>
        <v>0</v>
      </c>
      <c r="U8" s="506">
        <f t="shared" si="6"/>
        <v>0</v>
      </c>
      <c r="V8" s="507">
        <f t="shared" si="6"/>
        <v>0</v>
      </c>
      <c r="X8" s="1630">
        <f>SUM(X9:X12)</f>
        <v>145092190441</v>
      </c>
      <c r="Z8" s="1630">
        <f>SUM(Z9:Z12)</f>
        <v>13073545921</v>
      </c>
      <c r="AB8" s="1630">
        <v>129003770761</v>
      </c>
      <c r="AC8" s="1630">
        <v>150101047291</v>
      </c>
      <c r="AD8" s="1630">
        <v>139848960296</v>
      </c>
      <c r="AE8" s="1630">
        <v>134068227198</v>
      </c>
      <c r="AF8" s="1630">
        <v>129867098133</v>
      </c>
      <c r="AG8" s="1630">
        <v>139573512274</v>
      </c>
      <c r="AH8" s="1630">
        <v>129735483757</v>
      </c>
      <c r="AI8" s="1630">
        <v>132018644520</v>
      </c>
      <c r="AJ8" s="1630">
        <v>132537981967</v>
      </c>
      <c r="AK8" s="1630">
        <v>142919132651</v>
      </c>
      <c r="AL8" s="1630">
        <v>157709399441</v>
      </c>
      <c r="AM8" s="1630">
        <f>SUM(AM9:AM12)</f>
        <v>75910156432</v>
      </c>
      <c r="AN8" s="1630">
        <v>97271207132</v>
      </c>
      <c r="AP8" s="498"/>
    </row>
    <row r="9" spans="1:42" s="1668" customFormat="1" ht="18" customHeight="1">
      <c r="A9" s="498"/>
      <c r="B9" s="1547"/>
      <c r="C9" s="1547"/>
      <c r="D9" s="1593" t="s">
        <v>1341</v>
      </c>
      <c r="E9" s="1547" t="s">
        <v>1</v>
      </c>
      <c r="F9" s="1625">
        <v>1101</v>
      </c>
      <c r="G9" s="1547" t="s">
        <v>1343</v>
      </c>
      <c r="H9" s="498">
        <v>0</v>
      </c>
      <c r="I9" s="498">
        <v>0</v>
      </c>
      <c r="J9" s="710">
        <v>0</v>
      </c>
      <c r="K9" s="710">
        <v>0</v>
      </c>
      <c r="L9" s="510">
        <f>SUM(H9:K9)</f>
        <v>0</v>
      </c>
      <c r="M9" s="1653"/>
      <c r="N9" s="1667">
        <f>SUMIF('1.0'!$D:$D,T_BS!D9,'1.0'!$V:$V)</f>
        <v>0</v>
      </c>
      <c r="O9" s="710">
        <f>SUMIF('2.0'!$D:$D,T_BS!D9,'2.0'!$V:$V)</f>
        <v>0</v>
      </c>
      <c r="P9" s="509">
        <f>ROUND(SUMIF('3.0'!$D:$D,T_BS!D9,'3.0'!$H:$H),0)</f>
        <v>0</v>
      </c>
      <c r="Q9" s="720">
        <f>ROUND(SUMIF('4.0'!$D:$D,T_BS!D9,'4.0'!$V:$V),0)</f>
        <v>0</v>
      </c>
      <c r="R9" s="509">
        <f>ROUND(SUMIF('5.0'!$D:$D,T_BS!D9,'5.0'!$V:$V),0)</f>
        <v>0</v>
      </c>
      <c r="S9" s="720">
        <f>ROUND(SUMIF('6.0'!$D:$D,T_BS!D9,'6.0'!$V:$V),0)</f>
        <v>0</v>
      </c>
      <c r="T9" s="720">
        <f>ROUND(SUMIF('7.0'!$D:$D,T_BS!D9,'7.0'!$V:$V),0)</f>
        <v>0</v>
      </c>
      <c r="U9" s="720">
        <f>ROUND(SUMIF('8.0'!$D:$D,T_BS!D9,'8.0'!$H:$H),0)</f>
        <v>0</v>
      </c>
      <c r="V9" s="510">
        <f>SUM(N9:U9)</f>
        <v>0</v>
      </c>
      <c r="W9" s="1653"/>
      <c r="X9" s="1641">
        <f>V9+L9</f>
        <v>0</v>
      </c>
      <c r="Y9" s="1653"/>
      <c r="Z9" s="1616">
        <f>X9-AI9</f>
        <v>0</v>
      </c>
      <c r="AA9" s="1653"/>
      <c r="AB9" s="1616">
        <v>0</v>
      </c>
      <c r="AC9" s="1616">
        <v>0</v>
      </c>
      <c r="AD9" s="1616">
        <v>0</v>
      </c>
      <c r="AE9" s="1616">
        <v>0</v>
      </c>
      <c r="AF9" s="1616">
        <v>0</v>
      </c>
      <c r="AG9" s="1616">
        <v>0</v>
      </c>
      <c r="AH9" s="1616">
        <v>0</v>
      </c>
      <c r="AI9" s="1616">
        <v>0</v>
      </c>
      <c r="AJ9" s="1616">
        <v>0</v>
      </c>
      <c r="AK9" s="1616">
        <v>0</v>
      </c>
      <c r="AL9" s="1616">
        <v>0</v>
      </c>
      <c r="AM9" s="1616">
        <v>0</v>
      </c>
      <c r="AN9" s="1616">
        <v>0</v>
      </c>
      <c r="AP9" s="498"/>
    </row>
    <row r="10" spans="1:42" s="1668" customFormat="1" ht="18" customHeight="1">
      <c r="A10" s="498"/>
      <c r="B10" s="1547"/>
      <c r="C10" s="1547"/>
      <c r="D10" s="1593" t="s">
        <v>1344</v>
      </c>
      <c r="E10" s="1547" t="s">
        <v>1</v>
      </c>
      <c r="F10" s="1625">
        <v>1101</v>
      </c>
      <c r="G10" s="1547" t="s">
        <v>1342</v>
      </c>
      <c r="H10" s="498">
        <v>0</v>
      </c>
      <c r="I10" s="498">
        <v>0</v>
      </c>
      <c r="J10" s="710">
        <v>0</v>
      </c>
      <c r="K10" s="710">
        <v>0</v>
      </c>
      <c r="L10" s="510">
        <f>SUM(H10:K10)</f>
        <v>0</v>
      </c>
      <c r="M10" s="1653"/>
      <c r="N10" s="1667">
        <f>SUMIF('1.0'!$D:$D,T_BS!D10,'1.0'!$V:$V)</f>
        <v>0</v>
      </c>
      <c r="O10" s="710">
        <f>SUMIF('2.0'!$D:$D,T_BS!D10,'2.0'!$V:$V)</f>
        <v>0</v>
      </c>
      <c r="P10" s="720">
        <f>ROUND(SUMIF('3.0'!$D:$D,T_BS!D10,'3.0'!$H:$H),0)</f>
        <v>0</v>
      </c>
      <c r="Q10" s="720">
        <f>ROUND(SUMIF('4.0'!$D:$D,T_BS!D10,'4.0'!$V:$V),0)</f>
        <v>0</v>
      </c>
      <c r="R10" s="509">
        <f>ROUND(SUMIF('5.0'!$D:$D,T_BS!D10,'5.0'!$V:$V),0)</f>
        <v>0</v>
      </c>
      <c r="S10" s="720">
        <f>ROUND(SUMIF('6.0'!$D:$D,T_BS!D10,'6.0'!$V:$V),0)</f>
        <v>0</v>
      </c>
      <c r="T10" s="720">
        <f>ROUND(SUMIF('7.0'!$D:$D,T_BS!D10,'7.0'!$V:$V),0)</f>
        <v>0</v>
      </c>
      <c r="U10" s="720">
        <f>ROUND(SUMIF('8.0'!$D:$D,T_BS!D10,'8.0'!$H:$H),0)</f>
        <v>0</v>
      </c>
      <c r="V10" s="510">
        <f>SUM(N10:U10)</f>
        <v>0</v>
      </c>
      <c r="W10" s="1653"/>
      <c r="X10" s="1641">
        <f>V10+L10</f>
        <v>0</v>
      </c>
      <c r="Y10" s="1653"/>
      <c r="Z10" s="1616">
        <f>X10-AI10</f>
        <v>0</v>
      </c>
      <c r="AA10" s="1653"/>
      <c r="AB10" s="1616">
        <v>0</v>
      </c>
      <c r="AC10" s="1616">
        <v>0</v>
      </c>
      <c r="AD10" s="1616">
        <v>0</v>
      </c>
      <c r="AE10" s="1616">
        <v>0</v>
      </c>
      <c r="AF10" s="1616">
        <v>0</v>
      </c>
      <c r="AG10" s="1616">
        <v>0</v>
      </c>
      <c r="AH10" s="1616">
        <v>0</v>
      </c>
      <c r="AI10" s="1616">
        <v>0</v>
      </c>
      <c r="AJ10" s="1616">
        <v>0</v>
      </c>
      <c r="AK10" s="1616">
        <v>0</v>
      </c>
      <c r="AL10" s="1616">
        <v>0</v>
      </c>
      <c r="AM10" s="1616">
        <v>0</v>
      </c>
      <c r="AN10" s="1616">
        <v>0</v>
      </c>
      <c r="AP10" s="498"/>
    </row>
    <row r="11" spans="1:42" ht="18" customHeight="1">
      <c r="A11" s="498"/>
      <c r="D11" s="1593">
        <v>111151</v>
      </c>
      <c r="E11" s="1359" t="s">
        <v>1</v>
      </c>
      <c r="F11" s="1361">
        <v>1102</v>
      </c>
      <c r="G11" s="1359" t="s">
        <v>21</v>
      </c>
      <c r="H11" s="498">
        <v>124080632651</v>
      </c>
      <c r="I11" s="498">
        <v>774620684</v>
      </c>
      <c r="J11" s="710">
        <v>226676089</v>
      </c>
      <c r="K11" s="710">
        <v>3991322331</v>
      </c>
      <c r="L11" s="510">
        <f>SUM(H11:K11)</f>
        <v>129073251755</v>
      </c>
      <c r="N11" s="1667">
        <f>SUMIF('1.0'!$D:$D,T_BS!D11,'1.0'!$V:$V)</f>
        <v>0</v>
      </c>
      <c r="O11" s="710">
        <f>SUMIF('2.0'!$D:$D,T_BS!D11,'2.0'!$V:$V)</f>
        <v>0</v>
      </c>
      <c r="P11" s="720">
        <f>ROUND(SUMIF('3.0'!$D:$D,T_BS!D11,'3.0'!$H:$H),0)</f>
        <v>0</v>
      </c>
      <c r="Q11" s="720">
        <f>ROUND(SUMIF('4.0'!$D:$D,T_BS!D11,'4.0'!$V:$V),0)</f>
        <v>0</v>
      </c>
      <c r="R11" s="509">
        <f>ROUND(SUMIF('5.0'!$D:$D,T_BS!D11,'5.0'!$V:$V),0)</f>
        <v>0</v>
      </c>
      <c r="S11" s="720">
        <f>ROUND(SUMIF('6.0'!$D:$D,T_BS!D11,'6.0'!$V:$V),0)</f>
        <v>0</v>
      </c>
      <c r="T11" s="720">
        <f>ROUND(SUMIF('7.0'!$D:$D,T_BS!D11,'7.0'!$V:$V),0)</f>
        <v>0</v>
      </c>
      <c r="U11" s="720">
        <f>ROUND(SUMIF('8.0'!$D:$D,T_BS!D11,'8.0'!$H:$H),0)</f>
        <v>0</v>
      </c>
      <c r="V11" s="510">
        <f>SUM(N11:U11)</f>
        <v>0</v>
      </c>
      <c r="X11" s="1641">
        <f>V11+L11</f>
        <v>129073251755</v>
      </c>
      <c r="Z11" s="1616">
        <f>X11-AI11</f>
        <v>24494705607</v>
      </c>
      <c r="AB11" s="1616">
        <v>112591060704</v>
      </c>
      <c r="AC11" s="1616">
        <v>133990764943</v>
      </c>
      <c r="AD11" s="1616">
        <v>126232989910</v>
      </c>
      <c r="AE11" s="1616">
        <v>121444425941</v>
      </c>
      <c r="AF11" s="1616">
        <v>117227292949</v>
      </c>
      <c r="AG11" s="1616">
        <v>125279443179</v>
      </c>
      <c r="AH11" s="1616">
        <v>113666852841</v>
      </c>
      <c r="AI11" s="1616">
        <v>104578546148</v>
      </c>
      <c r="AJ11" s="1616">
        <v>108972161873</v>
      </c>
      <c r="AK11" s="1616">
        <v>109523854456</v>
      </c>
      <c r="AL11" s="1616">
        <v>118549907799</v>
      </c>
      <c r="AM11" s="1616">
        <v>39161434440</v>
      </c>
      <c r="AN11" s="1616">
        <v>63484872299</v>
      </c>
      <c r="AP11" s="498"/>
    </row>
    <row r="12" spans="1:42" ht="18" customHeight="1">
      <c r="A12" s="498"/>
      <c r="D12" s="1593">
        <v>111171</v>
      </c>
      <c r="E12" s="1359" t="s">
        <v>1</v>
      </c>
      <c r="F12" s="1361">
        <v>1102</v>
      </c>
      <c r="G12" s="1359" t="s">
        <v>22</v>
      </c>
      <c r="H12" s="498">
        <v>16018938686</v>
      </c>
      <c r="I12" s="498">
        <v>0</v>
      </c>
      <c r="J12" s="710">
        <v>0</v>
      </c>
      <c r="K12" s="710">
        <v>0</v>
      </c>
      <c r="L12" s="510">
        <f>SUM(H12:K12)</f>
        <v>16018938686</v>
      </c>
      <c r="N12" s="1667">
        <f>SUMIF('1.0'!$D:$D,T_BS!D12,'1.0'!$V:$V)</f>
        <v>0</v>
      </c>
      <c r="O12" s="710">
        <f>SUMIF('2.0'!$D:$D,T_BS!D12,'2.0'!$V:$V)</f>
        <v>0</v>
      </c>
      <c r="P12" s="509">
        <f>ROUND(SUMIF('3.0'!$D:$D,T_BS!D12,'3.0'!$H:$H),0)</f>
        <v>0</v>
      </c>
      <c r="Q12" s="720">
        <f>ROUND(SUMIF('4.0'!$D:$D,T_BS!D12,'4.0'!$V:$V),0)</f>
        <v>0</v>
      </c>
      <c r="R12" s="509">
        <f>ROUND(SUMIF('5.0'!$D:$D,T_BS!D12,'5.0'!$V:$V),0)</f>
        <v>0</v>
      </c>
      <c r="S12" s="720">
        <f>ROUND(SUMIF('6.0'!$D:$D,T_BS!D12,'6.0'!$V:$V),0)</f>
        <v>0</v>
      </c>
      <c r="T12" s="720">
        <f>ROUND(SUMIF('7.0'!$D:$D,T_BS!D12,'7.0'!$V:$V),0)</f>
        <v>0</v>
      </c>
      <c r="U12" s="720">
        <f>ROUND(SUMIF('8.0'!$D:$D,T_BS!D12,'8.0'!$H:$H),0)</f>
        <v>0</v>
      </c>
      <c r="V12" s="510">
        <f>SUM(N12:U12)</f>
        <v>0</v>
      </c>
      <c r="X12" s="1641">
        <f>V12+L12</f>
        <v>16018938686</v>
      </c>
      <c r="Z12" s="1616">
        <f>X12-AI12</f>
        <v>-11421159686</v>
      </c>
      <c r="AB12" s="1616">
        <v>16412710057</v>
      </c>
      <c r="AC12" s="1616">
        <v>16110282348</v>
      </c>
      <c r="AD12" s="1616">
        <v>13615970386</v>
      </c>
      <c r="AE12" s="1616">
        <v>12623801257</v>
      </c>
      <c r="AF12" s="1616">
        <v>12639805184</v>
      </c>
      <c r="AG12" s="1616">
        <v>14294069095</v>
      </c>
      <c r="AH12" s="1616">
        <v>16068630916</v>
      </c>
      <c r="AI12" s="1616">
        <v>27440098372</v>
      </c>
      <c r="AJ12" s="1616">
        <v>23565820094</v>
      </c>
      <c r="AK12" s="1616">
        <v>33395278195</v>
      </c>
      <c r="AL12" s="1616">
        <v>39159491642</v>
      </c>
      <c r="AM12" s="1616">
        <v>36748721992</v>
      </c>
      <c r="AN12" s="1616">
        <v>33786334833</v>
      </c>
      <c r="AP12" s="498"/>
    </row>
    <row r="13" spans="1:42" ht="18" customHeight="1">
      <c r="A13" s="498"/>
      <c r="D13" s="1669"/>
      <c r="E13" s="1589"/>
      <c r="F13" s="1590"/>
      <c r="G13" s="1591" t="s">
        <v>2391</v>
      </c>
      <c r="H13" s="520">
        <v>0</v>
      </c>
      <c r="I13" s="506">
        <v>0</v>
      </c>
      <c r="J13" s="506">
        <v>0</v>
      </c>
      <c r="K13" s="506">
        <f>K14</f>
        <v>0</v>
      </c>
      <c r="L13" s="507">
        <f>SUM(L14)</f>
        <v>0</v>
      </c>
      <c r="N13" s="1631">
        <f t="shared" ref="N13:V13" si="7">SUM(N14)</f>
        <v>0</v>
      </c>
      <c r="O13" s="506">
        <f t="shared" si="7"/>
        <v>0</v>
      </c>
      <c r="P13" s="506">
        <f t="shared" si="7"/>
        <v>0</v>
      </c>
      <c r="Q13" s="506">
        <f t="shared" si="7"/>
        <v>0</v>
      </c>
      <c r="R13" s="506">
        <f t="shared" si="7"/>
        <v>0</v>
      </c>
      <c r="S13" s="506">
        <f t="shared" si="7"/>
        <v>0</v>
      </c>
      <c r="T13" s="506">
        <f t="shared" si="7"/>
        <v>0</v>
      </c>
      <c r="U13" s="506">
        <f t="shared" si="7"/>
        <v>0</v>
      </c>
      <c r="V13" s="507">
        <f t="shared" si="7"/>
        <v>0</v>
      </c>
      <c r="X13" s="1630">
        <f>SUM(X14)</f>
        <v>0</v>
      </c>
      <c r="Z13" s="1630">
        <f>SUM(Z14)</f>
        <v>-309072000</v>
      </c>
      <c r="AB13" s="1630">
        <v>0</v>
      </c>
      <c r="AC13" s="1630">
        <v>0</v>
      </c>
      <c r="AD13" s="1630">
        <v>0</v>
      </c>
      <c r="AE13" s="1630">
        <v>0</v>
      </c>
      <c r="AF13" s="1630">
        <v>0</v>
      </c>
      <c r="AG13" s="1630">
        <v>0</v>
      </c>
      <c r="AH13" s="1630">
        <v>297822000</v>
      </c>
      <c r="AI13" s="1630">
        <v>309072000</v>
      </c>
      <c r="AJ13" s="1630">
        <v>0</v>
      </c>
      <c r="AK13" s="1630">
        <f>SUM(AK14)</f>
        <v>0</v>
      </c>
      <c r="AL13" s="1630">
        <f>SUM(AL14)</f>
        <v>0</v>
      </c>
      <c r="AM13" s="1630">
        <f>SUM(AM14)</f>
        <v>0</v>
      </c>
      <c r="AN13" s="1630">
        <v>0</v>
      </c>
      <c r="AP13" s="498"/>
    </row>
    <row r="14" spans="1:42" s="1653" customFormat="1" ht="18" customHeight="1">
      <c r="A14" s="575"/>
      <c r="B14" s="1086"/>
      <c r="C14" s="1086"/>
      <c r="D14" s="1670">
        <v>111391</v>
      </c>
      <c r="E14" s="1086" t="s">
        <v>2391</v>
      </c>
      <c r="F14" s="1671">
        <v>1501</v>
      </c>
      <c r="G14" s="1086" t="s">
        <v>2392</v>
      </c>
      <c r="H14" s="498">
        <v>0</v>
      </c>
      <c r="I14" s="498">
        <v>0</v>
      </c>
      <c r="J14" s="710">
        <v>0</v>
      </c>
      <c r="K14" s="710">
        <v>0</v>
      </c>
      <c r="L14" s="1640">
        <f>SUM(H14:K14)</f>
        <v>0</v>
      </c>
      <c r="N14" s="1636">
        <f>SUMIF('1.0'!$D:$D,T_BS!D14,'1.0'!$V:$V)</f>
        <v>0</v>
      </c>
      <c r="O14" s="925">
        <f>SUMIF('2.0'!$D:$D,T_BS!D14,'2.0'!$V:$V)</f>
        <v>0</v>
      </c>
      <c r="P14" s="925">
        <f>ROUND(SUMIF('3.0'!$D:$D,T_BS!D14,'3.0'!$H:$H),0)</f>
        <v>0</v>
      </c>
      <c r="Q14" s="1115">
        <f>ROUND(SUMIF('4.0'!$D:$D,T_BS!D14,'4.0'!$V:$V),0)</f>
        <v>0</v>
      </c>
      <c r="R14" s="925">
        <f>ROUND(SUMIF('5.0'!$D:$D,T_BS!D14,'5.0'!$V:$V),0)</f>
        <v>0</v>
      </c>
      <c r="S14" s="1115">
        <f>ROUND(SUMIF('6.0'!$D:$D,T_BS!D14,'6.0'!$V:$V),0)</f>
        <v>0</v>
      </c>
      <c r="T14" s="1115">
        <f>ROUND(SUMIF('7.0'!$D:$D,T_BS!D14,'7.0'!$V:$V),0)</f>
        <v>0</v>
      </c>
      <c r="U14" s="1115">
        <f>ROUND(SUMIF('8.0'!$D:$D,T_BS!D14,'8.0'!$H:$H),0)</f>
        <v>0</v>
      </c>
      <c r="V14" s="1640">
        <f>SUM(N14:U14)</f>
        <v>0</v>
      </c>
      <c r="X14" s="1641">
        <f>V14+L14</f>
        <v>0</v>
      </c>
      <c r="Z14" s="1616">
        <f>X14-AI14</f>
        <v>-309072000</v>
      </c>
      <c r="AB14" s="1641">
        <v>0</v>
      </c>
      <c r="AC14" s="1641">
        <v>0</v>
      </c>
      <c r="AD14" s="1641">
        <v>0</v>
      </c>
      <c r="AE14" s="1641">
        <v>0</v>
      </c>
      <c r="AF14" s="1641">
        <v>0</v>
      </c>
      <c r="AG14" s="1641">
        <v>0</v>
      </c>
      <c r="AH14" s="1641">
        <v>297822000</v>
      </c>
      <c r="AI14" s="1641">
        <v>309072000</v>
      </c>
      <c r="AJ14" s="1641">
        <v>0</v>
      </c>
      <c r="AK14" s="1641">
        <v>0</v>
      </c>
      <c r="AL14" s="1641">
        <v>0</v>
      </c>
      <c r="AM14" s="1641">
        <v>0</v>
      </c>
      <c r="AN14" s="1641">
        <v>0</v>
      </c>
      <c r="AP14" s="498"/>
    </row>
    <row r="15" spans="1:42" ht="18" customHeight="1">
      <c r="A15" s="498"/>
      <c r="D15" s="1588"/>
      <c r="E15" s="1589"/>
      <c r="F15" s="1590"/>
      <c r="G15" s="1589" t="s">
        <v>23</v>
      </c>
      <c r="H15" s="520">
        <f>SUM(H16:H37)</f>
        <v>49314972850</v>
      </c>
      <c r="I15" s="506">
        <f>SUM(I16:I37)</f>
        <v>150482351</v>
      </c>
      <c r="J15" s="506">
        <f>SUM(J16:J37)</f>
        <v>32280829</v>
      </c>
      <c r="K15" s="506">
        <f>SUM(K16:K37)</f>
        <v>594781613</v>
      </c>
      <c r="L15" s="507">
        <f>SUM(L16:L37)</f>
        <v>50092517643</v>
      </c>
      <c r="N15" s="1631">
        <f t="shared" ref="N15:V15" si="8">SUM(N16:N37)</f>
        <v>0</v>
      </c>
      <c r="O15" s="506">
        <f t="shared" si="8"/>
        <v>0</v>
      </c>
      <c r="P15" s="506">
        <f t="shared" si="8"/>
        <v>-31682500</v>
      </c>
      <c r="Q15" s="506">
        <f t="shared" si="8"/>
        <v>0</v>
      </c>
      <c r="R15" s="506">
        <f t="shared" si="8"/>
        <v>0</v>
      </c>
      <c r="S15" s="506">
        <f t="shared" si="8"/>
        <v>0</v>
      </c>
      <c r="T15" s="506">
        <f t="shared" si="8"/>
        <v>0</v>
      </c>
      <c r="U15" s="506">
        <f t="shared" si="8"/>
        <v>0</v>
      </c>
      <c r="V15" s="507">
        <f t="shared" si="8"/>
        <v>-31682500</v>
      </c>
      <c r="X15" s="1630">
        <f>SUM(X16:X37)</f>
        <v>50060835143</v>
      </c>
      <c r="Z15" s="1630">
        <f>SUM(Z16:Z37)</f>
        <v>6226107764</v>
      </c>
      <c r="AB15" s="1630">
        <v>52240590144</v>
      </c>
      <c r="AC15" s="1630">
        <v>46943734719</v>
      </c>
      <c r="AD15" s="1630">
        <v>50429557946</v>
      </c>
      <c r="AE15" s="1630">
        <v>51227266602</v>
      </c>
      <c r="AF15" s="1630">
        <v>58610608493</v>
      </c>
      <c r="AG15" s="1630">
        <v>48153274144</v>
      </c>
      <c r="AH15" s="1630">
        <v>70268614943</v>
      </c>
      <c r="AI15" s="1630">
        <v>43834727379</v>
      </c>
      <c r="AJ15" s="1630">
        <v>45391896713</v>
      </c>
      <c r="AK15" s="1630">
        <v>44855231867</v>
      </c>
      <c r="AL15" s="1630">
        <v>35624983151</v>
      </c>
      <c r="AM15" s="1630">
        <f>SUM(AM16:AM37)</f>
        <v>59372878209</v>
      </c>
      <c r="AN15" s="1630">
        <v>40957768351</v>
      </c>
      <c r="AP15" s="498"/>
    </row>
    <row r="16" spans="1:42" ht="18" customHeight="1">
      <c r="A16" s="498"/>
      <c r="D16" s="1593">
        <v>111711</v>
      </c>
      <c r="E16" s="1359" t="s">
        <v>1642</v>
      </c>
      <c r="F16" s="1361">
        <v>1201</v>
      </c>
      <c r="G16" s="1359" t="s">
        <v>24</v>
      </c>
      <c r="H16" s="498">
        <v>16011188593</v>
      </c>
      <c r="I16" s="498">
        <v>4895000</v>
      </c>
      <c r="J16" s="710">
        <v>26889930</v>
      </c>
      <c r="K16" s="710">
        <v>590975336</v>
      </c>
      <c r="L16" s="510">
        <f t="shared" ref="L16:L37" si="9">SUM(H16:K16)</f>
        <v>16633948859</v>
      </c>
      <c r="N16" s="1667">
        <f>SUMIF('1.0'!$D:$D,T_BS!D16,'1.0'!$V:$V)</f>
        <v>0</v>
      </c>
      <c r="O16" s="710">
        <f>SUMIF('2.0'!$D:$D,T_BS!D16,'2.0'!$V:$V)</f>
        <v>0</v>
      </c>
      <c r="P16" s="509">
        <f>ROUND(SUMIF('3.0'!$D:$D,T_BS!D16,'3.0'!$H:$H),0)</f>
        <v>-7603800</v>
      </c>
      <c r="Q16" s="720">
        <f>ROUND(SUMIF('4.0'!$D:$D,T_BS!D16,'4.0'!$V:$V),0)</f>
        <v>0</v>
      </c>
      <c r="R16" s="509">
        <f>ROUND(SUMIF('5.0'!$D:$D,T_BS!D16,'5.0'!$V:$V),0)</f>
        <v>0</v>
      </c>
      <c r="S16" s="720">
        <f>ROUND(SUMIF('6.0'!$D:$D,T_BS!D16,'6.0'!$V:$V),0)</f>
        <v>0</v>
      </c>
      <c r="T16" s="720">
        <f>ROUND(SUMIF('7.0'!$D:$D,T_BS!D16,'7.0'!$V:$V),0)</f>
        <v>0</v>
      </c>
      <c r="U16" s="720">
        <f>ROUND(SUMIF('8.0'!$D:$D,T_BS!D16,'8.0'!$H:$H),0)</f>
        <v>0</v>
      </c>
      <c r="V16" s="510">
        <f t="shared" ref="V16:V73" si="10">SUM(N16:U16)</f>
        <v>-7603800</v>
      </c>
      <c r="X16" s="1641">
        <f t="shared" ref="X16:X37" si="11">V16+L16</f>
        <v>16626345059</v>
      </c>
      <c r="Z16" s="1616">
        <f t="shared" ref="Z16:Z37" si="12">X16-AI16</f>
        <v>2629559370</v>
      </c>
      <c r="AB16" s="1616">
        <v>17788791567</v>
      </c>
      <c r="AC16" s="1616">
        <v>13157687695</v>
      </c>
      <c r="AD16" s="1616">
        <v>16639691248</v>
      </c>
      <c r="AE16" s="1616">
        <v>22422752564</v>
      </c>
      <c r="AF16" s="1616">
        <v>21191674761</v>
      </c>
      <c r="AG16" s="1616">
        <v>18715683419</v>
      </c>
      <c r="AH16" s="1616">
        <v>40342332052</v>
      </c>
      <c r="AI16" s="1616">
        <v>13996785689</v>
      </c>
      <c r="AJ16" s="1616">
        <v>12364560579</v>
      </c>
      <c r="AK16" s="1616">
        <v>12470621059</v>
      </c>
      <c r="AL16" s="1616">
        <v>12974550067</v>
      </c>
      <c r="AM16" s="1616">
        <v>35531261583</v>
      </c>
      <c r="AN16" s="1616">
        <v>14814257746</v>
      </c>
      <c r="AP16" s="498"/>
    </row>
    <row r="17" spans="1:42" ht="18" customHeight="1">
      <c r="A17" s="498"/>
      <c r="D17" s="1593">
        <v>111712</v>
      </c>
      <c r="E17" s="1359" t="s">
        <v>1642</v>
      </c>
      <c r="F17" s="1361">
        <v>1202</v>
      </c>
      <c r="G17" s="1359" t="s">
        <v>25</v>
      </c>
      <c r="H17" s="498">
        <v>-972821039</v>
      </c>
      <c r="I17" s="498">
        <v>0</v>
      </c>
      <c r="J17" s="710">
        <v>0</v>
      </c>
      <c r="K17" s="710">
        <v>0</v>
      </c>
      <c r="L17" s="510">
        <f t="shared" si="9"/>
        <v>-972821039</v>
      </c>
      <c r="N17" s="1667">
        <f>SUMIF('1.0'!$D:$D,T_BS!D17,'1.0'!$V:$V)</f>
        <v>0</v>
      </c>
      <c r="O17" s="710">
        <f>SUMIF('2.0'!$D:$D,T_BS!D17,'2.0'!$V:$V)</f>
        <v>0</v>
      </c>
      <c r="P17" s="509">
        <f>ROUND(SUMIF('3.0'!$D:$D,T_BS!D17,'3.0'!$H:$H),0)</f>
        <v>0</v>
      </c>
      <c r="Q17" s="720">
        <f>ROUND(SUMIF('4.0'!$D:$D,T_BS!D17,'4.0'!$V:$V),0)</f>
        <v>0</v>
      </c>
      <c r="R17" s="509">
        <f>ROUND(SUMIF('5.0'!$D:$D,T_BS!D17,'5.0'!$V:$V),0)</f>
        <v>0</v>
      </c>
      <c r="S17" s="720">
        <f>ROUND(SUMIF('6.0'!$D:$D,T_BS!D17,'6.0'!$V:$V),0)</f>
        <v>0</v>
      </c>
      <c r="T17" s="720">
        <f>ROUND(SUMIF('7.0'!$D:$D,T_BS!D17,'7.0'!$V:$V),0)</f>
        <v>0</v>
      </c>
      <c r="U17" s="720">
        <f>ROUND(SUMIF('8.0'!$D:$D,T_BS!D17,'8.0'!$H:$H),0)</f>
        <v>0</v>
      </c>
      <c r="V17" s="510">
        <f t="shared" si="10"/>
        <v>0</v>
      </c>
      <c r="X17" s="1641">
        <f t="shared" si="11"/>
        <v>-972821039</v>
      </c>
      <c r="Z17" s="1616">
        <f t="shared" si="12"/>
        <v>-13075631</v>
      </c>
      <c r="AB17" s="1616">
        <v>-964465585</v>
      </c>
      <c r="AC17" s="1616">
        <v>-964465585</v>
      </c>
      <c r="AD17" s="1616">
        <v>-964465585</v>
      </c>
      <c r="AE17" s="1616">
        <v>-965069314</v>
      </c>
      <c r="AF17" s="1616">
        <v>-965069314</v>
      </c>
      <c r="AG17" s="1616">
        <v>-965069314</v>
      </c>
      <c r="AH17" s="1616">
        <v>-964371872</v>
      </c>
      <c r="AI17" s="1616">
        <v>-959745408</v>
      </c>
      <c r="AJ17" s="1616">
        <v>-923471002</v>
      </c>
      <c r="AK17" s="1616">
        <v>-923471002</v>
      </c>
      <c r="AL17" s="1616">
        <v>-933461973</v>
      </c>
      <c r="AM17" s="1616">
        <v>-951247499</v>
      </c>
      <c r="AN17" s="1616">
        <v>-1078470336</v>
      </c>
      <c r="AP17" s="498"/>
    </row>
    <row r="18" spans="1:42" ht="18" customHeight="1">
      <c r="A18" s="498"/>
      <c r="D18" s="1593">
        <v>111731</v>
      </c>
      <c r="E18" s="1359" t="s">
        <v>1642</v>
      </c>
      <c r="F18" s="1361">
        <v>1203</v>
      </c>
      <c r="G18" s="1359" t="s">
        <v>26</v>
      </c>
      <c r="H18" s="498">
        <v>1967546831</v>
      </c>
      <c r="I18" s="498">
        <v>0</v>
      </c>
      <c r="J18" s="710">
        <v>0</v>
      </c>
      <c r="K18" s="710">
        <v>0</v>
      </c>
      <c r="L18" s="510">
        <f t="shared" si="9"/>
        <v>1967546831</v>
      </c>
      <c r="N18" s="1667">
        <f>SUMIF('1.0'!$D:$D,T_BS!D18,'1.0'!$V:$V)</f>
        <v>0</v>
      </c>
      <c r="O18" s="710">
        <f>SUMIF('2.0'!$D:$D,T_BS!D18,'2.0'!$V:$V)</f>
        <v>0</v>
      </c>
      <c r="P18" s="509">
        <f>ROUND(SUMIF('3.0'!$D:$D,T_BS!D18,'3.0'!$H:$H),0)</f>
        <v>-24078700</v>
      </c>
      <c r="Q18" s="720">
        <f>ROUND(SUMIF('4.0'!$D:$D,T_BS!D18,'4.0'!$V:$V),0)</f>
        <v>0</v>
      </c>
      <c r="R18" s="509">
        <f>ROUND(SUMIF('5.0'!$D:$D,T_BS!D18,'5.0'!$V:$V),0)</f>
        <v>0</v>
      </c>
      <c r="S18" s="720">
        <f>ROUND(SUMIF('6.0'!$D:$D,T_BS!D18,'6.0'!$V:$V),0)</f>
        <v>0</v>
      </c>
      <c r="T18" s="720">
        <f>ROUND(SUMIF('7.0'!$D:$D,T_BS!D18,'7.0'!$V:$V),0)</f>
        <v>0</v>
      </c>
      <c r="U18" s="720">
        <f>ROUND(SUMIF('8.0'!$D:$D,T_BS!D18,'8.0'!$H:$H),0)</f>
        <v>0</v>
      </c>
      <c r="V18" s="510">
        <f t="shared" si="10"/>
        <v>-24078700</v>
      </c>
      <c r="X18" s="1641">
        <f t="shared" si="11"/>
        <v>1943468131</v>
      </c>
      <c r="Z18" s="1616">
        <f t="shared" si="12"/>
        <v>-234823675</v>
      </c>
      <c r="AB18" s="1616">
        <v>3073405811</v>
      </c>
      <c r="AC18" s="1616">
        <v>3537548051</v>
      </c>
      <c r="AD18" s="1616">
        <v>3902448639</v>
      </c>
      <c r="AE18" s="1616">
        <v>1804064607</v>
      </c>
      <c r="AF18" s="1616">
        <v>2592132025</v>
      </c>
      <c r="AG18" s="1616">
        <v>3075961844</v>
      </c>
      <c r="AH18" s="1616">
        <v>2572145385</v>
      </c>
      <c r="AI18" s="1616">
        <v>2178291806</v>
      </c>
      <c r="AJ18" s="1616">
        <v>5141617333</v>
      </c>
      <c r="AK18" s="1616">
        <v>3419885030</v>
      </c>
      <c r="AL18" s="1616">
        <v>2702233204</v>
      </c>
      <c r="AM18" s="1616">
        <v>4718394914</v>
      </c>
      <c r="AN18" s="1616">
        <v>3334181925</v>
      </c>
      <c r="AP18" s="498"/>
    </row>
    <row r="19" spans="1:42" ht="18" customHeight="1">
      <c r="A19" s="498"/>
      <c r="D19" s="1593">
        <v>111732</v>
      </c>
      <c r="E19" s="1359" t="s">
        <v>1642</v>
      </c>
      <c r="F19" s="1361">
        <v>1202</v>
      </c>
      <c r="G19" s="1359" t="s">
        <v>27</v>
      </c>
      <c r="H19" s="498">
        <v>-35462425</v>
      </c>
      <c r="I19" s="498">
        <v>0</v>
      </c>
      <c r="J19" s="710">
        <v>0</v>
      </c>
      <c r="K19" s="710">
        <v>0</v>
      </c>
      <c r="L19" s="510">
        <f t="shared" si="9"/>
        <v>-35462425</v>
      </c>
      <c r="N19" s="1667">
        <f>SUMIF('1.0'!$D:$D,T_BS!D19,'1.0'!$V:$V)</f>
        <v>0</v>
      </c>
      <c r="O19" s="710">
        <f>SUMIF('2.0'!$D:$D,T_BS!D19,'2.0'!$V:$V)</f>
        <v>0</v>
      </c>
      <c r="P19" s="509">
        <f>ROUND(SUMIF('3.0'!$D:$D,T_BS!D19,'3.0'!$H:$H),0)</f>
        <v>0</v>
      </c>
      <c r="Q19" s="720">
        <f>ROUND(SUMIF('4.0'!$D:$D,T_BS!D19,'4.0'!$V:$V),0)</f>
        <v>0</v>
      </c>
      <c r="R19" s="509">
        <f>ROUND(SUMIF('5.0'!$D:$D,T_BS!D19,'5.0'!$V:$V),0)</f>
        <v>0</v>
      </c>
      <c r="S19" s="720">
        <f>ROUND(SUMIF('6.0'!$D:$D,T_BS!D19,'6.0'!$V:$V),0)</f>
        <v>0</v>
      </c>
      <c r="T19" s="720">
        <f>ROUND(SUMIF('7.0'!$D:$D,T_BS!D19,'7.0'!$V:$V),0)</f>
        <v>0</v>
      </c>
      <c r="U19" s="720">
        <f>ROUND(SUMIF('8.0'!$D:$D,T_BS!D19,'8.0'!$H:$H),0)</f>
        <v>0</v>
      </c>
      <c r="V19" s="510">
        <f t="shared" si="10"/>
        <v>0</v>
      </c>
      <c r="X19" s="1641">
        <f t="shared" si="11"/>
        <v>-35462425</v>
      </c>
      <c r="Z19" s="1616">
        <f t="shared" si="12"/>
        <v>-1740510</v>
      </c>
      <c r="AB19" s="1616">
        <v>-40149520</v>
      </c>
      <c r="AC19" s="1616">
        <v>-40149520</v>
      </c>
      <c r="AD19" s="1616">
        <v>-40149520</v>
      </c>
      <c r="AE19" s="1616">
        <v>-36178782</v>
      </c>
      <c r="AF19" s="1616">
        <v>-36178782</v>
      </c>
      <c r="AG19" s="1616">
        <v>-36178782</v>
      </c>
      <c r="AH19" s="1616">
        <v>-34931109</v>
      </c>
      <c r="AI19" s="1616">
        <v>-33721915</v>
      </c>
      <c r="AJ19" s="1616">
        <v>-257442259</v>
      </c>
      <c r="AK19" s="1616">
        <v>-257442259</v>
      </c>
      <c r="AL19" s="1616">
        <v>-263110957</v>
      </c>
      <c r="AM19" s="1616">
        <v>-372707468</v>
      </c>
      <c r="AN19" s="1616">
        <v>-325159394</v>
      </c>
      <c r="AP19" s="498"/>
    </row>
    <row r="20" spans="1:42" ht="18" customHeight="1">
      <c r="A20" s="498"/>
      <c r="D20" s="1593">
        <v>111761</v>
      </c>
      <c r="E20" s="1359" t="s">
        <v>1642</v>
      </c>
      <c r="F20" s="1361">
        <v>1201</v>
      </c>
      <c r="G20" s="1359" t="s">
        <v>28</v>
      </c>
      <c r="H20" s="498">
        <v>4747641432</v>
      </c>
      <c r="I20" s="498">
        <v>0</v>
      </c>
      <c r="J20" s="710">
        <v>0</v>
      </c>
      <c r="K20" s="710">
        <v>0</v>
      </c>
      <c r="L20" s="510">
        <f t="shared" si="9"/>
        <v>4747641432</v>
      </c>
      <c r="N20" s="1667">
        <f>SUMIF('1.0'!$D:$D,T_BS!D20,'1.0'!$V:$V)</f>
        <v>0</v>
      </c>
      <c r="O20" s="710">
        <f>SUMIF('2.0'!$D:$D,T_BS!D20,'2.0'!$V:$V)</f>
        <v>0</v>
      </c>
      <c r="P20" s="509">
        <f>ROUND(SUMIF('3.0'!$D:$D,T_BS!D20,'3.0'!$H:$H),0)</f>
        <v>0</v>
      </c>
      <c r="Q20" s="720">
        <f>ROUND(SUMIF('4.0'!$D:$D,T_BS!D20,'4.0'!$V:$V),0)</f>
        <v>0</v>
      </c>
      <c r="R20" s="509">
        <f>ROUND(SUMIF('5.0'!$D:$D,T_BS!D20,'5.0'!$V:$V),0)</f>
        <v>0</v>
      </c>
      <c r="S20" s="720">
        <f>ROUND(SUMIF('6.0'!$D:$D,T_BS!D20,'6.0'!$V:$V),0)</f>
        <v>0</v>
      </c>
      <c r="T20" s="720">
        <f>ROUND(SUMIF('7.0'!$D:$D,T_BS!D20,'7.0'!$V:$V),0)</f>
        <v>0</v>
      </c>
      <c r="U20" s="720">
        <f>ROUND(SUMIF('8.0'!$D:$D,T_BS!D20,'8.0'!$H:$H),0)</f>
        <v>0</v>
      </c>
      <c r="V20" s="510">
        <f t="shared" si="10"/>
        <v>0</v>
      </c>
      <c r="X20" s="1641">
        <f t="shared" si="11"/>
        <v>4747641432</v>
      </c>
      <c r="Z20" s="1616">
        <f t="shared" si="12"/>
        <v>1906774117</v>
      </c>
      <c r="AB20" s="1616">
        <v>4368877986</v>
      </c>
      <c r="AC20" s="1616">
        <v>4634086804</v>
      </c>
      <c r="AD20" s="1616">
        <v>4342223483</v>
      </c>
      <c r="AE20" s="1616">
        <v>4738646232</v>
      </c>
      <c r="AF20" s="1616">
        <v>4795517550</v>
      </c>
      <c r="AG20" s="1616">
        <v>4444932813</v>
      </c>
      <c r="AH20" s="1616">
        <v>3120552381</v>
      </c>
      <c r="AI20" s="1616">
        <v>2840867315</v>
      </c>
      <c r="AJ20" s="1616">
        <v>3201653032</v>
      </c>
      <c r="AK20" s="1616">
        <v>3486256039</v>
      </c>
      <c r="AL20" s="1616">
        <v>3231954383</v>
      </c>
      <c r="AM20" s="1616">
        <v>4142398266</v>
      </c>
      <c r="AN20" s="1616">
        <v>4147637595</v>
      </c>
      <c r="AP20" s="498"/>
    </row>
    <row r="21" spans="1:42" ht="18" customHeight="1">
      <c r="A21" s="498"/>
      <c r="D21" s="1593">
        <v>111762</v>
      </c>
      <c r="E21" s="1359" t="s">
        <v>1642</v>
      </c>
      <c r="F21" s="1361">
        <v>1201</v>
      </c>
      <c r="G21" s="1359" t="s">
        <v>29</v>
      </c>
      <c r="H21" s="498">
        <v>695524340</v>
      </c>
      <c r="I21" s="498">
        <v>0</v>
      </c>
      <c r="J21" s="710">
        <v>0</v>
      </c>
      <c r="K21" s="710">
        <v>0</v>
      </c>
      <c r="L21" s="510">
        <f t="shared" si="9"/>
        <v>695524340</v>
      </c>
      <c r="N21" s="1667">
        <f>SUMIF('1.0'!$D:$D,T_BS!D21,'1.0'!$V:$V)</f>
        <v>0</v>
      </c>
      <c r="O21" s="710">
        <f>SUMIF('2.0'!$D:$D,T_BS!D21,'2.0'!$V:$V)</f>
        <v>0</v>
      </c>
      <c r="P21" s="509">
        <f>ROUND(SUMIF('3.0'!$D:$D,T_BS!D21,'3.0'!$H:$H),0)</f>
        <v>0</v>
      </c>
      <c r="Q21" s="720">
        <f>ROUND(SUMIF('4.0'!$D:$D,T_BS!D21,'4.0'!$V:$V),0)</f>
        <v>0</v>
      </c>
      <c r="R21" s="509">
        <f>ROUND(SUMIF('5.0'!$D:$D,T_BS!D21,'5.0'!$V:$V),0)</f>
        <v>0</v>
      </c>
      <c r="S21" s="720">
        <f>ROUND(SUMIF('6.0'!$D:$D,T_BS!D21,'6.0'!$V:$V),0)</f>
        <v>0</v>
      </c>
      <c r="T21" s="720">
        <f>ROUND(SUMIF('7.0'!$D:$D,T_BS!D21,'7.0'!$V:$V),0)</f>
        <v>0</v>
      </c>
      <c r="U21" s="720">
        <f>ROUND(SUMIF('8.0'!$D:$D,T_BS!D21,'8.0'!$H:$H),0)</f>
        <v>0</v>
      </c>
      <c r="V21" s="510">
        <f t="shared" si="10"/>
        <v>0</v>
      </c>
      <c r="X21" s="1641">
        <f t="shared" si="11"/>
        <v>695524340</v>
      </c>
      <c r="Z21" s="1616">
        <f t="shared" si="12"/>
        <v>91664811</v>
      </c>
      <c r="AB21" s="1616">
        <v>912036531</v>
      </c>
      <c r="AC21" s="1616">
        <v>804817734</v>
      </c>
      <c r="AD21" s="1616">
        <v>690624280</v>
      </c>
      <c r="AE21" s="1616">
        <v>690837544</v>
      </c>
      <c r="AF21" s="1616">
        <v>7284652022</v>
      </c>
      <c r="AG21" s="1616">
        <v>619712954</v>
      </c>
      <c r="AH21" s="1616">
        <v>566178210</v>
      </c>
      <c r="AI21" s="1616">
        <v>603859529</v>
      </c>
      <c r="AJ21" s="1616">
        <v>877194925</v>
      </c>
      <c r="AK21" s="1616">
        <v>791710393</v>
      </c>
      <c r="AL21" s="1616">
        <v>851523716</v>
      </c>
      <c r="AM21" s="1616">
        <v>922692009</v>
      </c>
      <c r="AN21" s="1616">
        <v>1134636273</v>
      </c>
      <c r="AP21" s="498"/>
    </row>
    <row r="22" spans="1:42" ht="18" customHeight="1">
      <c r="A22" s="498"/>
      <c r="D22" s="1593">
        <v>111763</v>
      </c>
      <c r="E22" s="1359" t="s">
        <v>1642</v>
      </c>
      <c r="F22" s="1361">
        <v>1201</v>
      </c>
      <c r="G22" s="1359" t="s">
        <v>30</v>
      </c>
      <c r="H22" s="498">
        <v>960710519</v>
      </c>
      <c r="I22" s="498">
        <v>0</v>
      </c>
      <c r="J22" s="710">
        <v>0</v>
      </c>
      <c r="K22" s="710">
        <v>0</v>
      </c>
      <c r="L22" s="510">
        <f t="shared" si="9"/>
        <v>960710519</v>
      </c>
      <c r="N22" s="1667">
        <f>SUMIF('1.0'!$D:$D,T_BS!D22,'1.0'!$V:$V)</f>
        <v>0</v>
      </c>
      <c r="O22" s="710">
        <f>SUMIF('2.0'!$D:$D,T_BS!D22,'2.0'!$V:$V)</f>
        <v>0</v>
      </c>
      <c r="P22" s="509">
        <f>ROUND(SUMIF('3.0'!$D:$D,T_BS!D22,'3.0'!$H:$H),0)</f>
        <v>0</v>
      </c>
      <c r="Q22" s="720">
        <f>ROUND(SUMIF('4.0'!$D:$D,T_BS!D22,'4.0'!$V:$V),0)</f>
        <v>0</v>
      </c>
      <c r="R22" s="509">
        <f>ROUND(SUMIF('5.0'!$D:$D,T_BS!D22,'5.0'!$V:$V),0)</f>
        <v>0</v>
      </c>
      <c r="S22" s="720">
        <f>ROUND(SUMIF('6.0'!$D:$D,T_BS!D22,'6.0'!$V:$V),0)</f>
        <v>0</v>
      </c>
      <c r="T22" s="720">
        <f>ROUND(SUMIF('7.0'!$D:$D,T_BS!D22,'7.0'!$V:$V),0)</f>
        <v>0</v>
      </c>
      <c r="U22" s="720">
        <f>ROUND(SUMIF('8.0'!$D:$D,T_BS!D22,'8.0'!$H:$H),0)</f>
        <v>0</v>
      </c>
      <c r="V22" s="510">
        <f t="shared" si="10"/>
        <v>0</v>
      </c>
      <c r="X22" s="1641">
        <f t="shared" si="11"/>
        <v>960710519</v>
      </c>
      <c r="Z22" s="1616">
        <f t="shared" si="12"/>
        <v>643528069</v>
      </c>
      <c r="AB22" s="1616">
        <v>1265733437</v>
      </c>
      <c r="AC22" s="1616">
        <v>248896958</v>
      </c>
      <c r="AD22" s="1616">
        <v>1051062</v>
      </c>
      <c r="AE22" s="1616">
        <v>54883617</v>
      </c>
      <c r="AF22" s="1616">
        <v>69068211</v>
      </c>
      <c r="AG22" s="1616">
        <v>26993108</v>
      </c>
      <c r="AH22" s="1616">
        <v>115060613</v>
      </c>
      <c r="AI22" s="1616">
        <v>317182450</v>
      </c>
      <c r="AJ22" s="1616">
        <v>11394847</v>
      </c>
      <c r="AK22" s="1616">
        <v>23519513</v>
      </c>
      <c r="AL22" s="1616">
        <v>12275870</v>
      </c>
      <c r="AM22" s="1616">
        <v>0</v>
      </c>
      <c r="AN22" s="1616">
        <v>0</v>
      </c>
      <c r="AP22" s="498"/>
    </row>
    <row r="23" spans="1:42" ht="18" customHeight="1">
      <c r="A23" s="498"/>
      <c r="D23" s="1624">
        <v>111911</v>
      </c>
      <c r="E23" s="1547" t="s">
        <v>1642</v>
      </c>
      <c r="F23" s="1361">
        <v>1221</v>
      </c>
      <c r="G23" s="1359" t="s">
        <v>31</v>
      </c>
      <c r="H23" s="498">
        <v>0</v>
      </c>
      <c r="I23" s="498">
        <v>0</v>
      </c>
      <c r="J23" s="710">
        <v>0</v>
      </c>
      <c r="K23" s="710">
        <v>0</v>
      </c>
      <c r="L23" s="510">
        <f t="shared" si="9"/>
        <v>0</v>
      </c>
      <c r="N23" s="1667">
        <f>SUMIF('1.0'!$D:$D,T_BS!D23,'1.0'!$V:$V)</f>
        <v>0</v>
      </c>
      <c r="O23" s="710">
        <f>SUMIF('2.0'!$D:$D,T_BS!D23,'2.0'!$V:$V)</f>
        <v>0</v>
      </c>
      <c r="P23" s="509">
        <f>ROUND(SUMIF('3.0'!$D:$D,T_BS!D23,'3.0'!$H:$H),0)</f>
        <v>0</v>
      </c>
      <c r="Q23" s="720">
        <f>ROUND(SUMIF('4.0'!$D:$D,T_BS!D23,'4.0'!$V:$V),0)</f>
        <v>0</v>
      </c>
      <c r="R23" s="509">
        <f>ROUND(SUMIF('5.0'!$D:$D,T_BS!D23,'5.0'!$V:$V),0)</f>
        <v>0</v>
      </c>
      <c r="S23" s="720">
        <f>ROUND(SUMIF('6.0'!$D:$D,T_BS!D23,'6.0'!$V:$V),0)</f>
        <v>0</v>
      </c>
      <c r="T23" s="720">
        <f>ROUND(SUMIF('7.0'!$D:$D,T_BS!D23,'7.0'!$V:$V),0)</f>
        <v>0</v>
      </c>
      <c r="U23" s="720">
        <f>ROUND(SUMIF('8.0'!$D:$D,T_BS!D23,'8.0'!$H:$H),0)</f>
        <v>0</v>
      </c>
      <c r="V23" s="510">
        <f t="shared" si="10"/>
        <v>0</v>
      </c>
      <c r="X23" s="1641">
        <f t="shared" si="11"/>
        <v>0</v>
      </c>
      <c r="Z23" s="1616">
        <f t="shared" si="12"/>
        <v>0</v>
      </c>
      <c r="AB23" s="1616">
        <v>0</v>
      </c>
      <c r="AC23" s="1616">
        <v>0</v>
      </c>
      <c r="AD23" s="1616">
        <v>0</v>
      </c>
      <c r="AE23" s="1616">
        <v>0</v>
      </c>
      <c r="AF23" s="1616">
        <v>0</v>
      </c>
      <c r="AG23" s="1616">
        <v>0</v>
      </c>
      <c r="AH23" s="1616">
        <v>0</v>
      </c>
      <c r="AI23" s="1616">
        <v>0</v>
      </c>
      <c r="AJ23" s="1616">
        <v>0</v>
      </c>
      <c r="AK23" s="1616">
        <v>0</v>
      </c>
      <c r="AL23" s="1616">
        <v>0</v>
      </c>
      <c r="AM23" s="1616">
        <v>0</v>
      </c>
      <c r="AN23" s="1616">
        <v>0</v>
      </c>
      <c r="AP23" s="498"/>
    </row>
    <row r="24" spans="1:42" s="1653" customFormat="1" ht="18" customHeight="1">
      <c r="A24" s="575"/>
      <c r="B24" s="1086"/>
      <c r="C24" s="1086"/>
      <c r="D24" s="1670">
        <v>111912</v>
      </c>
      <c r="E24" s="1086" t="s">
        <v>1642</v>
      </c>
      <c r="F24" s="1671"/>
      <c r="G24" s="1086" t="s">
        <v>2393</v>
      </c>
      <c r="H24" s="498">
        <v>0</v>
      </c>
      <c r="I24" s="498">
        <v>0</v>
      </c>
      <c r="J24" s="710">
        <v>0</v>
      </c>
      <c r="K24" s="710">
        <v>0</v>
      </c>
      <c r="L24" s="1640">
        <f t="shared" si="9"/>
        <v>0</v>
      </c>
      <c r="N24" s="1636">
        <f>SUMIF('1.0'!$D:$D,T_BS!D24,'1.0'!$V:$V)</f>
        <v>0</v>
      </c>
      <c r="O24" s="925">
        <f>SUMIF('2.0'!$D:$D,T_BS!D24,'2.0'!$V:$V)</f>
        <v>0</v>
      </c>
      <c r="P24" s="925">
        <f>ROUND(SUMIF('3.0'!$D:$D,T_BS!D24,'3.0'!$H:$H),0)</f>
        <v>0</v>
      </c>
      <c r="Q24" s="1115">
        <f>ROUND(SUMIF('4.0'!$D:$D,T_BS!D24,'4.0'!$V:$V),0)</f>
        <v>0</v>
      </c>
      <c r="R24" s="925">
        <f>ROUND(SUMIF('5.0'!$D:$D,T_BS!D24,'5.0'!$V:$V),0)</f>
        <v>0</v>
      </c>
      <c r="S24" s="1115">
        <f>ROUND(SUMIF('6.0'!$D:$D,T_BS!D24,'6.0'!$V:$V),0)</f>
        <v>0</v>
      </c>
      <c r="T24" s="1115">
        <f>ROUND(SUMIF('7.0'!$D:$D,T_BS!D24,'7.0'!$V:$V),0)</f>
        <v>0</v>
      </c>
      <c r="U24" s="1115">
        <f>ROUND(SUMIF('8.0'!$D:$D,T_BS!D24,'8.0'!$H:$H),0)</f>
        <v>0</v>
      </c>
      <c r="V24" s="1640">
        <f>SUM(N24:U24)</f>
        <v>0</v>
      </c>
      <c r="X24" s="1641">
        <f t="shared" si="11"/>
        <v>0</v>
      </c>
      <c r="Z24" s="1616">
        <f t="shared" si="12"/>
        <v>0</v>
      </c>
      <c r="AB24" s="1641">
        <v>0</v>
      </c>
      <c r="AC24" s="1641">
        <v>0</v>
      </c>
      <c r="AD24" s="1641">
        <v>0</v>
      </c>
      <c r="AE24" s="1641">
        <v>0</v>
      </c>
      <c r="AF24" s="1641">
        <v>0</v>
      </c>
      <c r="AG24" s="1641">
        <v>0</v>
      </c>
      <c r="AH24" s="1641">
        <v>0</v>
      </c>
      <c r="AI24" s="1641">
        <v>0</v>
      </c>
      <c r="AJ24" s="1641">
        <v>0</v>
      </c>
      <c r="AK24" s="1641">
        <v>0</v>
      </c>
      <c r="AL24" s="1641">
        <v>0</v>
      </c>
      <c r="AM24" s="1641">
        <v>0</v>
      </c>
      <c r="AN24" s="1641">
        <v>0</v>
      </c>
      <c r="AP24" s="498"/>
    </row>
    <row r="25" spans="1:42" ht="18" customHeight="1">
      <c r="A25" s="498"/>
      <c r="B25" s="1362"/>
      <c r="D25" s="1624" t="s">
        <v>1688</v>
      </c>
      <c r="E25" s="1547" t="s">
        <v>1642</v>
      </c>
      <c r="F25" s="1361">
        <v>1221</v>
      </c>
      <c r="G25" s="1359" t="s">
        <v>1548</v>
      </c>
      <c r="H25" s="498">
        <v>0</v>
      </c>
      <c r="I25" s="498">
        <v>0</v>
      </c>
      <c r="J25" s="710">
        <v>0</v>
      </c>
      <c r="K25" s="710">
        <v>0</v>
      </c>
      <c r="L25" s="510">
        <f t="shared" si="9"/>
        <v>0</v>
      </c>
      <c r="N25" s="1667">
        <f>SUMIF('1.0'!$D:$D,T_BS!D25,'1.0'!$V:$V)</f>
        <v>0</v>
      </c>
      <c r="O25" s="710">
        <f>SUMIF('2.0'!$D:$D,T_BS!D25,'2.0'!$V:$V)</f>
        <v>0</v>
      </c>
      <c r="P25" s="509">
        <f>ROUND(SUMIF('3.0'!$D:$D,T_BS!D25,'3.0'!$H:$H),0)</f>
        <v>0</v>
      </c>
      <c r="Q25" s="720">
        <f>ROUND(SUMIF('4.0'!$D:$D,T_BS!D25,'4.0'!$V:$V),0)</f>
        <v>0</v>
      </c>
      <c r="R25" s="509">
        <f>ROUND(SUMIF('5.0'!$D:$D,T_BS!D25,'5.0'!$V:$V),0)</f>
        <v>0</v>
      </c>
      <c r="S25" s="720">
        <f>ROUND(SUMIF('6.0'!$D:$D,T_BS!D25,'6.0'!$V:$V),0)</f>
        <v>0</v>
      </c>
      <c r="T25" s="720">
        <f>ROUND(SUMIF('7.0'!$D:$D,T_BS!D25,'7.0'!$V:$V),0)</f>
        <v>0</v>
      </c>
      <c r="U25" s="720">
        <f>ROUND(SUMIF('8.0'!$D:$D,T_BS!D25,'8.0'!$H:$H),0)</f>
        <v>0</v>
      </c>
      <c r="V25" s="510">
        <f t="shared" si="10"/>
        <v>0</v>
      </c>
      <c r="X25" s="1641">
        <f t="shared" si="11"/>
        <v>0</v>
      </c>
      <c r="Z25" s="1616">
        <f t="shared" si="12"/>
        <v>0</v>
      </c>
      <c r="AB25" s="1616">
        <v>0</v>
      </c>
      <c r="AC25" s="1616">
        <v>0</v>
      </c>
      <c r="AD25" s="1616">
        <v>0</v>
      </c>
      <c r="AE25" s="1616">
        <v>0</v>
      </c>
      <c r="AF25" s="1616">
        <v>0</v>
      </c>
      <c r="AG25" s="1616">
        <v>0</v>
      </c>
      <c r="AH25" s="1616">
        <v>0</v>
      </c>
      <c r="AI25" s="1616">
        <v>0</v>
      </c>
      <c r="AJ25" s="1616">
        <v>0</v>
      </c>
      <c r="AK25" s="1616">
        <v>0</v>
      </c>
      <c r="AL25" s="1616">
        <v>0</v>
      </c>
      <c r="AM25" s="1616">
        <v>0</v>
      </c>
      <c r="AN25" s="1616">
        <v>0</v>
      </c>
      <c r="AP25" s="498"/>
    </row>
    <row r="26" spans="1:42" ht="18" customHeight="1">
      <c r="A26" s="498"/>
      <c r="D26" s="1624">
        <v>112111</v>
      </c>
      <c r="E26" s="1547" t="s">
        <v>1642</v>
      </c>
      <c r="F26" s="1361">
        <v>1208</v>
      </c>
      <c r="G26" s="1359" t="s">
        <v>32</v>
      </c>
      <c r="H26" s="498">
        <v>6375991799</v>
      </c>
      <c r="I26" s="498">
        <v>0</v>
      </c>
      <c r="J26" s="710">
        <v>5390899</v>
      </c>
      <c r="K26" s="710">
        <v>3806277</v>
      </c>
      <c r="L26" s="510">
        <f t="shared" si="9"/>
        <v>6385188975</v>
      </c>
      <c r="N26" s="1667">
        <f>SUMIF('1.0'!$D:$D,T_BS!D26,'1.0'!$V:$V)</f>
        <v>0</v>
      </c>
      <c r="O26" s="710">
        <f>SUMIF('2.0'!$D:$D,T_BS!D26,'2.0'!$V:$V)</f>
        <v>0</v>
      </c>
      <c r="P26" s="509">
        <f>ROUND(SUMIF('3.0'!$D:$D,T_BS!D26,'3.0'!$H:$H),0)</f>
        <v>0</v>
      </c>
      <c r="Q26" s="720">
        <f>ROUND(SUMIF('4.0'!$D:$D,T_BS!D26,'4.0'!$V:$V),0)</f>
        <v>0</v>
      </c>
      <c r="R26" s="509">
        <f>ROUND(SUMIF('5.0'!$D:$D,T_BS!D26,'5.0'!$V:$V),0)</f>
        <v>0</v>
      </c>
      <c r="S26" s="720">
        <f>ROUND(SUMIF('6.0'!$D:$D,T_BS!D26,'6.0'!$V:$V),0)</f>
        <v>0</v>
      </c>
      <c r="T26" s="720">
        <f>ROUND(SUMIF('7.0'!$D:$D,T_BS!D26,'7.0'!$V:$V),0)</f>
        <v>0</v>
      </c>
      <c r="U26" s="720">
        <f>ROUND(SUMIF('8.0'!$D:$D,T_BS!D26,'8.0'!$H:$H),0)</f>
        <v>0</v>
      </c>
      <c r="V26" s="510">
        <f t="shared" si="10"/>
        <v>0</v>
      </c>
      <c r="X26" s="1641">
        <f t="shared" si="11"/>
        <v>6385188975</v>
      </c>
      <c r="Z26" s="1616">
        <f t="shared" si="12"/>
        <v>145422360</v>
      </c>
      <c r="AB26" s="1616">
        <v>4941133090</v>
      </c>
      <c r="AC26" s="1616">
        <v>7196070336</v>
      </c>
      <c r="AD26" s="1616">
        <v>7696502604</v>
      </c>
      <c r="AE26" s="1616">
        <v>5316929680</v>
      </c>
      <c r="AF26" s="1616">
        <v>6114757932</v>
      </c>
      <c r="AG26" s="1616">
        <v>4351108217</v>
      </c>
      <c r="AH26" s="1616">
        <v>6668905170</v>
      </c>
      <c r="AI26" s="1616">
        <v>6239766615</v>
      </c>
      <c r="AJ26" s="1616">
        <v>3900056103</v>
      </c>
      <c r="AK26" s="1616">
        <v>4540533708</v>
      </c>
      <c r="AL26" s="1616">
        <v>4373239077</v>
      </c>
      <c r="AM26" s="1616">
        <v>4085061117</v>
      </c>
      <c r="AN26" s="1616">
        <v>6350328880</v>
      </c>
      <c r="AP26" s="498"/>
    </row>
    <row r="27" spans="1:42" ht="18" customHeight="1">
      <c r="A27" s="498"/>
      <c r="D27" s="1624">
        <v>112113</v>
      </c>
      <c r="E27" s="1547" t="s">
        <v>1642</v>
      </c>
      <c r="F27" s="1361">
        <v>1208</v>
      </c>
      <c r="G27" s="1359" t="s">
        <v>33</v>
      </c>
      <c r="H27" s="498">
        <v>0</v>
      </c>
      <c r="I27" s="498">
        <v>0</v>
      </c>
      <c r="J27" s="710">
        <v>0</v>
      </c>
      <c r="K27" s="710">
        <v>0</v>
      </c>
      <c r="L27" s="510">
        <f t="shared" si="9"/>
        <v>0</v>
      </c>
      <c r="N27" s="1667">
        <f>SUMIF('1.0'!$D:$D,T_BS!D27,'1.0'!$V:$V)</f>
        <v>0</v>
      </c>
      <c r="O27" s="710">
        <f>SUMIF('2.0'!$D:$D,T_BS!D27,'2.0'!$V:$V)</f>
        <v>0</v>
      </c>
      <c r="P27" s="509">
        <f>ROUND(SUMIF('3.0'!$D:$D,T_BS!D27,'3.0'!$H:$H),0)</f>
        <v>0</v>
      </c>
      <c r="Q27" s="720">
        <f>ROUND(SUMIF('4.0'!$D:$D,T_BS!D27,'4.0'!$V:$V),0)</f>
        <v>0</v>
      </c>
      <c r="R27" s="509">
        <f>ROUND(SUMIF('5.0'!$D:$D,T_BS!D27,'5.0'!$V:$V),0)</f>
        <v>0</v>
      </c>
      <c r="S27" s="720">
        <f>ROUND(SUMIF('6.0'!$D:$D,T_BS!D27,'6.0'!$V:$V),0)</f>
        <v>0</v>
      </c>
      <c r="T27" s="720">
        <f>ROUND(SUMIF('7.0'!$D:$D,T_BS!D27,'7.0'!$V:$V),0)</f>
        <v>0</v>
      </c>
      <c r="U27" s="720">
        <f>ROUND(SUMIF('8.0'!$D:$D,T_BS!D27,'8.0'!$H:$H),0)</f>
        <v>0</v>
      </c>
      <c r="V27" s="510">
        <f t="shared" si="10"/>
        <v>0</v>
      </c>
      <c r="X27" s="1641">
        <f t="shared" si="11"/>
        <v>0</v>
      </c>
      <c r="Z27" s="1616">
        <f t="shared" si="12"/>
        <v>-15662657</v>
      </c>
      <c r="AB27" s="1616">
        <v>0</v>
      </c>
      <c r="AC27" s="1616">
        <v>0</v>
      </c>
      <c r="AD27" s="1616">
        <v>0</v>
      </c>
      <c r="AE27" s="1616">
        <v>0</v>
      </c>
      <c r="AF27" s="1616">
        <v>91280</v>
      </c>
      <c r="AG27" s="1616">
        <v>0</v>
      </c>
      <c r="AH27" s="1616">
        <v>5130483</v>
      </c>
      <c r="AI27" s="1616">
        <v>15662657</v>
      </c>
      <c r="AJ27" s="1616">
        <v>34932557</v>
      </c>
      <c r="AK27" s="1616">
        <v>62829448</v>
      </c>
      <c r="AL27" s="1616">
        <v>150141841</v>
      </c>
      <c r="AM27" s="1616">
        <v>276944401</v>
      </c>
      <c r="AN27" s="1616">
        <v>306733899</v>
      </c>
      <c r="AP27" s="498"/>
    </row>
    <row r="28" spans="1:42" ht="18" customHeight="1">
      <c r="A28" s="498"/>
      <c r="D28" s="1593">
        <v>112115</v>
      </c>
      <c r="E28" s="1359" t="s">
        <v>1642</v>
      </c>
      <c r="F28" s="1361">
        <v>1208</v>
      </c>
      <c r="G28" s="1359" t="s">
        <v>34</v>
      </c>
      <c r="H28" s="498">
        <v>3328305652</v>
      </c>
      <c r="I28" s="498">
        <v>0</v>
      </c>
      <c r="J28" s="710">
        <v>0</v>
      </c>
      <c r="K28" s="710">
        <v>0</v>
      </c>
      <c r="L28" s="510">
        <f t="shared" si="9"/>
        <v>3328305652</v>
      </c>
      <c r="N28" s="1667">
        <f>SUMIF('1.0'!$D:$D,T_BS!D28,'1.0'!$V:$V)</f>
        <v>0</v>
      </c>
      <c r="O28" s="710">
        <f>SUMIF('2.0'!$D:$D,T_BS!D28,'2.0'!$V:$V)</f>
        <v>0</v>
      </c>
      <c r="P28" s="509">
        <f>ROUND(SUMIF('3.0'!$D:$D,T_BS!D28,'3.0'!$H:$H),0)</f>
        <v>0</v>
      </c>
      <c r="Q28" s="720">
        <f>ROUND(SUMIF('4.0'!$D:$D,T_BS!D28,'4.0'!$V:$V),0)</f>
        <v>0</v>
      </c>
      <c r="R28" s="509">
        <f>ROUND(SUMIF('5.0'!$D:$D,T_BS!D28,'5.0'!$V:$V),0)</f>
        <v>0</v>
      </c>
      <c r="S28" s="720">
        <f>ROUND(SUMIF('6.0'!$D:$D,T_BS!D28,'6.0'!$V:$V),0)</f>
        <v>0</v>
      </c>
      <c r="T28" s="720">
        <f>ROUND(SUMIF('7.0'!$D:$D,T_BS!D28,'7.0'!$V:$V),0)</f>
        <v>0</v>
      </c>
      <c r="U28" s="720">
        <f>ROUND(SUMIF('8.0'!$D:$D,T_BS!D28,'8.0'!$H:$H),0)</f>
        <v>0</v>
      </c>
      <c r="V28" s="510">
        <f t="shared" si="10"/>
        <v>0</v>
      </c>
      <c r="X28" s="1641">
        <f t="shared" si="11"/>
        <v>3328305652</v>
      </c>
      <c r="Z28" s="1616">
        <f t="shared" si="12"/>
        <v>-1101058138</v>
      </c>
      <c r="AB28" s="1616">
        <v>3498305652</v>
      </c>
      <c r="AC28" s="1616">
        <v>3498305652</v>
      </c>
      <c r="AD28" s="1616">
        <v>3498305652</v>
      </c>
      <c r="AE28" s="1616">
        <v>3599000000</v>
      </c>
      <c r="AF28" s="1616">
        <v>3599000000</v>
      </c>
      <c r="AG28" s="1616">
        <v>4299000000</v>
      </c>
      <c r="AH28" s="1616">
        <v>4299000000</v>
      </c>
      <c r="AI28" s="1616">
        <v>4429363790</v>
      </c>
      <c r="AJ28" s="1616">
        <v>4594000000</v>
      </c>
      <c r="AK28" s="1616">
        <v>4594000000</v>
      </c>
      <c r="AL28" s="1616">
        <v>4594000000</v>
      </c>
      <c r="AM28" s="1616">
        <v>4594000000</v>
      </c>
      <c r="AN28" s="1616">
        <v>4594000000</v>
      </c>
      <c r="AP28" s="498"/>
    </row>
    <row r="29" spans="1:42" ht="18" customHeight="1">
      <c r="A29" s="498"/>
      <c r="D29" s="1593" t="s">
        <v>1746</v>
      </c>
      <c r="E29" s="1359" t="s">
        <v>1642</v>
      </c>
      <c r="F29" s="1361">
        <v>1209</v>
      </c>
      <c r="G29" s="1359" t="s">
        <v>2322</v>
      </c>
      <c r="H29" s="498">
        <v>-3328305652</v>
      </c>
      <c r="I29" s="498">
        <v>0</v>
      </c>
      <c r="J29" s="710">
        <v>0</v>
      </c>
      <c r="K29" s="710">
        <v>0</v>
      </c>
      <c r="L29" s="510">
        <f t="shared" si="9"/>
        <v>-3328305652</v>
      </c>
      <c r="N29" s="1667">
        <f>SUMIF('1.0'!$D:$D,T_BS!D29,'1.0'!$V:$V)</f>
        <v>0</v>
      </c>
      <c r="O29" s="710">
        <f>SUMIF('2.0'!$D:$D,T_BS!D29,'2.0'!$V:$V)</f>
        <v>0</v>
      </c>
      <c r="P29" s="509">
        <f>ROUND(SUMIF('3.0'!$D:$D,T_BS!D29,'3.0'!$H:$H),0)</f>
        <v>0</v>
      </c>
      <c r="Q29" s="720">
        <f>ROUND(SUMIF('4.0'!$D:$D,T_BS!D29,'4.0'!$V:$V),0)</f>
        <v>0</v>
      </c>
      <c r="R29" s="509">
        <f>ROUND(SUMIF('5.0'!$D:$D,T_BS!D29,'5.0'!$V:$V),0)</f>
        <v>0</v>
      </c>
      <c r="S29" s="720">
        <f>ROUND(SUMIF('6.0'!$D:$D,T_BS!D29,'6.0'!$V:$V),0)</f>
        <v>0</v>
      </c>
      <c r="T29" s="720">
        <f>ROUND(SUMIF('7.0'!$D:$D,T_BS!D29,'7.0'!$V:$V),0)</f>
        <v>0</v>
      </c>
      <c r="U29" s="720">
        <f>ROUND(SUMIF('8.0'!$D:$D,T_BS!D29,'8.0'!$H:$H),0)</f>
        <v>0</v>
      </c>
      <c r="V29" s="510">
        <f>SUM(N29:U29)</f>
        <v>0</v>
      </c>
      <c r="X29" s="1641">
        <f t="shared" si="11"/>
        <v>-3328305652</v>
      </c>
      <c r="Z29" s="1616">
        <f t="shared" si="12"/>
        <v>985694348</v>
      </c>
      <c r="AB29" s="1616">
        <v>-3498305652</v>
      </c>
      <c r="AC29" s="1616">
        <v>-3498305652</v>
      </c>
      <c r="AD29" s="1616">
        <v>-3498305652</v>
      </c>
      <c r="AE29" s="1616">
        <v>-3599000000</v>
      </c>
      <c r="AF29" s="1616">
        <v>-3599000000</v>
      </c>
      <c r="AG29" s="1616">
        <v>-4299000000</v>
      </c>
      <c r="AH29" s="1616">
        <v>-4299000000</v>
      </c>
      <c r="AI29" s="1616">
        <v>-4314000000</v>
      </c>
      <c r="AJ29" s="1616">
        <v>-4200000000</v>
      </c>
      <c r="AK29" s="1616">
        <v>-4723004174</v>
      </c>
      <c r="AL29" s="1616">
        <v>-4200000000</v>
      </c>
      <c r="AM29" s="1616">
        <v>-4200000000</v>
      </c>
      <c r="AN29" s="1616">
        <v>-4200000000</v>
      </c>
      <c r="AP29" s="498"/>
    </row>
    <row r="30" spans="1:42" ht="18" customHeight="1">
      <c r="A30" s="498"/>
      <c r="D30" s="1593">
        <v>112116</v>
      </c>
      <c r="E30" s="1359" t="s">
        <v>1642</v>
      </c>
      <c r="F30" s="1361">
        <v>1208</v>
      </c>
      <c r="G30" s="1359" t="s">
        <v>35</v>
      </c>
      <c r="H30" s="498">
        <v>0</v>
      </c>
      <c r="I30" s="498">
        <v>0</v>
      </c>
      <c r="J30" s="710">
        <v>0</v>
      </c>
      <c r="K30" s="710">
        <v>0</v>
      </c>
      <c r="L30" s="510">
        <f t="shared" si="9"/>
        <v>0</v>
      </c>
      <c r="N30" s="1667">
        <f>SUMIF('1.0'!$D:$D,T_BS!D30,'1.0'!$V:$V)</f>
        <v>0</v>
      </c>
      <c r="O30" s="710">
        <f>SUMIF('2.0'!$D:$D,T_BS!D30,'2.0'!$V:$V)</f>
        <v>0</v>
      </c>
      <c r="P30" s="509">
        <f>ROUND(SUMIF('3.0'!$D:$D,T_BS!D30,'3.0'!$H:$H),0)</f>
        <v>0</v>
      </c>
      <c r="Q30" s="720">
        <f>ROUND(SUMIF('4.0'!$D:$D,T_BS!D30,'4.0'!$V:$V),0)</f>
        <v>0</v>
      </c>
      <c r="R30" s="509">
        <f>ROUND(SUMIF('5.0'!$D:$D,T_BS!D30,'5.0'!$V:$V),0)</f>
        <v>0</v>
      </c>
      <c r="S30" s="720">
        <f>ROUND(SUMIF('6.0'!$D:$D,T_BS!D30,'6.0'!$V:$V),0)</f>
        <v>0</v>
      </c>
      <c r="T30" s="720">
        <f>ROUND(SUMIF('7.0'!$D:$D,T_BS!D30,'7.0'!$V:$V),0)</f>
        <v>0</v>
      </c>
      <c r="U30" s="720">
        <f>ROUND(SUMIF('8.0'!$D:$D,T_BS!D30,'8.0'!$H:$H),0)</f>
        <v>0</v>
      </c>
      <c r="V30" s="510">
        <f>SUM(N30:U30)</f>
        <v>0</v>
      </c>
      <c r="X30" s="1641">
        <f t="shared" si="11"/>
        <v>0</v>
      </c>
      <c r="Z30" s="1616">
        <f t="shared" si="12"/>
        <v>0</v>
      </c>
      <c r="AB30" s="1616">
        <v>0</v>
      </c>
      <c r="AC30" s="1616">
        <v>0</v>
      </c>
      <c r="AD30" s="1616">
        <v>0</v>
      </c>
      <c r="AE30" s="1616">
        <v>0</v>
      </c>
      <c r="AF30" s="1616">
        <v>0</v>
      </c>
      <c r="AG30" s="1616">
        <v>0</v>
      </c>
      <c r="AH30" s="1616">
        <v>0</v>
      </c>
      <c r="AI30" s="1616">
        <v>0</v>
      </c>
      <c r="AJ30" s="1616">
        <v>0</v>
      </c>
      <c r="AK30" s="1616">
        <v>0</v>
      </c>
      <c r="AL30" s="1616">
        <v>0</v>
      </c>
      <c r="AM30" s="1616">
        <v>0</v>
      </c>
      <c r="AN30" s="1616">
        <v>0</v>
      </c>
      <c r="AP30" s="498"/>
    </row>
    <row r="31" spans="1:42" s="1668" customFormat="1" ht="18" customHeight="1">
      <c r="A31" s="543"/>
      <c r="B31" s="1547"/>
      <c r="C31" s="1547"/>
      <c r="D31" s="1624">
        <v>112540</v>
      </c>
      <c r="E31" s="1547" t="s">
        <v>1642</v>
      </c>
      <c r="F31" s="1625">
        <v>1208</v>
      </c>
      <c r="G31" s="1547" t="s">
        <v>1781</v>
      </c>
      <c r="H31" s="498">
        <v>20151611011</v>
      </c>
      <c r="I31" s="498">
        <v>0</v>
      </c>
      <c r="J31" s="710">
        <v>0</v>
      </c>
      <c r="K31" s="710">
        <v>0</v>
      </c>
      <c r="L31" s="1672">
        <f t="shared" si="9"/>
        <v>20151611011</v>
      </c>
      <c r="M31" s="1653"/>
      <c r="N31" s="1667">
        <f>SUMIF('1.0'!$D:$D,T_BS!D31,'1.0'!$V:$V)</f>
        <v>0</v>
      </c>
      <c r="O31" s="710">
        <f>SUMIF('2.0'!$D:$D,T_BS!D31,'2.0'!$V:$V)</f>
        <v>0</v>
      </c>
      <c r="P31" s="710">
        <f>ROUND(SUMIF('3.0'!$D:$D,T_BS!D31,'3.0'!$H:$H),0)</f>
        <v>0</v>
      </c>
      <c r="Q31" s="720">
        <f>ROUND(SUMIF('4.0'!$D:$D,T_BS!D31,'4.0'!$V:$V),0)</f>
        <v>0</v>
      </c>
      <c r="R31" s="710">
        <f>ROUND(SUMIF('5.0'!$D:$D,T_BS!D31,'5.0'!$V:$V),0)</f>
        <v>0</v>
      </c>
      <c r="S31" s="720">
        <f>ROUND(SUMIF('6.0'!$D:$D,T_BS!D31,'6.0'!$V:$V),0)</f>
        <v>0</v>
      </c>
      <c r="T31" s="720">
        <f>ROUND(SUMIF('7.0'!$D:$D,T_BS!D31,'7.0'!$V:$V),0)</f>
        <v>0</v>
      </c>
      <c r="U31" s="720">
        <f>ROUND(SUMIF('8.0'!$D:$D,T_BS!D31,'8.0'!$H:$H),0)</f>
        <v>0</v>
      </c>
      <c r="V31" s="1672">
        <f>SUM(N31:U31)</f>
        <v>0</v>
      </c>
      <c r="W31" s="1653"/>
      <c r="X31" s="1641">
        <f t="shared" si="11"/>
        <v>20151611011</v>
      </c>
      <c r="Y31" s="1653"/>
      <c r="Z31" s="1616">
        <f t="shared" si="12"/>
        <v>885183331</v>
      </c>
      <c r="AA31" s="1653"/>
      <c r="AB31" s="1616">
        <v>20049982886</v>
      </c>
      <c r="AC31" s="1616">
        <v>17636598854</v>
      </c>
      <c r="AD31" s="1616">
        <v>17392506698</v>
      </c>
      <c r="AE31" s="1616">
        <v>17550285224</v>
      </c>
      <c r="AF31" s="1616">
        <v>17950774152</v>
      </c>
      <c r="AG31" s="1616">
        <v>18427738490</v>
      </c>
      <c r="AH31" s="1616">
        <v>18233577220</v>
      </c>
      <c r="AI31" s="1616">
        <v>19266427680</v>
      </c>
      <c r="AJ31" s="1616">
        <v>19843231551</v>
      </c>
      <c r="AK31" s="1616">
        <v>20091179792</v>
      </c>
      <c r="AL31" s="1616">
        <v>12073035950</v>
      </c>
      <c r="AM31" s="1616">
        <v>10611496545</v>
      </c>
      <c r="AN31" s="1616">
        <v>11873580780</v>
      </c>
      <c r="AP31" s="498"/>
    </row>
    <row r="32" spans="1:42" s="1653" customFormat="1" ht="18" customHeight="1">
      <c r="A32" s="575"/>
      <c r="B32" s="1638"/>
      <c r="C32" s="1086"/>
      <c r="D32" s="1670">
        <v>112541</v>
      </c>
      <c r="E32" s="1086" t="s">
        <v>1642</v>
      </c>
      <c r="F32" s="1674">
        <v>1209</v>
      </c>
      <c r="G32" s="1086" t="s">
        <v>2319</v>
      </c>
      <c r="H32" s="498">
        <v>-1045211899</v>
      </c>
      <c r="I32" s="498">
        <v>0</v>
      </c>
      <c r="J32" s="710">
        <v>0</v>
      </c>
      <c r="K32" s="710">
        <v>0</v>
      </c>
      <c r="L32" s="1640">
        <f t="shared" si="9"/>
        <v>-1045211899</v>
      </c>
      <c r="N32" s="1636">
        <f>SUMIF('1.0'!$D:$D,T_BS!D32,'1.0'!$V:$V)</f>
        <v>0</v>
      </c>
      <c r="O32" s="925">
        <f>SUMIF('2.0'!$D:$D,T_BS!D32,'2.0'!$V:$V)</f>
        <v>0</v>
      </c>
      <c r="P32" s="925">
        <f>ROUND(SUMIF('3.0'!$D:$D,T_BS!D32,'3.0'!$H:$H),0)</f>
        <v>0</v>
      </c>
      <c r="Q32" s="1115">
        <f>ROUND(SUMIF('4.0'!$D:$D,T_BS!D32,'4.0'!$V:$V),0)</f>
        <v>0</v>
      </c>
      <c r="R32" s="925">
        <f>ROUND(SUMIF('5.0'!$D:$D,T_BS!D32,'5.0'!$V:$V),0)</f>
        <v>0</v>
      </c>
      <c r="S32" s="1115">
        <f>ROUND(SUMIF('6.0'!$D:$D,T_BS!D32,'6.0'!$V:$V),0)</f>
        <v>0</v>
      </c>
      <c r="T32" s="720">
        <f>ROUND(SUMIF('7.0'!$D:$D,T_BS!D32,'7.0'!$V:$V),0)</f>
        <v>0</v>
      </c>
      <c r="U32" s="1115">
        <f>ROUND(SUMIF('8.0'!$D:$D,T_BS!D32,'8.0'!$H:$H),0)</f>
        <v>0</v>
      </c>
      <c r="V32" s="1640">
        <f>SUM(N32:U32)</f>
        <v>0</v>
      </c>
      <c r="X32" s="1641">
        <f t="shared" si="11"/>
        <v>-1045211899</v>
      </c>
      <c r="Z32" s="1616">
        <f t="shared" si="12"/>
        <v>788323</v>
      </c>
      <c r="AB32" s="1641">
        <v>-1045195899</v>
      </c>
      <c r="AC32" s="1641">
        <v>-1045195899</v>
      </c>
      <c r="AD32" s="1641">
        <v>-1045195899</v>
      </c>
      <c r="AE32" s="1641">
        <v>-1045195899</v>
      </c>
      <c r="AF32" s="1641">
        <v>-1045195899</v>
      </c>
      <c r="AG32" s="1641">
        <v>-1045195899</v>
      </c>
      <c r="AH32" s="1641">
        <v>-1045367744</v>
      </c>
      <c r="AI32" s="1641">
        <v>-1046000222</v>
      </c>
      <c r="AJ32" s="1641">
        <v>-523004174</v>
      </c>
      <c r="AK32" s="1641">
        <v>0</v>
      </c>
      <c r="AL32" s="1641">
        <v>0</v>
      </c>
      <c r="AM32" s="1641">
        <v>0</v>
      </c>
      <c r="AN32" s="1641">
        <v>0</v>
      </c>
      <c r="AP32" s="498"/>
    </row>
    <row r="33" spans="1:42" ht="18" customHeight="1">
      <c r="A33" s="498"/>
      <c r="B33" s="1359" t="s">
        <v>1825</v>
      </c>
      <c r="D33" s="1593">
        <v>112300</v>
      </c>
      <c r="E33" s="1547" t="s">
        <v>1642</v>
      </c>
      <c r="F33" s="1361">
        <v>1212</v>
      </c>
      <c r="G33" s="1359" t="s">
        <v>1823</v>
      </c>
      <c r="H33" s="498">
        <v>456604931</v>
      </c>
      <c r="I33" s="498">
        <v>0</v>
      </c>
      <c r="J33" s="710">
        <v>0</v>
      </c>
      <c r="K33" s="710">
        <v>0</v>
      </c>
      <c r="L33" s="510">
        <f t="shared" si="9"/>
        <v>456604931</v>
      </c>
      <c r="N33" s="1667">
        <f>SUMIF('1.0'!$D:$D,T_BS!D33,'1.0'!$V:$V)</f>
        <v>0</v>
      </c>
      <c r="O33" s="710">
        <f>SUMIF('2.0'!$D:$D,T_BS!D33,'2.0'!$V:$V)</f>
        <v>0</v>
      </c>
      <c r="P33" s="509">
        <f>ROUND(SUMIF('3.0'!$D:$D,T_BS!D33,'3.0'!$H:$H),0)</f>
        <v>0</v>
      </c>
      <c r="Q33" s="720">
        <f>ROUND(SUMIF('4.0'!$D:$D,T_BS!D33,'4.0'!$V:$V),0)</f>
        <v>0</v>
      </c>
      <c r="R33" s="509">
        <f>ROUND(SUMIF('5.0'!$D:$D,T_BS!D33,'5.0'!$V:$V),0)</f>
        <v>0</v>
      </c>
      <c r="S33" s="720">
        <f>ROUND(SUMIF('6.0'!$D:$D,T_BS!D33,'6.0'!$V:$V),0)</f>
        <v>0</v>
      </c>
      <c r="T33" s="720">
        <f>ROUND(SUMIF('7.0'!$D:$D,T_BS!D33,'7.0'!$V:$V),0)</f>
        <v>0</v>
      </c>
      <c r="U33" s="720">
        <f>ROUND(SUMIF('8.0'!$D:$D,T_BS!D33,'8.0'!$H:$H),0)</f>
        <v>0</v>
      </c>
      <c r="V33" s="510">
        <f t="shared" si="10"/>
        <v>0</v>
      </c>
      <c r="X33" s="1641">
        <f t="shared" si="11"/>
        <v>456604931</v>
      </c>
      <c r="Z33" s="1616">
        <f t="shared" si="12"/>
        <v>350126849</v>
      </c>
      <c r="AB33" s="1616">
        <v>425316714</v>
      </c>
      <c r="AC33" s="1616">
        <v>312716165</v>
      </c>
      <c r="AD33" s="1616">
        <v>349197810</v>
      </c>
      <c r="AE33" s="1616">
        <v>285030684</v>
      </c>
      <c r="AF33" s="1616">
        <v>248104110</v>
      </c>
      <c r="AG33" s="1616">
        <v>127306849</v>
      </c>
      <c r="AH33" s="1616">
        <v>88942465</v>
      </c>
      <c r="AI33" s="1616">
        <v>106478082</v>
      </c>
      <c r="AJ33" s="1616">
        <v>81999998</v>
      </c>
      <c r="AK33" s="1616">
        <v>13441097</v>
      </c>
      <c r="AL33" s="1616">
        <v>39671232</v>
      </c>
      <c r="AM33" s="1616">
        <v>14584341</v>
      </c>
      <c r="AN33" s="1616">
        <v>6040983</v>
      </c>
      <c r="AP33" s="498"/>
    </row>
    <row r="34" spans="1:42" s="1653" customFormat="1" ht="18" customHeight="1">
      <c r="A34" s="575"/>
      <c r="B34" s="1086"/>
      <c r="C34" s="1086"/>
      <c r="D34" s="1670">
        <v>112301</v>
      </c>
      <c r="E34" s="1086" t="s">
        <v>1642</v>
      </c>
      <c r="F34" s="1671"/>
      <c r="G34" s="1086" t="s">
        <v>2394</v>
      </c>
      <c r="H34" s="498">
        <v>0</v>
      </c>
      <c r="I34" s="498">
        <v>0</v>
      </c>
      <c r="J34" s="710">
        <v>0</v>
      </c>
      <c r="K34" s="710">
        <v>0</v>
      </c>
      <c r="L34" s="1640">
        <f t="shared" si="9"/>
        <v>0</v>
      </c>
      <c r="N34" s="1636">
        <f>SUMIF('1.0'!$D:$D,T_BS!D34,'1.0'!$V:$V)</f>
        <v>0</v>
      </c>
      <c r="O34" s="925">
        <f>SUMIF('2.0'!$D:$D,T_BS!D34,'2.0'!$V:$V)</f>
        <v>0</v>
      </c>
      <c r="P34" s="925">
        <f>ROUND(SUMIF('3.0'!$D:$D,T_BS!D34,'3.0'!$H:$H),0)</f>
        <v>0</v>
      </c>
      <c r="Q34" s="1115">
        <f>ROUND(SUMIF('4.0'!$D:$D,T_BS!D34,'4.0'!$V:$V),0)</f>
        <v>0</v>
      </c>
      <c r="R34" s="925">
        <f>ROUND(SUMIF('5.0'!$D:$D,T_BS!D34,'5.0'!$V:$V),0)</f>
        <v>0</v>
      </c>
      <c r="S34" s="1115">
        <f>ROUND(SUMIF('6.0'!$D:$D,T_BS!D34,'6.0'!$V:$V),0)</f>
        <v>0</v>
      </c>
      <c r="T34" s="1115">
        <f>ROUND(SUMIF('7.0'!$D:$D,T_BS!D34,'7.0'!$V:$V),0)</f>
        <v>0</v>
      </c>
      <c r="U34" s="1115">
        <f>ROUND(SUMIF('8.0'!$D:$D,T_BS!D34,'8.0'!$H:$H),0)</f>
        <v>0</v>
      </c>
      <c r="V34" s="1640">
        <f>SUM(N34:U34)</f>
        <v>0</v>
      </c>
      <c r="X34" s="1641">
        <f t="shared" si="11"/>
        <v>0</v>
      </c>
      <c r="Z34" s="1616">
        <f t="shared" si="12"/>
        <v>0</v>
      </c>
      <c r="AB34" s="1641">
        <v>0</v>
      </c>
      <c r="AC34" s="1641">
        <v>0</v>
      </c>
      <c r="AD34" s="1641">
        <v>0</v>
      </c>
      <c r="AE34" s="1641">
        <v>0</v>
      </c>
      <c r="AF34" s="1641">
        <v>0</v>
      </c>
      <c r="AG34" s="1641">
        <v>0</v>
      </c>
      <c r="AH34" s="1641">
        <v>0</v>
      </c>
      <c r="AI34" s="1641">
        <v>0</v>
      </c>
      <c r="AJ34" s="1641">
        <v>81999998</v>
      </c>
      <c r="AK34" s="1641"/>
      <c r="AL34" s="1641"/>
      <c r="AM34" s="1641"/>
      <c r="AN34" s="1641">
        <v>0</v>
      </c>
      <c r="AP34" s="498"/>
    </row>
    <row r="35" spans="1:42" ht="18" customHeight="1">
      <c r="A35" s="498"/>
      <c r="B35" s="1359" t="s">
        <v>1825</v>
      </c>
      <c r="D35" s="1593">
        <v>112302</v>
      </c>
      <c r="E35" s="1547" t="s">
        <v>1642</v>
      </c>
      <c r="F35" s="1361">
        <v>1212</v>
      </c>
      <c r="G35" s="1359" t="s">
        <v>1824</v>
      </c>
      <c r="H35" s="498">
        <v>1648757</v>
      </c>
      <c r="I35" s="498">
        <v>0</v>
      </c>
      <c r="J35" s="710">
        <v>0</v>
      </c>
      <c r="K35" s="710">
        <v>0</v>
      </c>
      <c r="L35" s="510">
        <f t="shared" si="9"/>
        <v>1648757</v>
      </c>
      <c r="N35" s="1667">
        <f>SUMIF('1.0'!$D:$D,T_BS!D35,'1.0'!$V:$V)</f>
        <v>0</v>
      </c>
      <c r="O35" s="710">
        <f>SUMIF('2.0'!$D:$D,T_BS!D35,'2.0'!$V:$V)</f>
        <v>0</v>
      </c>
      <c r="P35" s="509">
        <f>ROUND(SUMIF('3.0'!$D:$D,T_BS!D35,'3.0'!$H:$H),0)</f>
        <v>0</v>
      </c>
      <c r="Q35" s="720">
        <f>ROUND(SUMIF('4.0'!$D:$D,T_BS!D35,'4.0'!$V:$V),0)</f>
        <v>0</v>
      </c>
      <c r="R35" s="509">
        <f>ROUND(SUMIF('5.0'!$D:$D,T_BS!D35,'5.0'!$V:$V),0)</f>
        <v>0</v>
      </c>
      <c r="S35" s="720">
        <f>ROUND(SUMIF('6.0'!$D:$D,T_BS!D35,'6.0'!$V:$V),0)</f>
        <v>0</v>
      </c>
      <c r="T35" s="720">
        <f>ROUND(SUMIF('7.0'!$D:$D,T_BS!D35,'7.0'!$V:$V),0)</f>
        <v>0</v>
      </c>
      <c r="U35" s="720">
        <f>ROUND(SUMIF('8.0'!$D:$D,T_BS!D35,'8.0'!$H:$H),0)</f>
        <v>0</v>
      </c>
      <c r="V35" s="510">
        <f>SUM(N35:U35)</f>
        <v>0</v>
      </c>
      <c r="X35" s="1641">
        <f t="shared" si="11"/>
        <v>1648757</v>
      </c>
      <c r="Z35" s="1616">
        <f t="shared" si="12"/>
        <v>1648757</v>
      </c>
      <c r="AB35" s="1616">
        <v>0</v>
      </c>
      <c r="AC35" s="1616">
        <v>0</v>
      </c>
      <c r="AD35" s="1616">
        <v>0</v>
      </c>
      <c r="AE35" s="1616">
        <v>0</v>
      </c>
      <c r="AF35" s="1616">
        <v>0</v>
      </c>
      <c r="AG35" s="1616">
        <v>0</v>
      </c>
      <c r="AH35" s="1616">
        <v>0</v>
      </c>
      <c r="AI35" s="1616">
        <v>0</v>
      </c>
      <c r="AJ35" s="1616">
        <v>0</v>
      </c>
      <c r="AK35" s="1616">
        <v>0</v>
      </c>
      <c r="AL35" s="1616">
        <v>-1069259</v>
      </c>
      <c r="AM35" s="1616">
        <v>0</v>
      </c>
      <c r="AN35" s="1616">
        <v>0</v>
      </c>
      <c r="AP35" s="498"/>
    </row>
    <row r="36" spans="1:42" ht="18" customHeight="1">
      <c r="A36" s="498"/>
      <c r="D36" s="1593">
        <v>113310</v>
      </c>
      <c r="E36" s="1359" t="s">
        <v>1642</v>
      </c>
      <c r="F36" s="1361">
        <v>1213</v>
      </c>
      <c r="G36" s="1359" t="s">
        <v>37</v>
      </c>
      <c r="H36" s="498">
        <v>0</v>
      </c>
      <c r="I36" s="498">
        <v>145587351</v>
      </c>
      <c r="J36" s="710">
        <v>0</v>
      </c>
      <c r="K36" s="710">
        <v>0</v>
      </c>
      <c r="L36" s="510">
        <f t="shared" si="9"/>
        <v>145587351</v>
      </c>
      <c r="N36" s="1667">
        <f>SUMIF('1.0'!$D:$D,T_BS!D36,'1.0'!$V:$V)</f>
        <v>0</v>
      </c>
      <c r="O36" s="710">
        <f>SUMIF('2.0'!$D:$D,T_BS!D36,'2.0'!$V:$V)</f>
        <v>0</v>
      </c>
      <c r="P36" s="509">
        <f>ROUND(SUMIF('3.0'!$D:$D,T_BS!D36,'3.0'!$H:$H),0)</f>
        <v>0</v>
      </c>
      <c r="Q36" s="720">
        <f>ROUND(SUMIF('4.0'!$D:$D,T_BS!D36,'4.0'!$V:$V),0)</f>
        <v>0</v>
      </c>
      <c r="R36" s="509">
        <f>ROUND(SUMIF('5.0'!$D:$D,T_BS!D36,'5.0'!$V:$V),0)</f>
        <v>0</v>
      </c>
      <c r="S36" s="720">
        <f>ROUND(SUMIF('6.0'!$D:$D,T_BS!D36,'6.0'!$V:$V),0)</f>
        <v>0</v>
      </c>
      <c r="T36" s="720">
        <f>ROUND(SUMIF('7.0'!$D:$D,T_BS!D36,'7.0'!$V:$V),0)</f>
        <v>0</v>
      </c>
      <c r="U36" s="720">
        <f>ROUND(SUMIF('8.0'!$D:$D,T_BS!D36,'8.0'!$H:$H),0)</f>
        <v>0</v>
      </c>
      <c r="V36" s="510">
        <f t="shared" si="10"/>
        <v>0</v>
      </c>
      <c r="X36" s="1641">
        <f t="shared" si="11"/>
        <v>145587351</v>
      </c>
      <c r="Z36" s="1616">
        <f t="shared" si="12"/>
        <v>-54412649</v>
      </c>
      <c r="AB36" s="1616">
        <v>1528262000</v>
      </c>
      <c r="AC36" s="1616">
        <v>1528262000</v>
      </c>
      <c r="AD36" s="1616">
        <v>1528262000</v>
      </c>
      <c r="AE36" s="1616">
        <v>428262000</v>
      </c>
      <c r="AF36" s="1616">
        <v>428262000</v>
      </c>
      <c r="AG36" s="1616">
        <v>428262000</v>
      </c>
      <c r="AH36" s="1616">
        <v>628262000</v>
      </c>
      <c r="AI36" s="1616">
        <v>200000000</v>
      </c>
      <c r="AJ36" s="1616">
        <v>1300000000</v>
      </c>
      <c r="AK36" s="1616">
        <v>1320000000</v>
      </c>
      <c r="AL36" s="1616">
        <v>20000000</v>
      </c>
      <c r="AM36" s="1616">
        <v>0</v>
      </c>
      <c r="AN36" s="1616">
        <v>0</v>
      </c>
      <c r="AP36" s="498"/>
    </row>
    <row r="37" spans="1:42" ht="18" customHeight="1">
      <c r="A37" s="498"/>
      <c r="D37" s="1593">
        <v>113320</v>
      </c>
      <c r="E37" s="1359" t="s">
        <v>1642</v>
      </c>
      <c r="F37" s="1361">
        <v>1213</v>
      </c>
      <c r="G37" s="1359" t="s">
        <v>2620</v>
      </c>
      <c r="H37" s="498">
        <v>0</v>
      </c>
      <c r="I37" s="498">
        <v>0</v>
      </c>
      <c r="J37" s="710">
        <v>0</v>
      </c>
      <c r="K37" s="710">
        <v>0</v>
      </c>
      <c r="L37" s="510">
        <f t="shared" si="9"/>
        <v>0</v>
      </c>
      <c r="N37" s="1667">
        <f>SUMIF('1.0'!$D:$D,T_BS!D37,'1.0'!$V:$V)</f>
        <v>0</v>
      </c>
      <c r="O37" s="710">
        <f>SUMIF('2.0'!$D:$D,T_BS!D37,'2.0'!$V:$V)</f>
        <v>0</v>
      </c>
      <c r="P37" s="509">
        <f>ROUND(SUMIF('3.0'!$D:$D,T_BS!D37,'3.0'!$H:$H),0)</f>
        <v>0</v>
      </c>
      <c r="Q37" s="720">
        <f>ROUND(SUMIF('4.0'!$D:$D,T_BS!D37,'4.0'!$V:$V),0)</f>
        <v>0</v>
      </c>
      <c r="R37" s="509">
        <f>ROUND(SUMIF('5.0'!$D:$D,T_BS!D37,'5.0'!$V:$V),0)</f>
        <v>0</v>
      </c>
      <c r="S37" s="720">
        <f>ROUND(SUMIF('6.0'!$D:$D,T_BS!D37,'6.0'!$V:$V),0)</f>
        <v>0</v>
      </c>
      <c r="T37" s="720">
        <f>ROUND(SUMIF('7.0'!$D:$D,T_BS!D37,'7.0'!$V:$V),0)</f>
        <v>0</v>
      </c>
      <c r="U37" s="720">
        <f>ROUND(SUMIF('8.0'!$D:$D,T_BS!D37,'8.0'!$H:$H),0)</f>
        <v>0</v>
      </c>
      <c r="V37" s="510">
        <f>SUM(N37:U37)</f>
        <v>0</v>
      </c>
      <c r="X37" s="1641">
        <f t="shared" si="11"/>
        <v>0</v>
      </c>
      <c r="Z37" s="1616">
        <f t="shared" si="12"/>
        <v>6490689</v>
      </c>
      <c r="AB37" s="1616">
        <v>-63138874</v>
      </c>
      <c r="AC37" s="1616">
        <v>-63138874</v>
      </c>
      <c r="AD37" s="1616">
        <v>-63138874</v>
      </c>
      <c r="AE37" s="1616">
        <v>-17981555</v>
      </c>
      <c r="AF37" s="1616">
        <v>-17981555</v>
      </c>
      <c r="AG37" s="1616">
        <v>-17981555</v>
      </c>
      <c r="AH37" s="1616">
        <v>-27800311</v>
      </c>
      <c r="AI37" s="1616">
        <v>-6490689</v>
      </c>
      <c r="AJ37" s="1616">
        <v>-54826777</v>
      </c>
      <c r="AK37" s="1616">
        <v>-54826777</v>
      </c>
      <c r="AL37" s="1616">
        <v>0</v>
      </c>
      <c r="AM37" s="1616">
        <v>0</v>
      </c>
      <c r="AN37" s="1616">
        <v>0</v>
      </c>
      <c r="AP37" s="498"/>
    </row>
    <row r="38" spans="1:42" ht="18" customHeight="1">
      <c r="A38" s="498"/>
      <c r="D38" s="1669"/>
      <c r="E38" s="1589"/>
      <c r="F38" s="1590"/>
      <c r="G38" s="1591" t="s">
        <v>38</v>
      </c>
      <c r="H38" s="520">
        <f>SUM(H39:H41)</f>
        <v>0</v>
      </c>
      <c r="I38" s="506">
        <f>SUM(I39:I41)</f>
        <v>0</v>
      </c>
      <c r="J38" s="506">
        <f>SUM(J39:J41)</f>
        <v>0</v>
      </c>
      <c r="K38" s="506">
        <f>SUM(K39:K41)</f>
        <v>0</v>
      </c>
      <c r="L38" s="507">
        <f>SUM(L39:L41)</f>
        <v>0</v>
      </c>
      <c r="N38" s="1631">
        <f t="shared" ref="N38:V38" si="13">SUM(N39:N41)</f>
        <v>0</v>
      </c>
      <c r="O38" s="506">
        <f t="shared" si="13"/>
        <v>0</v>
      </c>
      <c r="P38" s="506">
        <f t="shared" si="13"/>
        <v>0</v>
      </c>
      <c r="Q38" s="506">
        <f t="shared" si="13"/>
        <v>0</v>
      </c>
      <c r="R38" s="506">
        <f t="shared" si="13"/>
        <v>0</v>
      </c>
      <c r="S38" s="506">
        <f t="shared" si="13"/>
        <v>0</v>
      </c>
      <c r="T38" s="506">
        <f t="shared" si="13"/>
        <v>0</v>
      </c>
      <c r="U38" s="506">
        <f t="shared" si="13"/>
        <v>0</v>
      </c>
      <c r="V38" s="507">
        <f t="shared" si="13"/>
        <v>0</v>
      </c>
      <c r="X38" s="1630">
        <f>SUM(X39:X41)</f>
        <v>0</v>
      </c>
      <c r="Z38" s="1630">
        <f>SUM(Z39:Z41)</f>
        <v>0</v>
      </c>
      <c r="AB38" s="1630">
        <v>0</v>
      </c>
      <c r="AC38" s="1630">
        <v>0</v>
      </c>
      <c r="AD38" s="1630">
        <v>0</v>
      </c>
      <c r="AE38" s="1630">
        <v>0</v>
      </c>
      <c r="AF38" s="1630">
        <v>0</v>
      </c>
      <c r="AG38" s="1630">
        <v>0</v>
      </c>
      <c r="AH38" s="1630">
        <v>0</v>
      </c>
      <c r="AI38" s="1630">
        <v>0</v>
      </c>
      <c r="AJ38" s="1630">
        <v>0</v>
      </c>
      <c r="AK38" s="1630">
        <f>SUM(AK39:AK41)</f>
        <v>0</v>
      </c>
      <c r="AL38" s="1630">
        <f>SUM(AL39:AL41)</f>
        <v>0</v>
      </c>
      <c r="AM38" s="1630">
        <f>SUM(AM39:AM41)</f>
        <v>0</v>
      </c>
      <c r="AN38" s="1630">
        <v>0</v>
      </c>
      <c r="AP38" s="498"/>
    </row>
    <row r="39" spans="1:42" ht="18" customHeight="1">
      <c r="A39" s="498"/>
      <c r="D39" s="1593">
        <v>111410</v>
      </c>
      <c r="E39" s="1359" t="s">
        <v>38</v>
      </c>
      <c r="F39" s="1361"/>
      <c r="G39" s="1359" t="s">
        <v>40</v>
      </c>
      <c r="H39" s="498">
        <v>0</v>
      </c>
      <c r="I39" s="498">
        <v>0</v>
      </c>
      <c r="J39" s="710">
        <v>0</v>
      </c>
      <c r="K39" s="710">
        <v>0</v>
      </c>
      <c r="L39" s="510">
        <f>SUM(H39:K39)</f>
        <v>0</v>
      </c>
      <c r="N39" s="1667">
        <f>SUMIF('1.0'!$D:$D,T_BS!D39,'1.0'!$V:$V)</f>
        <v>0</v>
      </c>
      <c r="O39" s="710">
        <f>SUMIF('2.0'!$D:$D,T_BS!D39,'2.0'!$V:$V)</f>
        <v>0</v>
      </c>
      <c r="P39" s="509">
        <f>ROUND(SUMIF('3.0'!$D:$D,T_BS!D39,'3.0'!$H:$H),0)</f>
        <v>0</v>
      </c>
      <c r="Q39" s="720">
        <f>ROUND(SUMIF('4.0'!$D:$D,T_BS!D39,'4.0'!$V:$V),0)</f>
        <v>0</v>
      </c>
      <c r="R39" s="509">
        <f>ROUND(SUMIF('5.0'!$D:$D,T_BS!D39,'5.0'!$V:$V),0)</f>
        <v>0</v>
      </c>
      <c r="S39" s="720">
        <f>ROUND(SUMIF('6.0'!$D:$D,T_BS!D39,'6.0'!$V:$V),0)</f>
        <v>0</v>
      </c>
      <c r="T39" s="720">
        <f>ROUND(SUMIF('7.0'!$D:$D,T_BS!D39,'7.0'!$V:$V),0)</f>
        <v>0</v>
      </c>
      <c r="U39" s="720">
        <f>ROUND(SUMIF('8.0'!$D:$D,T_BS!D39,'8.0'!$H:$H),0)</f>
        <v>0</v>
      </c>
      <c r="V39" s="510">
        <f t="shared" si="10"/>
        <v>0</v>
      </c>
      <c r="X39" s="1616">
        <f>V39+L39</f>
        <v>0</v>
      </c>
      <c r="Z39" s="1616">
        <f>X39-AI39</f>
        <v>0</v>
      </c>
      <c r="AB39" s="1616">
        <v>0</v>
      </c>
      <c r="AC39" s="1616">
        <v>0</v>
      </c>
      <c r="AD39" s="1616">
        <v>0</v>
      </c>
      <c r="AE39" s="1616">
        <v>0</v>
      </c>
      <c r="AF39" s="1616">
        <v>0</v>
      </c>
      <c r="AG39" s="1616">
        <v>0</v>
      </c>
      <c r="AH39" s="1616">
        <v>0</v>
      </c>
      <c r="AI39" s="1616">
        <v>0</v>
      </c>
      <c r="AJ39" s="1616">
        <v>0</v>
      </c>
      <c r="AK39" s="1616">
        <v>0</v>
      </c>
      <c r="AL39" s="1616">
        <v>0</v>
      </c>
      <c r="AM39" s="1616">
        <v>0</v>
      </c>
      <c r="AN39" s="1616">
        <v>0</v>
      </c>
      <c r="AP39" s="498"/>
    </row>
    <row r="40" spans="1:42" ht="18" customHeight="1">
      <c r="A40" s="498"/>
      <c r="D40" s="1633" t="s">
        <v>219</v>
      </c>
      <c r="E40" s="1359" t="s">
        <v>38</v>
      </c>
      <c r="F40" s="1361"/>
      <c r="G40" s="1359" t="s">
        <v>41</v>
      </c>
      <c r="H40" s="498">
        <v>0</v>
      </c>
      <c r="I40" s="498">
        <v>0</v>
      </c>
      <c r="J40" s="710">
        <v>0</v>
      </c>
      <c r="K40" s="710">
        <v>0</v>
      </c>
      <c r="L40" s="510">
        <f>SUM(H40:K40)</f>
        <v>0</v>
      </c>
      <c r="N40" s="1667">
        <f>SUMIF('1.0'!$D:$D,T_BS!D40,'1.0'!$V:$V)</f>
        <v>0</v>
      </c>
      <c r="O40" s="710">
        <f>SUMIF('2.0'!$D:$D,T_BS!D40,'2.0'!$V:$V)</f>
        <v>0</v>
      </c>
      <c r="P40" s="509">
        <f>ROUND(SUMIF('3.0'!$D:$D,T_BS!D40,'3.0'!$H:$H),0)</f>
        <v>0</v>
      </c>
      <c r="Q40" s="720">
        <f>ROUND(SUMIF('4.0'!$D:$D,T_BS!D40,'4.0'!$V:$V),0)</f>
        <v>0</v>
      </c>
      <c r="R40" s="509">
        <f>ROUND(SUMIF('5.0'!$D:$D,T_BS!D40,'5.0'!$V:$V),0)</f>
        <v>0</v>
      </c>
      <c r="S40" s="720">
        <f>ROUND(SUMIF('6.0'!$D:$D,T_BS!D40,'6.0'!$V:$V),0)</f>
        <v>0</v>
      </c>
      <c r="T40" s="720">
        <f>ROUND(SUMIF('7.0'!$D:$D,T_BS!D40,'7.0'!$V:$V),0)</f>
        <v>0</v>
      </c>
      <c r="U40" s="720">
        <f>ROUND(SUMIF('8.0'!$D:$D,T_BS!D40,'8.0'!$H:$H),0)</f>
        <v>0</v>
      </c>
      <c r="V40" s="510">
        <f t="shared" si="10"/>
        <v>0</v>
      </c>
      <c r="X40" s="1616">
        <f>V40+L40</f>
        <v>0</v>
      </c>
      <c r="Z40" s="1616">
        <f>X40-AI40</f>
        <v>0</v>
      </c>
      <c r="AB40" s="1616">
        <v>0</v>
      </c>
      <c r="AC40" s="1616">
        <v>0</v>
      </c>
      <c r="AD40" s="1616">
        <v>0</v>
      </c>
      <c r="AE40" s="1616">
        <v>0</v>
      </c>
      <c r="AF40" s="1616">
        <v>0</v>
      </c>
      <c r="AG40" s="1616">
        <v>0</v>
      </c>
      <c r="AH40" s="1616">
        <v>0</v>
      </c>
      <c r="AI40" s="1616">
        <v>0</v>
      </c>
      <c r="AJ40" s="1616">
        <v>0</v>
      </c>
      <c r="AK40" s="1616">
        <v>0</v>
      </c>
      <c r="AL40" s="1616">
        <v>0</v>
      </c>
      <c r="AM40" s="1616">
        <v>0</v>
      </c>
      <c r="AN40" s="1616">
        <v>0</v>
      </c>
      <c r="AP40" s="498"/>
    </row>
    <row r="41" spans="1:42" ht="18" customHeight="1">
      <c r="A41" s="498"/>
      <c r="D41" s="1633" t="s">
        <v>220</v>
      </c>
      <c r="E41" s="1359" t="s">
        <v>38</v>
      </c>
      <c r="F41" s="1361"/>
      <c r="G41" s="1359" t="s">
        <v>42</v>
      </c>
      <c r="H41" s="498">
        <v>0</v>
      </c>
      <c r="I41" s="498">
        <v>0</v>
      </c>
      <c r="J41" s="710">
        <v>0</v>
      </c>
      <c r="K41" s="710">
        <v>0</v>
      </c>
      <c r="L41" s="510">
        <f>SUM(H41:K41)</f>
        <v>0</v>
      </c>
      <c r="N41" s="1667">
        <f>SUMIF('1.0'!$D:$D,T_BS!D41,'1.0'!$V:$V)</f>
        <v>0</v>
      </c>
      <c r="O41" s="710">
        <f>SUMIF('2.0'!$D:$D,T_BS!D41,'2.0'!$V:$V)</f>
        <v>0</v>
      </c>
      <c r="P41" s="509">
        <f>ROUND(SUMIF('3.0'!$D:$D,T_BS!D41,'3.0'!$H:$H),0)</f>
        <v>0</v>
      </c>
      <c r="Q41" s="720">
        <f>ROUND(SUMIF('4.0'!$D:$D,T_BS!D41,'4.0'!$V:$V),0)</f>
        <v>0</v>
      </c>
      <c r="R41" s="509">
        <f>ROUND(SUMIF('5.0'!$D:$D,T_BS!D41,'5.0'!$V:$V),0)</f>
        <v>0</v>
      </c>
      <c r="S41" s="720">
        <f>ROUND(SUMIF('6.0'!$D:$D,T_BS!D41,'6.0'!$V:$V),0)</f>
        <v>0</v>
      </c>
      <c r="T41" s="720">
        <f>ROUND(SUMIF('7.0'!$D:$D,T_BS!D41,'7.0'!$V:$V),0)</f>
        <v>0</v>
      </c>
      <c r="U41" s="720">
        <f>ROUND(SUMIF('8.0'!$D:$D,T_BS!D41,'8.0'!$H:$H),0)</f>
        <v>0</v>
      </c>
      <c r="V41" s="510">
        <f t="shared" si="10"/>
        <v>0</v>
      </c>
      <c r="X41" s="1616">
        <f>V41+L41</f>
        <v>0</v>
      </c>
      <c r="Z41" s="1616">
        <f>X41-AI41</f>
        <v>0</v>
      </c>
      <c r="AB41" s="1616">
        <v>0</v>
      </c>
      <c r="AC41" s="1616">
        <v>0</v>
      </c>
      <c r="AD41" s="1616">
        <v>0</v>
      </c>
      <c r="AE41" s="1616">
        <v>0</v>
      </c>
      <c r="AF41" s="1616">
        <v>0</v>
      </c>
      <c r="AG41" s="1616">
        <v>0</v>
      </c>
      <c r="AH41" s="1616">
        <v>0</v>
      </c>
      <c r="AI41" s="1616">
        <v>0</v>
      </c>
      <c r="AJ41" s="1616">
        <v>0</v>
      </c>
      <c r="AK41" s="1616">
        <v>0</v>
      </c>
      <c r="AL41" s="1616">
        <v>0</v>
      </c>
      <c r="AM41" s="1616">
        <v>0</v>
      </c>
      <c r="AN41" s="1616">
        <v>0</v>
      </c>
      <c r="AP41" s="498"/>
    </row>
    <row r="42" spans="1:42" ht="18" customHeight="1">
      <c r="A42" s="498"/>
      <c r="D42" s="1588"/>
      <c r="E42" s="1589"/>
      <c r="F42" s="1590"/>
      <c r="G42" s="1589" t="s">
        <v>2</v>
      </c>
      <c r="H42" s="520">
        <f>SUM(H43:H51)</f>
        <v>13413527460</v>
      </c>
      <c r="I42" s="506">
        <f>SUM(I43:I51)</f>
        <v>0</v>
      </c>
      <c r="J42" s="506">
        <f>SUM(J43:J51)</f>
        <v>3926699</v>
      </c>
      <c r="K42" s="506">
        <f>SUM(K43:K51)</f>
        <v>242250115</v>
      </c>
      <c r="L42" s="507">
        <f>SUM(L43:L51)</f>
        <v>13659704274</v>
      </c>
      <c r="N42" s="1631">
        <f t="shared" ref="N42:S42" si="14">SUM(N43:N51)</f>
        <v>0</v>
      </c>
      <c r="O42" s="506">
        <f t="shared" si="14"/>
        <v>0</v>
      </c>
      <c r="P42" s="506">
        <f t="shared" si="14"/>
        <v>0</v>
      </c>
      <c r="Q42" s="506">
        <f t="shared" si="14"/>
        <v>-26099026</v>
      </c>
      <c r="R42" s="506">
        <f t="shared" si="14"/>
        <v>0</v>
      </c>
      <c r="S42" s="506">
        <f t="shared" si="14"/>
        <v>0</v>
      </c>
      <c r="T42" s="506">
        <f>SUM(T43:T51)</f>
        <v>0</v>
      </c>
      <c r="U42" s="506">
        <f>SUM(U43:U51)</f>
        <v>0</v>
      </c>
      <c r="V42" s="507">
        <f>SUM(V43:V51)</f>
        <v>-26099026</v>
      </c>
      <c r="X42" s="1630">
        <f>SUM(X43:X51)</f>
        <v>13633605248</v>
      </c>
      <c r="Z42" s="1630">
        <f>SUM(Z43:Z51)</f>
        <v>5975162424</v>
      </c>
      <c r="AB42" s="1630">
        <v>14954973205</v>
      </c>
      <c r="AC42" s="1630">
        <v>14376601355</v>
      </c>
      <c r="AD42" s="1630">
        <v>13877833606</v>
      </c>
      <c r="AE42" s="1630">
        <v>13155462759</v>
      </c>
      <c r="AF42" s="1630">
        <v>12570371884</v>
      </c>
      <c r="AG42" s="1630">
        <v>10458361029</v>
      </c>
      <c r="AH42" s="1630">
        <v>8615066388</v>
      </c>
      <c r="AI42" s="1630">
        <v>7658442824</v>
      </c>
      <c r="AJ42" s="1630">
        <v>7564361816</v>
      </c>
      <c r="AK42" s="1630">
        <v>7675960905</v>
      </c>
      <c r="AL42" s="1630">
        <v>5867799188</v>
      </c>
      <c r="AM42" s="1630">
        <f>SUM(AM43:AM51)</f>
        <v>5012752621</v>
      </c>
      <c r="AN42" s="1630">
        <v>4636197058</v>
      </c>
      <c r="AP42" s="498"/>
    </row>
    <row r="43" spans="1:42" ht="18" customHeight="1">
      <c r="A43" s="498"/>
      <c r="D43" s="1593">
        <v>115100</v>
      </c>
      <c r="E43" s="1359" t="s">
        <v>2</v>
      </c>
      <c r="F43" s="1361">
        <v>1301</v>
      </c>
      <c r="G43" s="1359" t="s">
        <v>43</v>
      </c>
      <c r="H43" s="498">
        <v>6779841867</v>
      </c>
      <c r="I43" s="498">
        <v>0</v>
      </c>
      <c r="J43" s="710">
        <v>193015521</v>
      </c>
      <c r="K43" s="710">
        <v>2929841886</v>
      </c>
      <c r="L43" s="510">
        <f t="shared" ref="L43:L51" si="15">SUM(H43:K43)</f>
        <v>9902699274</v>
      </c>
      <c r="N43" s="1667">
        <f>SUMIF('1.0'!$D:$D,T_BS!D43,'1.0'!$V:$V)</f>
        <v>0</v>
      </c>
      <c r="O43" s="710">
        <f>SUMIF('2.0'!$D:$D,T_BS!D43,'2.0'!$V:$V)</f>
        <v>0</v>
      </c>
      <c r="P43" s="509">
        <f>ROUND(SUMIF('3.0'!$D:$D,T_BS!D43,'3.0'!$H:$H),0)</f>
        <v>0</v>
      </c>
      <c r="Q43" s="720">
        <f>ROUND(SUMIF('4.0'!$D:$D,T_BS!D43,'4.0'!$V:$V),0)</f>
        <v>-12175869</v>
      </c>
      <c r="R43" s="509">
        <f>ROUND(SUMIF('5.0'!$D:$D,T_BS!D43,'5.0'!$V:$V),0)</f>
        <v>0</v>
      </c>
      <c r="S43" s="720">
        <f>ROUND(SUMIF('6.0'!$D:$D,T_BS!D43,'6.0'!$V:$V),0)</f>
        <v>-83403250</v>
      </c>
      <c r="T43" s="720">
        <f>ROUND(SUMIF('7.0'!$D:$D,T_BS!D43,'7.0'!$V:$V),0)</f>
        <v>0</v>
      </c>
      <c r="U43" s="720">
        <f>ROUND(SUMIF('8.0'!$D:$D,T_BS!D43,'8.0'!$H:$H),0)</f>
        <v>0</v>
      </c>
      <c r="V43" s="510">
        <f t="shared" si="10"/>
        <v>-95579119</v>
      </c>
      <c r="X43" s="1641">
        <f t="shared" ref="X43:X51" si="16">V43+L43</f>
        <v>9807120155</v>
      </c>
      <c r="Z43" s="1616">
        <f t="shared" ref="Z43:Z51" si="17">X43-AI43</f>
        <v>255089895</v>
      </c>
      <c r="AB43" s="1616">
        <v>10542028330</v>
      </c>
      <c r="AC43" s="1616">
        <v>10972243270</v>
      </c>
      <c r="AD43" s="1616">
        <v>10961033338</v>
      </c>
      <c r="AE43" s="1616">
        <v>10279875930</v>
      </c>
      <c r="AF43" s="1616">
        <v>10143892874</v>
      </c>
      <c r="AG43" s="1616">
        <v>9285667292</v>
      </c>
      <c r="AH43" s="1616">
        <v>9207014881</v>
      </c>
      <c r="AI43" s="1616">
        <v>9552030260</v>
      </c>
      <c r="AJ43" s="1616">
        <v>9639666127</v>
      </c>
      <c r="AK43" s="1616">
        <v>9533654451</v>
      </c>
      <c r="AL43" s="1616">
        <v>9772987391</v>
      </c>
      <c r="AM43" s="1616">
        <v>9514170870</v>
      </c>
      <c r="AN43" s="1616">
        <v>9553713376</v>
      </c>
      <c r="AP43" s="498"/>
    </row>
    <row r="44" spans="1:42" ht="18" customHeight="1">
      <c r="A44" s="498"/>
      <c r="D44" s="1593">
        <v>115170</v>
      </c>
      <c r="E44" s="1359" t="s">
        <v>2</v>
      </c>
      <c r="F44" s="1361">
        <v>1302</v>
      </c>
      <c r="G44" s="1359" t="s">
        <v>44</v>
      </c>
      <c r="H44" s="498">
        <v>-2658997797</v>
      </c>
      <c r="I44" s="498">
        <v>0</v>
      </c>
      <c r="J44" s="710">
        <v>-189175313</v>
      </c>
      <c r="K44" s="710">
        <v>-2687591771</v>
      </c>
      <c r="L44" s="510">
        <f t="shared" si="15"/>
        <v>-5535764881</v>
      </c>
      <c r="N44" s="1667">
        <f>SUMIF('1.0'!$D:$D,T_BS!D44,'1.0'!$V:$V)</f>
        <v>0</v>
      </c>
      <c r="O44" s="710">
        <f>SUMIF('2.0'!$D:$D,T_BS!D44,'2.0'!$V:$V)</f>
        <v>0</v>
      </c>
      <c r="P44" s="509">
        <f>ROUND(SUMIF('3.0'!$D:$D,T_BS!D44,'3.0'!$H:$H),0)</f>
        <v>0</v>
      </c>
      <c r="Q44" s="720">
        <f>ROUND(SUMIF('4.0'!$D:$D,T_BS!D44,'4.0'!$V:$V),0)</f>
        <v>0</v>
      </c>
      <c r="R44" s="509">
        <f>ROUND(SUMIF('5.0'!$D:$D,T_BS!D44,'5.0'!$V:$V),0)</f>
        <v>0</v>
      </c>
      <c r="S44" s="720">
        <f>ROUND(SUMIF('6.0'!$D:$D,T_BS!D44,'6.0'!$V:$V),0)</f>
        <v>0</v>
      </c>
      <c r="T44" s="720">
        <f>ROUND(SUMIF('7.0'!$D:$D,T_BS!D44,'7.0'!$V:$V),0)</f>
        <v>0</v>
      </c>
      <c r="U44" s="720">
        <f>ROUND(SUMIF('8.0'!$D:$D,T_BS!D44,'8.0'!$H:$H),0)</f>
        <v>0</v>
      </c>
      <c r="V44" s="510">
        <f t="shared" si="10"/>
        <v>0</v>
      </c>
      <c r="X44" s="1641">
        <f t="shared" si="16"/>
        <v>-5535764881</v>
      </c>
      <c r="Z44" s="1616">
        <f t="shared" si="17"/>
        <v>422627285</v>
      </c>
      <c r="AB44" s="1616">
        <v>-5525288126</v>
      </c>
      <c r="AC44" s="1616">
        <v>-5616858075</v>
      </c>
      <c r="AD44" s="1616">
        <v>-5692706738</v>
      </c>
      <c r="AE44" s="1616">
        <v>-5578065267</v>
      </c>
      <c r="AF44" s="1616">
        <v>-5294916398</v>
      </c>
      <c r="AG44" s="1616">
        <v>-5287085386</v>
      </c>
      <c r="AH44" s="1616">
        <v>-5316225353</v>
      </c>
      <c r="AI44" s="1616">
        <v>-5958392166</v>
      </c>
      <c r="AJ44" s="1616">
        <v>-6085717670</v>
      </c>
      <c r="AK44" s="1616">
        <v>-6160937254</v>
      </c>
      <c r="AL44" s="1616">
        <v>-7319599276</v>
      </c>
      <c r="AM44" s="1616">
        <v>-7445585371</v>
      </c>
      <c r="AN44" s="1616">
        <v>-7972135418</v>
      </c>
      <c r="AP44" s="498"/>
    </row>
    <row r="45" spans="1:42" ht="18" customHeight="1">
      <c r="A45" s="498"/>
      <c r="D45" s="1593">
        <v>115200</v>
      </c>
      <c r="E45" s="1359" t="s">
        <v>2</v>
      </c>
      <c r="F45" s="1361">
        <v>1303</v>
      </c>
      <c r="G45" s="1359" t="s">
        <v>45</v>
      </c>
      <c r="H45" s="498">
        <v>4769903601</v>
      </c>
      <c r="I45" s="498">
        <v>0</v>
      </c>
      <c r="J45" s="710">
        <v>66175401</v>
      </c>
      <c r="K45" s="710">
        <v>0</v>
      </c>
      <c r="L45" s="510">
        <f t="shared" si="15"/>
        <v>4836079002</v>
      </c>
      <c r="N45" s="1667">
        <f>SUMIF('1.0'!$D:$D,T_BS!D45,'1.0'!$V:$V)</f>
        <v>0</v>
      </c>
      <c r="O45" s="710">
        <f>SUMIF('2.0'!$D:$D,T_BS!D45,'2.0'!$V:$V)</f>
        <v>0</v>
      </c>
      <c r="P45" s="509">
        <f>ROUND(SUMIF('3.0'!$D:$D,T_BS!D45,'3.0'!$H:$H),0)</f>
        <v>0</v>
      </c>
      <c r="Q45" s="720">
        <f>ROUND(SUMIF('4.0'!$D:$D,T_BS!D45,'4.0'!$V:$V),0)</f>
        <v>-13923157</v>
      </c>
      <c r="R45" s="509">
        <f>ROUND(SUMIF('5.0'!$D:$D,T_BS!D45,'5.0'!$V:$V),0)</f>
        <v>0</v>
      </c>
      <c r="S45" s="720">
        <f>ROUND(SUMIF('6.0'!$D:$D,T_BS!D45,'6.0'!$V:$V),0)</f>
        <v>83403250</v>
      </c>
      <c r="T45" s="720">
        <f>ROUND(SUMIF('7.0'!$D:$D,T_BS!D45,'7.0'!$V:$V),0)</f>
        <v>0</v>
      </c>
      <c r="U45" s="720">
        <f>ROUND(SUMIF('8.0'!$D:$D,T_BS!D45,'8.0'!$H:$H),0)</f>
        <v>0</v>
      </c>
      <c r="V45" s="510">
        <f t="shared" si="10"/>
        <v>69480093</v>
      </c>
      <c r="X45" s="1641">
        <f t="shared" si="16"/>
        <v>4905559095</v>
      </c>
      <c r="Z45" s="1616">
        <f t="shared" si="17"/>
        <v>2596715843</v>
      </c>
      <c r="AB45" s="1616">
        <v>3979796516</v>
      </c>
      <c r="AC45" s="1616">
        <v>4279594508</v>
      </c>
      <c r="AD45" s="1616">
        <v>3378283448</v>
      </c>
      <c r="AE45" s="1616">
        <v>3377647255</v>
      </c>
      <c r="AF45" s="1616">
        <v>2986789642</v>
      </c>
      <c r="AG45" s="1616">
        <v>2704584788</v>
      </c>
      <c r="AH45" s="1616">
        <v>2216892747</v>
      </c>
      <c r="AI45" s="1616">
        <v>2308843252</v>
      </c>
      <c r="AJ45" s="1616">
        <v>2169773882</v>
      </c>
      <c r="AK45" s="1616">
        <v>2353920039</v>
      </c>
      <c r="AL45" s="1616">
        <v>2847956579</v>
      </c>
      <c r="AM45" s="1616">
        <v>2887606004</v>
      </c>
      <c r="AN45" s="1616">
        <v>2835908871</v>
      </c>
      <c r="AP45" s="498"/>
    </row>
    <row r="46" spans="1:42" ht="18" customHeight="1">
      <c r="A46" s="498"/>
      <c r="D46" s="1593">
        <v>115270</v>
      </c>
      <c r="E46" s="1359" t="s">
        <v>2</v>
      </c>
      <c r="F46" s="1361">
        <v>1304</v>
      </c>
      <c r="G46" s="1359" t="s">
        <v>46</v>
      </c>
      <c r="H46" s="498">
        <v>-1297151186</v>
      </c>
      <c r="I46" s="498">
        <v>0</v>
      </c>
      <c r="J46" s="710">
        <v>-66175401</v>
      </c>
      <c r="K46" s="710">
        <v>0</v>
      </c>
      <c r="L46" s="510">
        <f t="shared" si="15"/>
        <v>-1363326587</v>
      </c>
      <c r="N46" s="1667">
        <f>SUMIF('1.0'!$D:$D,T_BS!D46,'1.0'!$V:$V)</f>
        <v>0</v>
      </c>
      <c r="O46" s="710">
        <f>SUMIF('2.0'!$D:$D,T_BS!D46,'2.0'!$V:$V)</f>
        <v>0</v>
      </c>
      <c r="P46" s="509">
        <f>ROUND(SUMIF('3.0'!$D:$D,T_BS!D46,'3.0'!$H:$H),0)</f>
        <v>0</v>
      </c>
      <c r="Q46" s="720">
        <f>ROUND(SUMIF('4.0'!$D:$D,T_BS!D46,'4.0'!$V:$V),0)</f>
        <v>0</v>
      </c>
      <c r="R46" s="509">
        <f>ROUND(SUMIF('5.0'!$D:$D,T_BS!D46,'5.0'!$V:$V),0)</f>
        <v>0</v>
      </c>
      <c r="S46" s="720">
        <f>ROUND(SUMIF('6.0'!$D:$D,T_BS!D46,'6.0'!$V:$V),0)</f>
        <v>0</v>
      </c>
      <c r="T46" s="720">
        <f>ROUND(SUMIF('7.0'!$D:$D,T_BS!D46,'7.0'!$V:$V),0)</f>
        <v>0</v>
      </c>
      <c r="U46" s="720">
        <f>ROUND(SUMIF('8.0'!$D:$D,T_BS!D46,'8.0'!$H:$H),0)</f>
        <v>0</v>
      </c>
      <c r="V46" s="510">
        <f t="shared" si="10"/>
        <v>0</v>
      </c>
      <c r="X46" s="1641">
        <f t="shared" si="16"/>
        <v>-1363326587</v>
      </c>
      <c r="Z46" s="1616">
        <f t="shared" si="17"/>
        <v>-343030918</v>
      </c>
      <c r="AB46" s="1616">
        <v>-1160484933</v>
      </c>
      <c r="AC46" s="1616">
        <v>-1165347186</v>
      </c>
      <c r="AD46" s="1616">
        <v>-1166784039</v>
      </c>
      <c r="AE46" s="1616">
        <v>-1095674002</v>
      </c>
      <c r="AF46" s="1616">
        <v>-1093758324</v>
      </c>
      <c r="AG46" s="1616">
        <v>-1093533699</v>
      </c>
      <c r="AH46" s="1616">
        <v>-1078790355</v>
      </c>
      <c r="AI46" s="1616">
        <v>-1020295669</v>
      </c>
      <c r="AJ46" s="1616">
        <v>-1153981584</v>
      </c>
      <c r="AK46" s="1616">
        <v>-1154650595</v>
      </c>
      <c r="AL46" s="1616">
        <v>-1923162570</v>
      </c>
      <c r="AM46" s="1616">
        <v>-2031226244</v>
      </c>
      <c r="AN46" s="1616">
        <v>-1878677843</v>
      </c>
      <c r="AP46" s="498"/>
    </row>
    <row r="47" spans="1:42" ht="18" customHeight="1">
      <c r="A47" s="498"/>
      <c r="D47" s="1593">
        <v>115300</v>
      </c>
      <c r="E47" s="1359" t="s">
        <v>2</v>
      </c>
      <c r="F47" s="1361">
        <v>1305</v>
      </c>
      <c r="G47" s="1359" t="s">
        <v>47</v>
      </c>
      <c r="H47" s="498">
        <v>1856703638</v>
      </c>
      <c r="I47" s="498">
        <v>0</v>
      </c>
      <c r="J47" s="710">
        <v>0</v>
      </c>
      <c r="K47" s="710">
        <v>0</v>
      </c>
      <c r="L47" s="510">
        <f t="shared" si="15"/>
        <v>1856703638</v>
      </c>
      <c r="N47" s="1667">
        <f>SUMIF('1.0'!$D:$D,T_BS!D47,'1.0'!$V:$V)</f>
        <v>0</v>
      </c>
      <c r="O47" s="710">
        <f>SUMIF('2.0'!$D:$D,T_BS!D47,'2.0'!$V:$V)</f>
        <v>0</v>
      </c>
      <c r="P47" s="509">
        <f>ROUND(SUMIF('3.0'!$D:$D,T_BS!D47,'3.0'!$H:$H),0)</f>
        <v>0</v>
      </c>
      <c r="Q47" s="720">
        <f>ROUND(SUMIF('4.0'!$D:$D,T_BS!D47,'4.0'!$V:$V),0)</f>
        <v>0</v>
      </c>
      <c r="R47" s="509">
        <f>ROUND(SUMIF('5.0'!$D:$D,T_BS!D47,'5.0'!$V:$V),0)</f>
        <v>0</v>
      </c>
      <c r="S47" s="720">
        <f>ROUND(SUMIF('6.0'!$D:$D,T_BS!D47,'6.0'!$V:$V),0)</f>
        <v>0</v>
      </c>
      <c r="T47" s="720">
        <f>ROUND(SUMIF('7.0'!$D:$D,T_BS!D47,'7.0'!$V:$V),0)</f>
        <v>0</v>
      </c>
      <c r="U47" s="720">
        <f>ROUND(SUMIF('8.0'!$D:$D,T_BS!D47,'8.0'!$H:$H),0)</f>
        <v>0</v>
      </c>
      <c r="V47" s="510">
        <f t="shared" si="10"/>
        <v>0</v>
      </c>
      <c r="X47" s="1641">
        <f t="shared" si="16"/>
        <v>1856703638</v>
      </c>
      <c r="Z47" s="1616">
        <f t="shared" si="17"/>
        <v>770625821</v>
      </c>
      <c r="AB47" s="1616">
        <v>1965624768</v>
      </c>
      <c r="AC47" s="1616">
        <v>1853002880</v>
      </c>
      <c r="AD47" s="1616">
        <v>1768948369</v>
      </c>
      <c r="AE47" s="1616">
        <v>1597532410</v>
      </c>
      <c r="AF47" s="1616">
        <v>1634373955</v>
      </c>
      <c r="AG47" s="1616">
        <v>1300880467</v>
      </c>
      <c r="AH47" s="1616">
        <v>928780311</v>
      </c>
      <c r="AI47" s="1616">
        <v>1086077817</v>
      </c>
      <c r="AJ47" s="1616">
        <v>1244407078</v>
      </c>
      <c r="AK47" s="1616">
        <v>1229886487</v>
      </c>
      <c r="AL47" s="1616">
        <v>1300036025</v>
      </c>
      <c r="AM47" s="1616">
        <v>1133994793</v>
      </c>
      <c r="AN47" s="1616">
        <v>1157114968</v>
      </c>
      <c r="AP47" s="498"/>
    </row>
    <row r="48" spans="1:42" ht="18" customHeight="1">
      <c r="A48" s="498"/>
      <c r="D48" s="1593">
        <v>115350</v>
      </c>
      <c r="E48" s="1359" t="s">
        <v>2</v>
      </c>
      <c r="F48" s="1361">
        <v>1306</v>
      </c>
      <c r="G48" s="1359" t="s">
        <v>48</v>
      </c>
      <c r="H48" s="498">
        <v>-798916255</v>
      </c>
      <c r="I48" s="498">
        <v>0</v>
      </c>
      <c r="J48" s="710">
        <v>0</v>
      </c>
      <c r="K48" s="710">
        <v>0</v>
      </c>
      <c r="L48" s="510">
        <f t="shared" si="15"/>
        <v>-798916255</v>
      </c>
      <c r="N48" s="1667">
        <f>SUMIF('1.0'!$D:$D,T_BS!D48,'1.0'!$V:$V)</f>
        <v>0</v>
      </c>
      <c r="O48" s="710">
        <f>SUMIF('2.0'!$D:$D,T_BS!D48,'2.0'!$V:$V)</f>
        <v>0</v>
      </c>
      <c r="P48" s="509">
        <f>ROUND(SUMIF('3.0'!$D:$D,T_BS!D48,'3.0'!$H:$H),0)</f>
        <v>0</v>
      </c>
      <c r="Q48" s="720">
        <f>ROUND(SUMIF('4.0'!$D:$D,T_BS!D48,'4.0'!$V:$V),0)</f>
        <v>0</v>
      </c>
      <c r="R48" s="509">
        <f>ROUND(SUMIF('5.0'!$D:$D,T_BS!D48,'5.0'!$V:$V),0)</f>
        <v>0</v>
      </c>
      <c r="S48" s="720">
        <f>ROUND(SUMIF('6.0'!$D:$D,T_BS!D48,'6.0'!$V:$V),0)</f>
        <v>0</v>
      </c>
      <c r="T48" s="720">
        <f>ROUND(SUMIF('7.0'!$D:$D,T_BS!D48,'7.0'!$V:$V),0)</f>
        <v>0</v>
      </c>
      <c r="U48" s="720">
        <f>ROUND(SUMIF('8.0'!$D:$D,T_BS!D48,'8.0'!$H:$H),0)</f>
        <v>0</v>
      </c>
      <c r="V48" s="510">
        <f t="shared" si="10"/>
        <v>0</v>
      </c>
      <c r="X48" s="1641">
        <f t="shared" si="16"/>
        <v>-798916255</v>
      </c>
      <c r="Z48" s="1616">
        <f t="shared" si="17"/>
        <v>-397363546</v>
      </c>
      <c r="AB48" s="1616">
        <v>-589355725</v>
      </c>
      <c r="AC48" s="1616">
        <v>-589355725</v>
      </c>
      <c r="AD48" s="1616">
        <v>-589355725</v>
      </c>
      <c r="AE48" s="1616">
        <v>-528684798</v>
      </c>
      <c r="AF48" s="1616">
        <v>-528684798</v>
      </c>
      <c r="AG48" s="1616">
        <v>-528684798</v>
      </c>
      <c r="AH48" s="1616">
        <v>-389442094</v>
      </c>
      <c r="AI48" s="1616">
        <v>-401552709</v>
      </c>
      <c r="AJ48" s="1616">
        <v>-499941093</v>
      </c>
      <c r="AK48" s="1616">
        <v>-499941093</v>
      </c>
      <c r="AL48" s="1616">
        <v>-731569725</v>
      </c>
      <c r="AM48" s="1616">
        <v>-753849330</v>
      </c>
      <c r="AN48" s="1616">
        <v>-818267363</v>
      </c>
      <c r="AP48" s="498"/>
    </row>
    <row r="49" spans="1:42" ht="18" customHeight="1">
      <c r="A49" s="498"/>
      <c r="D49" s="1593">
        <v>115400</v>
      </c>
      <c r="E49" s="1359" t="s">
        <v>2</v>
      </c>
      <c r="F49" s="1361">
        <v>1307</v>
      </c>
      <c r="G49" s="1359" t="s">
        <v>49</v>
      </c>
      <c r="H49" s="498">
        <v>10087410517</v>
      </c>
      <c r="I49" s="498">
        <v>0</v>
      </c>
      <c r="J49" s="710">
        <v>73057688</v>
      </c>
      <c r="K49" s="710">
        <v>0</v>
      </c>
      <c r="L49" s="510">
        <f t="shared" si="15"/>
        <v>10160468205</v>
      </c>
      <c r="N49" s="1667">
        <f>SUMIF('1.0'!$D:$D,T_BS!D49,'1.0'!$V:$V)</f>
        <v>0</v>
      </c>
      <c r="O49" s="710">
        <f>SUMIF('2.0'!$D:$D,T_BS!D49,'2.0'!$V:$V)</f>
        <v>0</v>
      </c>
      <c r="P49" s="509">
        <f>ROUND(SUMIF('3.0'!$D:$D,T_BS!D49,'3.0'!$H:$H),0)</f>
        <v>0</v>
      </c>
      <c r="Q49" s="720">
        <f>ROUND(SUMIF('4.0'!$D:$D,T_BS!D49,'4.0'!$V:$V),0)</f>
        <v>0</v>
      </c>
      <c r="R49" s="509">
        <f>ROUND(SUMIF('5.0'!$D:$D,T_BS!D49,'5.0'!$V:$V),0)</f>
        <v>0</v>
      </c>
      <c r="S49" s="720">
        <f>ROUND(SUMIF('6.0'!$D:$D,T_BS!D49,'6.0'!$V:$V),0)</f>
        <v>0</v>
      </c>
      <c r="T49" s="720">
        <f>ROUND(SUMIF('7.0'!$D:$D,T_BS!D49,'7.0'!$V:$V),0)</f>
        <v>0</v>
      </c>
      <c r="U49" s="720">
        <f>ROUND(SUMIF('8.0'!$D:$D,T_BS!D49,'8.0'!$H:$H),0)</f>
        <v>0</v>
      </c>
      <c r="V49" s="510">
        <f t="shared" si="10"/>
        <v>0</v>
      </c>
      <c r="X49" s="1641">
        <f t="shared" si="16"/>
        <v>10160468205</v>
      </c>
      <c r="Z49" s="1616">
        <f t="shared" si="17"/>
        <v>2525478694</v>
      </c>
      <c r="AB49" s="1616">
        <v>11136079478</v>
      </c>
      <c r="AC49" s="1616">
        <v>10042110360</v>
      </c>
      <c r="AD49" s="1616">
        <v>10618788038</v>
      </c>
      <c r="AE49" s="1616">
        <v>10228442636</v>
      </c>
      <c r="AF49" s="1616">
        <v>9846173931</v>
      </c>
      <c r="AG49" s="1616">
        <v>9199783670</v>
      </c>
      <c r="AH49" s="1616">
        <v>8797598694</v>
      </c>
      <c r="AI49" s="1616">
        <v>7634989511</v>
      </c>
      <c r="AJ49" s="1616">
        <v>8023306099</v>
      </c>
      <c r="AK49" s="1616">
        <v>8951686456</v>
      </c>
      <c r="AL49" s="1616">
        <v>8850886113</v>
      </c>
      <c r="AM49" s="1616">
        <v>8653751200</v>
      </c>
      <c r="AN49" s="1616">
        <v>8663381877</v>
      </c>
      <c r="AP49" s="498"/>
    </row>
    <row r="50" spans="1:42" ht="18" customHeight="1">
      <c r="A50" s="498"/>
      <c r="D50" s="1593">
        <v>115470</v>
      </c>
      <c r="E50" s="1359" t="s">
        <v>2</v>
      </c>
      <c r="F50" s="1361">
        <v>1308</v>
      </c>
      <c r="G50" s="1359" t="s">
        <v>50</v>
      </c>
      <c r="H50" s="498">
        <v>-5325266925</v>
      </c>
      <c r="I50" s="498">
        <v>0</v>
      </c>
      <c r="J50" s="710">
        <v>-72971197</v>
      </c>
      <c r="K50" s="710">
        <v>0</v>
      </c>
      <c r="L50" s="510">
        <f t="shared" si="15"/>
        <v>-5398238122</v>
      </c>
      <c r="N50" s="1667">
        <f>SUMIF('1.0'!$D:$D,T_BS!D50,'1.0'!$V:$V)</f>
        <v>0</v>
      </c>
      <c r="O50" s="710">
        <f>SUMIF('2.0'!$D:$D,T_BS!D50,'2.0'!$V:$V)</f>
        <v>0</v>
      </c>
      <c r="P50" s="509">
        <f>ROUND(SUMIF('3.0'!$D:$D,T_BS!D50,'3.0'!$H:$H),0)</f>
        <v>0</v>
      </c>
      <c r="Q50" s="720">
        <f>ROUND(SUMIF('4.0'!$D:$D,T_BS!D50,'4.0'!$V:$V),0)</f>
        <v>0</v>
      </c>
      <c r="R50" s="509">
        <f>ROUND(SUMIF('5.0'!$D:$D,T_BS!D50,'5.0'!$V:$V),0)</f>
        <v>0</v>
      </c>
      <c r="S50" s="720">
        <f>ROUND(SUMIF('6.0'!$D:$D,T_BS!D50,'6.0'!$V:$V),0)</f>
        <v>0</v>
      </c>
      <c r="T50" s="720">
        <f>ROUND(SUMIF('7.0'!$D:$D,T_BS!D50,'7.0'!$V:$V),0)</f>
        <v>0</v>
      </c>
      <c r="U50" s="720">
        <f>ROUND(SUMIF('8.0'!$D:$D,T_BS!D50,'8.0'!$H:$H),0)</f>
        <v>0</v>
      </c>
      <c r="V50" s="510">
        <f t="shared" si="10"/>
        <v>0</v>
      </c>
      <c r="X50" s="1641">
        <f t="shared" si="16"/>
        <v>-5398238122</v>
      </c>
      <c r="Z50" s="1616">
        <f t="shared" si="17"/>
        <v>145019350</v>
      </c>
      <c r="AB50" s="1616">
        <v>-5393427103</v>
      </c>
      <c r="AC50" s="1616">
        <v>-5398788677</v>
      </c>
      <c r="AD50" s="1616">
        <v>-5400373085</v>
      </c>
      <c r="AE50" s="1616">
        <v>-5125611405</v>
      </c>
      <c r="AF50" s="1616">
        <v>-5123498998</v>
      </c>
      <c r="AG50" s="1616">
        <v>-5123251305</v>
      </c>
      <c r="AH50" s="1616">
        <v>-5750762443</v>
      </c>
      <c r="AI50" s="1616">
        <v>-5543257472</v>
      </c>
      <c r="AJ50" s="1616">
        <v>-5773151023</v>
      </c>
      <c r="AK50" s="1616">
        <v>-6577657586</v>
      </c>
      <c r="AL50" s="1616">
        <v>-6929735349</v>
      </c>
      <c r="AM50" s="1616">
        <v>-6946109301</v>
      </c>
      <c r="AN50" s="1616">
        <v>-6904841410</v>
      </c>
      <c r="AP50" s="498"/>
    </row>
    <row r="51" spans="1:42" ht="18" customHeight="1">
      <c r="A51" s="498"/>
      <c r="D51" s="1593">
        <v>115800</v>
      </c>
      <c r="E51" s="1359" t="s">
        <v>2</v>
      </c>
      <c r="F51" s="1361" t="s">
        <v>611</v>
      </c>
      <c r="G51" s="1359" t="s">
        <v>51</v>
      </c>
      <c r="H51" s="498">
        <v>0</v>
      </c>
      <c r="I51" s="498">
        <v>0</v>
      </c>
      <c r="J51" s="710">
        <v>0</v>
      </c>
      <c r="K51" s="710">
        <v>0</v>
      </c>
      <c r="L51" s="510">
        <f t="shared" si="15"/>
        <v>0</v>
      </c>
      <c r="N51" s="1667">
        <f>SUMIF('1.0'!$D:$D,T_BS!D51,'1.0'!$V:$V)</f>
        <v>0</v>
      </c>
      <c r="O51" s="710">
        <f>SUMIF('2.0'!$D:$D,T_BS!D51,'2.0'!$V:$V)</f>
        <v>0</v>
      </c>
      <c r="P51" s="509">
        <f>ROUND(SUMIF('3.0'!$D:$D,T_BS!D51,'3.0'!$H:$H),0)</f>
        <v>0</v>
      </c>
      <c r="Q51" s="720">
        <f>ROUND(SUMIF('4.0'!$D:$D,T_BS!D51,'4.0'!$V:$V),0)</f>
        <v>0</v>
      </c>
      <c r="R51" s="509">
        <f>ROUND(SUMIF('5.0'!$D:$D,T_BS!D51,'5.0'!$V:$V),0)</f>
        <v>0</v>
      </c>
      <c r="S51" s="720">
        <f>ROUND(SUMIF('6.0'!$D:$D,T_BS!D51,'6.0'!$V:$V),0)</f>
        <v>0</v>
      </c>
      <c r="T51" s="720">
        <f>ROUND(SUMIF('7.0'!$D:$D,T_BS!D51,'7.0'!$V:$V),0)</f>
        <v>0</v>
      </c>
      <c r="U51" s="720">
        <f>ROUND(SUMIF('8.0'!$D:$D,T_BS!D51,'8.0'!$H:$H),0)</f>
        <v>0</v>
      </c>
      <c r="V51" s="510">
        <f t="shared" si="10"/>
        <v>0</v>
      </c>
      <c r="X51" s="1641">
        <f t="shared" si="16"/>
        <v>0</v>
      </c>
      <c r="Z51" s="1616">
        <f t="shared" si="17"/>
        <v>0</v>
      </c>
      <c r="AB51" s="1616">
        <v>0</v>
      </c>
      <c r="AC51" s="1616">
        <v>0</v>
      </c>
      <c r="AD51" s="1616">
        <v>0</v>
      </c>
      <c r="AE51" s="1616">
        <v>0</v>
      </c>
      <c r="AF51" s="1616">
        <v>0</v>
      </c>
      <c r="AG51" s="1616">
        <v>0</v>
      </c>
      <c r="AH51" s="1616">
        <v>0</v>
      </c>
      <c r="AI51" s="1616">
        <v>0</v>
      </c>
      <c r="AJ51" s="1616">
        <v>0</v>
      </c>
      <c r="AK51" s="1616">
        <v>0</v>
      </c>
      <c r="AL51" s="1616">
        <v>0</v>
      </c>
      <c r="AM51" s="1616">
        <v>0</v>
      </c>
      <c r="AN51" s="1616">
        <v>0</v>
      </c>
      <c r="AP51" s="498"/>
    </row>
    <row r="52" spans="1:42" ht="18" customHeight="1">
      <c r="A52" s="498"/>
      <c r="D52" s="1588"/>
      <c r="E52" s="1589"/>
      <c r="F52" s="1590"/>
      <c r="G52" s="1589" t="s">
        <v>3</v>
      </c>
      <c r="H52" s="520">
        <f>SUM(H53:H56)</f>
        <v>363392346</v>
      </c>
      <c r="I52" s="506">
        <f>SUM(I53:I56)</f>
        <v>126550</v>
      </c>
      <c r="J52" s="506">
        <f>SUM(J53:J56)</f>
        <v>0</v>
      </c>
      <c r="K52" s="506">
        <f>SUM(K53:K56)</f>
        <v>1641795</v>
      </c>
      <c r="L52" s="507">
        <f>SUM(L53:L56)</f>
        <v>365160691</v>
      </c>
      <c r="N52" s="1631">
        <f t="shared" ref="N52:S52" si="18">SUM(N53:N56)</f>
        <v>0</v>
      </c>
      <c r="O52" s="506">
        <f t="shared" si="18"/>
        <v>0</v>
      </c>
      <c r="P52" s="506">
        <f t="shared" si="18"/>
        <v>0</v>
      </c>
      <c r="Q52" s="506">
        <f t="shared" si="18"/>
        <v>0</v>
      </c>
      <c r="R52" s="506">
        <f t="shared" si="18"/>
        <v>0</v>
      </c>
      <c r="S52" s="506">
        <f t="shared" si="18"/>
        <v>0</v>
      </c>
      <c r="T52" s="506">
        <f>SUM(T53:T56)</f>
        <v>0</v>
      </c>
      <c r="U52" s="506">
        <f>SUM(U53:U56)</f>
        <v>0</v>
      </c>
      <c r="V52" s="507">
        <f>SUM(V53:V56)</f>
        <v>0</v>
      </c>
      <c r="X52" s="1630">
        <f>SUM(X53:X56)</f>
        <v>365160691</v>
      </c>
      <c r="Z52" s="1630">
        <f>SUM(Z53:Z56)</f>
        <v>365160691</v>
      </c>
      <c r="AB52" s="1630">
        <v>157656813</v>
      </c>
      <c r="AC52" s="1630">
        <v>124271330</v>
      </c>
      <c r="AD52" s="1630">
        <v>68622916</v>
      </c>
      <c r="AE52" s="1630">
        <v>53293732</v>
      </c>
      <c r="AF52" s="1630">
        <v>0</v>
      </c>
      <c r="AG52" s="1630">
        <v>0</v>
      </c>
      <c r="AH52" s="1630">
        <v>0</v>
      </c>
      <c r="AI52" s="1630">
        <v>0</v>
      </c>
      <c r="AJ52" s="1630">
        <v>0</v>
      </c>
      <c r="AK52" s="1630">
        <v>0</v>
      </c>
      <c r="AL52" s="1630">
        <v>0</v>
      </c>
      <c r="AM52" s="1630">
        <f>SUM(AM53:AM56)</f>
        <v>222695846</v>
      </c>
      <c r="AN52" s="1630">
        <v>226315893</v>
      </c>
      <c r="AP52" s="498"/>
    </row>
    <row r="53" spans="1:42" ht="18" customHeight="1">
      <c r="A53" s="498"/>
      <c r="D53" s="1593">
        <v>113100</v>
      </c>
      <c r="E53" s="1359" t="s">
        <v>3</v>
      </c>
      <c r="F53" s="1361">
        <v>1401</v>
      </c>
      <c r="G53" s="1359" t="s">
        <v>52</v>
      </c>
      <c r="H53" s="498">
        <v>344741050</v>
      </c>
      <c r="I53" s="498">
        <v>126550</v>
      </c>
      <c r="J53" s="710">
        <v>0</v>
      </c>
      <c r="K53" s="710">
        <v>0</v>
      </c>
      <c r="L53" s="510">
        <f>SUM(H53:K53)</f>
        <v>344867600</v>
      </c>
      <c r="N53" s="1667">
        <f>SUMIF('1.0'!$D:$D,T_BS!D53,'1.0'!$V:$V)</f>
        <v>0</v>
      </c>
      <c r="O53" s="710">
        <f>SUMIF('2.0'!$D:$D,T_BS!D53,'2.0'!$V:$V)</f>
        <v>0</v>
      </c>
      <c r="P53" s="509">
        <f>ROUND(SUMIF('3.0'!$D:$D,T_BS!D53,'3.0'!$H:$H),0)</f>
        <v>0</v>
      </c>
      <c r="Q53" s="720">
        <f>ROUND(SUMIF('4.0'!$D:$D,T_BS!D53,'4.0'!$V:$V),0)</f>
        <v>0</v>
      </c>
      <c r="R53" s="509">
        <f>ROUND(SUMIF('5.0'!$D:$D,T_BS!D53,'5.0'!$V:$V),0)</f>
        <v>0</v>
      </c>
      <c r="S53" s="720">
        <f>ROUND(SUMIF('6.0'!$D:$D,T_BS!D53,'6.0'!$V:$V),0)</f>
        <v>0</v>
      </c>
      <c r="T53" s="720">
        <f>ROUND(SUMIF('7.0'!$D:$D,T_BS!D53,'7.0'!$V:$V),0)</f>
        <v>0</v>
      </c>
      <c r="U53" s="720">
        <f>ROUND(SUMIF('8.0'!$D:$D,T_BS!D53,'8.0'!$H:$H),0)</f>
        <v>0</v>
      </c>
      <c r="V53" s="510">
        <f t="shared" si="10"/>
        <v>0</v>
      </c>
      <c r="X53" s="1616">
        <f>V53+L53</f>
        <v>344867600</v>
      </c>
      <c r="Z53" s="1616">
        <f>X53-AI53</f>
        <v>344867600</v>
      </c>
      <c r="AB53" s="1616">
        <v>89168130</v>
      </c>
      <c r="AC53" s="1616">
        <v>55836890</v>
      </c>
      <c r="AD53" s="1616">
        <v>90690</v>
      </c>
      <c r="AE53" s="1616">
        <v>48907991</v>
      </c>
      <c r="AF53" s="1616">
        <v>0</v>
      </c>
      <c r="AG53" s="1616">
        <v>0</v>
      </c>
      <c r="AH53" s="1616">
        <v>0</v>
      </c>
      <c r="AI53" s="1616">
        <v>0</v>
      </c>
      <c r="AJ53" s="1616">
        <v>0</v>
      </c>
      <c r="AK53" s="1616">
        <v>0</v>
      </c>
      <c r="AL53" s="1616">
        <v>0</v>
      </c>
      <c r="AM53" s="1616">
        <v>0</v>
      </c>
      <c r="AN53" s="1616">
        <v>76408880</v>
      </c>
      <c r="AP53" s="498"/>
    </row>
    <row r="54" spans="1:42" ht="18" customHeight="1">
      <c r="A54" s="498"/>
      <c r="D54" s="1593">
        <v>113101</v>
      </c>
      <c r="E54" s="1359" t="s">
        <v>3</v>
      </c>
      <c r="F54" s="1361">
        <v>1401</v>
      </c>
      <c r="G54" s="1359" t="s">
        <v>53</v>
      </c>
      <c r="H54" s="498">
        <v>18651296</v>
      </c>
      <c r="I54" s="498">
        <v>0</v>
      </c>
      <c r="J54" s="710">
        <v>0</v>
      </c>
      <c r="K54" s="710">
        <v>0</v>
      </c>
      <c r="L54" s="510">
        <f>SUM(H54:K54)</f>
        <v>18651296</v>
      </c>
      <c r="N54" s="1667">
        <f>SUMIF('1.0'!$D:$D,T_BS!D54,'1.0'!$V:$V)</f>
        <v>0</v>
      </c>
      <c r="O54" s="710">
        <f>SUMIF('2.0'!$D:$D,T_BS!D54,'2.0'!$V:$V)</f>
        <v>0</v>
      </c>
      <c r="P54" s="509">
        <f>ROUND(SUMIF('3.0'!$D:$D,T_BS!D54,'3.0'!$H:$H),0)</f>
        <v>0</v>
      </c>
      <c r="Q54" s="720">
        <f>ROUND(SUMIF('4.0'!$D:$D,T_BS!D54,'4.0'!$V:$V),0)</f>
        <v>0</v>
      </c>
      <c r="R54" s="509">
        <f>ROUND(SUMIF('5.0'!$D:$D,T_BS!D54,'5.0'!$V:$V),0)</f>
        <v>0</v>
      </c>
      <c r="S54" s="720">
        <f>ROUND(SUMIF('6.0'!$D:$D,T_BS!D54,'6.0'!$V:$V),0)</f>
        <v>0</v>
      </c>
      <c r="T54" s="720">
        <f>ROUND(SUMIF('7.0'!$D:$D,T_BS!D54,'7.0'!$V:$V),0)</f>
        <v>0</v>
      </c>
      <c r="U54" s="720">
        <f>ROUND(SUMIF('8.0'!$D:$D,T_BS!D54,'8.0'!$H:$H),0)</f>
        <v>0</v>
      </c>
      <c r="V54" s="510">
        <f t="shared" si="10"/>
        <v>0</v>
      </c>
      <c r="X54" s="1616">
        <f>V54+L54</f>
        <v>18651296</v>
      </c>
      <c r="Z54" s="1616">
        <f>X54-AI54</f>
        <v>18651296</v>
      </c>
      <c r="AB54" s="1616">
        <v>0</v>
      </c>
      <c r="AC54" s="1616">
        <v>0</v>
      </c>
      <c r="AD54" s="1616">
        <v>0</v>
      </c>
      <c r="AE54" s="1616">
        <v>4028260</v>
      </c>
      <c r="AF54" s="1616">
        <v>0</v>
      </c>
      <c r="AG54" s="1616">
        <v>0</v>
      </c>
      <c r="AH54" s="1616">
        <v>0</v>
      </c>
      <c r="AI54" s="1616">
        <v>0</v>
      </c>
      <c r="AJ54" s="1616">
        <v>0</v>
      </c>
      <c r="AK54" s="1616">
        <v>0</v>
      </c>
      <c r="AL54" s="1616">
        <v>0</v>
      </c>
      <c r="AM54" s="1616">
        <v>0</v>
      </c>
      <c r="AN54" s="1616">
        <v>7640290</v>
      </c>
      <c r="AP54" s="498"/>
    </row>
    <row r="55" spans="1:42" ht="18" customHeight="1">
      <c r="A55" s="498"/>
      <c r="D55" s="1593">
        <v>113160</v>
      </c>
      <c r="E55" s="1359" t="s">
        <v>3</v>
      </c>
      <c r="F55" s="1361">
        <v>1401</v>
      </c>
      <c r="G55" s="1359" t="s">
        <v>54</v>
      </c>
      <c r="H55" s="498">
        <v>0</v>
      </c>
      <c r="I55" s="498">
        <v>0</v>
      </c>
      <c r="J55" s="710">
        <v>0</v>
      </c>
      <c r="K55" s="710">
        <v>1641795</v>
      </c>
      <c r="L55" s="510">
        <f>SUM(H55:K55)</f>
        <v>1641795</v>
      </c>
      <c r="N55" s="1667">
        <f>SUMIF('1.0'!$D:$D,T_BS!D55,'1.0'!$V:$V)</f>
        <v>0</v>
      </c>
      <c r="O55" s="710">
        <f>SUMIF('2.0'!$D:$D,T_BS!D55,'2.0'!$V:$V)</f>
        <v>0</v>
      </c>
      <c r="P55" s="509">
        <f>ROUND(SUMIF('3.0'!$D:$D,T_BS!D55,'3.0'!$H:$H),0)</f>
        <v>0</v>
      </c>
      <c r="Q55" s="720">
        <f>ROUND(SUMIF('4.0'!$D:$D,T_BS!D55,'4.0'!$V:$V),0)</f>
        <v>0</v>
      </c>
      <c r="R55" s="509">
        <f>ROUND(SUMIF('5.0'!$D:$D,T_BS!D55,'5.0'!$V:$V),0)</f>
        <v>0</v>
      </c>
      <c r="S55" s="720">
        <f>ROUND(SUMIF('6.0'!$D:$D,T_BS!D55,'6.0'!$V:$V),0)</f>
        <v>0</v>
      </c>
      <c r="T55" s="720">
        <f>ROUND(SUMIF('7.0'!$D:$D,T_BS!D55,'7.0'!$V:$V),0)</f>
        <v>0</v>
      </c>
      <c r="U55" s="720">
        <f>ROUND(SUMIF('8.0'!$D:$D,T_BS!D55,'8.0'!$H:$H),0)</f>
        <v>0</v>
      </c>
      <c r="V55" s="510">
        <f t="shared" si="10"/>
        <v>0</v>
      </c>
      <c r="X55" s="1616">
        <f>V55+L55</f>
        <v>1641795</v>
      </c>
      <c r="Z55" s="1616">
        <f>X55-AI55</f>
        <v>1641795</v>
      </c>
      <c r="AB55" s="1616">
        <v>68488683</v>
      </c>
      <c r="AC55" s="1616">
        <v>68434440</v>
      </c>
      <c r="AD55" s="1616">
        <v>68532226</v>
      </c>
      <c r="AE55" s="1616">
        <v>357481</v>
      </c>
      <c r="AF55" s="1616">
        <v>0</v>
      </c>
      <c r="AG55" s="1616">
        <v>0</v>
      </c>
      <c r="AH55" s="1616">
        <v>0</v>
      </c>
      <c r="AI55" s="1616">
        <v>0</v>
      </c>
      <c r="AJ55" s="1616">
        <v>0</v>
      </c>
      <c r="AK55" s="1616">
        <v>0</v>
      </c>
      <c r="AL55" s="1616">
        <v>0</v>
      </c>
      <c r="AM55" s="1616">
        <v>214111216</v>
      </c>
      <c r="AN55" s="1616">
        <v>141322383</v>
      </c>
      <c r="AP55" s="498"/>
    </row>
    <row r="56" spans="1:42" ht="18" customHeight="1">
      <c r="A56" s="498"/>
      <c r="D56" s="1593">
        <v>113161</v>
      </c>
      <c r="E56" s="1359" t="s">
        <v>3</v>
      </c>
      <c r="F56" s="1361">
        <v>1401</v>
      </c>
      <c r="G56" s="1359" t="s">
        <v>55</v>
      </c>
      <c r="H56" s="498">
        <v>0</v>
      </c>
      <c r="I56" s="498">
        <v>0</v>
      </c>
      <c r="J56" s="710">
        <v>0</v>
      </c>
      <c r="K56" s="710">
        <v>0</v>
      </c>
      <c r="L56" s="510">
        <f>SUM(H56:K56)</f>
        <v>0</v>
      </c>
      <c r="N56" s="1667">
        <f>SUMIF('1.0'!$D:$D,T_BS!D56,'1.0'!$V:$V)</f>
        <v>0</v>
      </c>
      <c r="O56" s="710">
        <f>SUMIF('2.0'!$D:$D,T_BS!D56,'2.0'!$V:$V)</f>
        <v>0</v>
      </c>
      <c r="P56" s="509">
        <f>ROUND(SUMIF('3.0'!$D:$D,T_BS!D56,'3.0'!$H:$H),0)</f>
        <v>0</v>
      </c>
      <c r="Q56" s="720">
        <f>ROUND(SUMIF('4.0'!$D:$D,T_BS!D56,'4.0'!$V:$V),0)</f>
        <v>0</v>
      </c>
      <c r="R56" s="509">
        <f>ROUND(SUMIF('5.0'!$D:$D,T_BS!D56,'5.0'!$V:$V),0)</f>
        <v>0</v>
      </c>
      <c r="S56" s="720">
        <f>ROUND(SUMIF('6.0'!$D:$D,T_BS!D56,'6.0'!$V:$V),0)</f>
        <v>0</v>
      </c>
      <c r="T56" s="720">
        <f>ROUND(SUMIF('7.0'!$D:$D,T_BS!D56,'7.0'!$V:$V),0)</f>
        <v>0</v>
      </c>
      <c r="U56" s="720">
        <f>ROUND(SUMIF('8.0'!$D:$D,T_BS!D56,'8.0'!$H:$H),0)</f>
        <v>0</v>
      </c>
      <c r="V56" s="510">
        <f t="shared" si="10"/>
        <v>0</v>
      </c>
      <c r="X56" s="1616">
        <f>V56+L56</f>
        <v>0</v>
      </c>
      <c r="Z56" s="1616">
        <f>X56-AI56</f>
        <v>0</v>
      </c>
      <c r="AB56" s="1616">
        <v>0</v>
      </c>
      <c r="AC56" s="1616">
        <v>0</v>
      </c>
      <c r="AD56" s="1616">
        <v>0</v>
      </c>
      <c r="AE56" s="1616">
        <v>0</v>
      </c>
      <c r="AF56" s="1616">
        <v>0</v>
      </c>
      <c r="AG56" s="1616">
        <v>0</v>
      </c>
      <c r="AH56" s="1616">
        <v>0</v>
      </c>
      <c r="AI56" s="1616">
        <v>0</v>
      </c>
      <c r="AJ56" s="1616">
        <v>0</v>
      </c>
      <c r="AK56" s="1616">
        <v>0</v>
      </c>
      <c r="AL56" s="1616">
        <v>0</v>
      </c>
      <c r="AM56" s="1616">
        <v>8584630</v>
      </c>
      <c r="AN56" s="1616">
        <v>944340</v>
      </c>
      <c r="AP56" s="498"/>
    </row>
    <row r="57" spans="1:42" ht="18" customHeight="1">
      <c r="A57" s="498"/>
      <c r="D57" s="1588"/>
      <c r="E57" s="1589"/>
      <c r="F57" s="1590"/>
      <c r="G57" s="1589" t="s">
        <v>4</v>
      </c>
      <c r="H57" s="520">
        <f>SUM(H58:H73)</f>
        <v>5366779588</v>
      </c>
      <c r="I57" s="506">
        <f>SUM(I58:I73)</f>
        <v>1859929</v>
      </c>
      <c r="J57" s="506">
        <f>SUM(J58:J73)</f>
        <v>14770033</v>
      </c>
      <c r="K57" s="506">
        <f>SUM(K58:K73)</f>
        <v>1647446448</v>
      </c>
      <c r="L57" s="507">
        <f>SUM(L58:L73)</f>
        <v>7030855998</v>
      </c>
      <c r="N57" s="1631">
        <f t="shared" ref="N57:V57" si="19">SUM(N58:N73)</f>
        <v>0</v>
      </c>
      <c r="O57" s="506">
        <f t="shared" si="19"/>
        <v>0</v>
      </c>
      <c r="P57" s="506">
        <f t="shared" si="19"/>
        <v>-2333333</v>
      </c>
      <c r="Q57" s="506">
        <f t="shared" si="19"/>
        <v>0</v>
      </c>
      <c r="R57" s="506">
        <f t="shared" si="19"/>
        <v>0</v>
      </c>
      <c r="S57" s="506">
        <f t="shared" si="19"/>
        <v>-1512524639</v>
      </c>
      <c r="T57" s="506">
        <f t="shared" si="19"/>
        <v>0</v>
      </c>
      <c r="U57" s="506">
        <f t="shared" si="19"/>
        <v>0</v>
      </c>
      <c r="V57" s="507">
        <f t="shared" si="19"/>
        <v>-1514857972</v>
      </c>
      <c r="X57" s="1630">
        <f>SUM(X58:X73)</f>
        <v>5515998026</v>
      </c>
      <c r="Z57" s="1630">
        <f>SUM(Z58:Z73)</f>
        <v>-9743314047</v>
      </c>
      <c r="AB57" s="1630">
        <v>7488793720</v>
      </c>
      <c r="AC57" s="1630">
        <v>7466399574</v>
      </c>
      <c r="AD57" s="1630">
        <v>7168876636</v>
      </c>
      <c r="AE57" s="1630">
        <v>7974528404</v>
      </c>
      <c r="AF57" s="1630">
        <v>8210929207</v>
      </c>
      <c r="AG57" s="1630">
        <v>7617923968</v>
      </c>
      <c r="AH57" s="1630">
        <v>14849604037</v>
      </c>
      <c r="AI57" s="1630">
        <v>15259312073</v>
      </c>
      <c r="AJ57" s="1630">
        <v>14740551138</v>
      </c>
      <c r="AK57" s="1630">
        <v>14285262065</v>
      </c>
      <c r="AL57" s="1630">
        <v>14458119038</v>
      </c>
      <c r="AM57" s="1630">
        <f>SUM(AM58:AM73)</f>
        <v>11303673166</v>
      </c>
      <c r="AN57" s="1630">
        <v>3186447890</v>
      </c>
      <c r="AP57" s="498"/>
    </row>
    <row r="58" spans="1:42" ht="18" customHeight="1">
      <c r="A58" s="498"/>
      <c r="D58" s="1593">
        <v>112710</v>
      </c>
      <c r="E58" s="1359" t="s">
        <v>4</v>
      </c>
      <c r="F58" s="1361">
        <v>1605</v>
      </c>
      <c r="G58" s="1359" t="s">
        <v>56</v>
      </c>
      <c r="H58" s="498">
        <v>806818804</v>
      </c>
      <c r="I58" s="498">
        <v>1859929</v>
      </c>
      <c r="J58" s="710">
        <v>0</v>
      </c>
      <c r="K58" s="710">
        <v>53080135</v>
      </c>
      <c r="L58" s="510">
        <f t="shared" ref="L58:L73" si="20">SUM(H58:K58)</f>
        <v>861758868</v>
      </c>
      <c r="N58" s="1667">
        <f>SUMIF('1.0'!$D:$D,T_BS!D58,'1.0'!$V:$V)</f>
        <v>0</v>
      </c>
      <c r="O58" s="710">
        <f>SUMIF('2.0'!$D:$D,T_BS!D58,'2.0'!$V:$V)</f>
        <v>0</v>
      </c>
      <c r="P58" s="509">
        <f>ROUND(SUMIF('3.0'!$D:$D,T_BS!D58,'3.0'!$H:$H),0)</f>
        <v>0</v>
      </c>
      <c r="Q58" s="720">
        <f>ROUND(SUMIF('4.0'!$D:$D,T_BS!D58,'4.0'!$V:$V),0)</f>
        <v>0</v>
      </c>
      <c r="R58" s="509">
        <f>ROUND(SUMIF('5.0'!$D:$D,T_BS!D58,'5.0'!$V:$V),0)</f>
        <v>0</v>
      </c>
      <c r="S58" s="720">
        <f>ROUND(SUMIF('6.0'!$D:$D,T_BS!D58,'6.0'!$V:$V),0)</f>
        <v>0</v>
      </c>
      <c r="T58" s="720">
        <f>ROUND(SUMIF('7.0'!$D:$D,T_BS!D58,'7.0'!$V:$V),0)</f>
        <v>0</v>
      </c>
      <c r="U58" s="720">
        <f>ROUND(SUMIF('8.0'!$D:$D,T_BS!D58,'8.0'!$H:$H),0)</f>
        <v>0</v>
      </c>
      <c r="V58" s="510">
        <f t="shared" si="10"/>
        <v>0</v>
      </c>
      <c r="X58" s="1641">
        <f t="shared" ref="X58:X73" si="21">V58+L58</f>
        <v>861758868</v>
      </c>
      <c r="Z58" s="1616">
        <f t="shared" ref="Z58:Z73" si="22">X58-AI58</f>
        <v>-367967933</v>
      </c>
      <c r="AB58" s="1616">
        <v>1008812014</v>
      </c>
      <c r="AC58" s="1616">
        <v>1012125179</v>
      </c>
      <c r="AD58" s="1616">
        <v>1138413483</v>
      </c>
      <c r="AE58" s="1616">
        <v>1338098419</v>
      </c>
      <c r="AF58" s="1616">
        <v>1916470579</v>
      </c>
      <c r="AG58" s="1616">
        <v>1291954850</v>
      </c>
      <c r="AH58" s="1616">
        <v>1206272072</v>
      </c>
      <c r="AI58" s="1616">
        <v>1229726801</v>
      </c>
      <c r="AJ58" s="1616">
        <v>714969338</v>
      </c>
      <c r="AK58" s="1616">
        <v>820948870</v>
      </c>
      <c r="AL58" s="1616">
        <v>993762964</v>
      </c>
      <c r="AM58" s="1616">
        <v>774132556</v>
      </c>
      <c r="AN58" s="1616">
        <v>478766169</v>
      </c>
      <c r="AP58" s="498"/>
    </row>
    <row r="59" spans="1:42" ht="18" customHeight="1">
      <c r="A59" s="498"/>
      <c r="D59" s="1593">
        <v>112720</v>
      </c>
      <c r="E59" s="1359" t="s">
        <v>4</v>
      </c>
      <c r="F59" s="1361">
        <v>1605</v>
      </c>
      <c r="G59" s="1359" t="s">
        <v>57</v>
      </c>
      <c r="H59" s="498">
        <v>542484027</v>
      </c>
      <c r="I59" s="498">
        <v>0</v>
      </c>
      <c r="J59" s="710">
        <v>0</v>
      </c>
      <c r="K59" s="710">
        <v>0</v>
      </c>
      <c r="L59" s="510">
        <f t="shared" si="20"/>
        <v>542484027</v>
      </c>
      <c r="N59" s="1667">
        <f>SUMIF('1.0'!$D:$D,T_BS!D59,'1.0'!$V:$V)</f>
        <v>0</v>
      </c>
      <c r="O59" s="710">
        <f>SUMIF('2.0'!$D:$D,T_BS!D59,'2.0'!$V:$V)</f>
        <v>0</v>
      </c>
      <c r="P59" s="509">
        <f>ROUND(SUMIF('3.0'!$D:$D,T_BS!D59,'3.0'!$H:$H),0)</f>
        <v>0</v>
      </c>
      <c r="Q59" s="720">
        <f>ROUND(SUMIF('4.0'!$D:$D,T_BS!D59,'4.0'!$V:$V),0)</f>
        <v>0</v>
      </c>
      <c r="R59" s="509">
        <f>ROUND(SUMIF('5.0'!$D:$D,T_BS!D59,'5.0'!$V:$V),0)</f>
        <v>0</v>
      </c>
      <c r="S59" s="720">
        <f>ROUND(SUMIF('6.0'!$D:$D,T_BS!D59,'6.0'!$V:$V),0)</f>
        <v>0</v>
      </c>
      <c r="T59" s="720">
        <f>ROUND(SUMIF('7.0'!$D:$D,T_BS!D59,'7.0'!$V:$V),0)</f>
        <v>0</v>
      </c>
      <c r="U59" s="720">
        <f>ROUND(SUMIF('8.0'!$D:$D,T_BS!D59,'8.0'!$H:$H),0)</f>
        <v>0</v>
      </c>
      <c r="V59" s="510">
        <f t="shared" si="10"/>
        <v>0</v>
      </c>
      <c r="X59" s="1641">
        <f t="shared" si="21"/>
        <v>542484027</v>
      </c>
      <c r="Z59" s="1616">
        <f t="shared" si="22"/>
        <v>-573598327</v>
      </c>
      <c r="AB59" s="1616">
        <v>753502071</v>
      </c>
      <c r="AC59" s="1616">
        <v>800534191</v>
      </c>
      <c r="AD59" s="1616">
        <v>961235745</v>
      </c>
      <c r="AE59" s="1616">
        <v>1052487490</v>
      </c>
      <c r="AF59" s="1616">
        <v>1111553308</v>
      </c>
      <c r="AG59" s="1616">
        <v>1147089199</v>
      </c>
      <c r="AH59" s="1616">
        <v>1056424449</v>
      </c>
      <c r="AI59" s="1616">
        <v>1116082354</v>
      </c>
      <c r="AJ59" s="1616">
        <v>1350535418</v>
      </c>
      <c r="AK59" s="1616">
        <v>1376672079</v>
      </c>
      <c r="AL59" s="1616">
        <v>1430789177</v>
      </c>
      <c r="AM59" s="1616">
        <v>1002764268</v>
      </c>
      <c r="AN59" s="1616">
        <v>724491871</v>
      </c>
      <c r="AP59" s="498"/>
    </row>
    <row r="60" spans="1:42" ht="18" customHeight="1">
      <c r="A60" s="498"/>
      <c r="D60" s="1593">
        <v>112730</v>
      </c>
      <c r="E60" s="1359" t="s">
        <v>4</v>
      </c>
      <c r="F60" s="1361">
        <v>1605</v>
      </c>
      <c r="G60" s="1359" t="s">
        <v>58</v>
      </c>
      <c r="H60" s="498">
        <v>399988517</v>
      </c>
      <c r="I60" s="498">
        <v>0</v>
      </c>
      <c r="J60" s="710">
        <v>0</v>
      </c>
      <c r="K60" s="710">
        <v>0</v>
      </c>
      <c r="L60" s="510">
        <f t="shared" si="20"/>
        <v>399988517</v>
      </c>
      <c r="N60" s="1667">
        <f>SUMIF('1.0'!$D:$D,T_BS!D60,'1.0'!$V:$V)</f>
        <v>0</v>
      </c>
      <c r="O60" s="710">
        <f>SUMIF('2.0'!$D:$D,T_BS!D60,'2.0'!$V:$V)</f>
        <v>0</v>
      </c>
      <c r="P60" s="509">
        <f>ROUND(SUMIF('3.0'!$D:$D,T_BS!D60,'3.0'!$H:$H),0)</f>
        <v>0</v>
      </c>
      <c r="Q60" s="720">
        <f>ROUND(SUMIF('4.0'!$D:$D,T_BS!D60,'4.0'!$V:$V),0)</f>
        <v>0</v>
      </c>
      <c r="R60" s="509">
        <f>ROUND(SUMIF('5.0'!$D:$D,T_BS!D60,'5.0'!$V:$V),0)</f>
        <v>0</v>
      </c>
      <c r="S60" s="720">
        <f>ROUND(SUMIF('6.0'!$D:$D,T_BS!D60,'6.0'!$V:$V),0)</f>
        <v>0</v>
      </c>
      <c r="T60" s="720">
        <f>ROUND(SUMIF('7.0'!$D:$D,T_BS!D60,'7.0'!$V:$V),0)</f>
        <v>0</v>
      </c>
      <c r="U60" s="720">
        <f>ROUND(SUMIF('8.0'!$D:$D,T_BS!D60,'8.0'!$H:$H),0)</f>
        <v>0</v>
      </c>
      <c r="V60" s="510">
        <f t="shared" si="10"/>
        <v>0</v>
      </c>
      <c r="X60" s="1641">
        <f t="shared" si="21"/>
        <v>399988517</v>
      </c>
      <c r="Z60" s="1616">
        <f t="shared" si="22"/>
        <v>274059505</v>
      </c>
      <c r="AB60" s="1616">
        <v>778033931</v>
      </c>
      <c r="AC60" s="1616">
        <v>1092662363</v>
      </c>
      <c r="AD60" s="1616">
        <v>0</v>
      </c>
      <c r="AE60" s="1616">
        <v>354828709</v>
      </c>
      <c r="AF60" s="1616">
        <v>73277561</v>
      </c>
      <c r="AG60" s="1616">
        <v>219735996</v>
      </c>
      <c r="AH60" s="1616">
        <v>634918847</v>
      </c>
      <c r="AI60" s="1616">
        <v>125929012</v>
      </c>
      <c r="AJ60" s="1616">
        <v>695414349</v>
      </c>
      <c r="AK60" s="1616">
        <v>667956148</v>
      </c>
      <c r="AL60" s="1616">
        <v>23617862</v>
      </c>
      <c r="AM60" s="1616">
        <v>360609762</v>
      </c>
      <c r="AN60" s="1616">
        <v>0</v>
      </c>
      <c r="AP60" s="498"/>
    </row>
    <row r="61" spans="1:42" ht="18" customHeight="1">
      <c r="A61" s="498"/>
      <c r="D61" s="1593">
        <v>113340</v>
      </c>
      <c r="E61" s="1359" t="s">
        <v>4</v>
      </c>
      <c r="F61" s="1361">
        <v>1607</v>
      </c>
      <c r="G61" s="1359" t="s">
        <v>59</v>
      </c>
      <c r="H61" s="498">
        <v>59132028</v>
      </c>
      <c r="I61" s="498">
        <v>0</v>
      </c>
      <c r="J61" s="710">
        <v>0</v>
      </c>
      <c r="K61" s="710">
        <v>0</v>
      </c>
      <c r="L61" s="510">
        <f t="shared" si="20"/>
        <v>59132028</v>
      </c>
      <c r="N61" s="1667">
        <f>SUMIF('1.0'!$D:$D,T_BS!D61,'1.0'!$V:$V)</f>
        <v>0</v>
      </c>
      <c r="O61" s="710">
        <f>SUMIF('2.0'!$D:$D,T_BS!D61,'2.0'!$V:$V)</f>
        <v>0</v>
      </c>
      <c r="P61" s="509">
        <f>ROUND(SUMIF('3.0'!$D:$D,T_BS!D61,'3.0'!$H:$H),0)</f>
        <v>0</v>
      </c>
      <c r="Q61" s="720">
        <f>ROUND(SUMIF('4.0'!$D:$D,T_BS!D61,'4.0'!$V:$V),0)</f>
        <v>0</v>
      </c>
      <c r="R61" s="509">
        <f>ROUND(SUMIF('5.0'!$D:$D,T_BS!D61,'5.0'!$V:$V),0)</f>
        <v>0</v>
      </c>
      <c r="S61" s="720">
        <f>ROUND(SUMIF('6.0'!$D:$D,T_BS!D61,'6.0'!$V:$V),0)</f>
        <v>0</v>
      </c>
      <c r="T61" s="720">
        <f>ROUND(SUMIF('7.0'!$D:$D,T_BS!D61,'7.0'!$V:$V),0)</f>
        <v>0</v>
      </c>
      <c r="U61" s="720">
        <f>ROUND(SUMIF('8.0'!$D:$D,T_BS!D61,'8.0'!$H:$H),0)</f>
        <v>0</v>
      </c>
      <c r="V61" s="510">
        <f t="shared" si="10"/>
        <v>0</v>
      </c>
      <c r="X61" s="1641">
        <f t="shared" si="21"/>
        <v>59132028</v>
      </c>
      <c r="Z61" s="1616">
        <f t="shared" si="22"/>
        <v>-27066376</v>
      </c>
      <c r="AB61" s="1616">
        <v>66315496</v>
      </c>
      <c r="AC61" s="1616">
        <v>66315496</v>
      </c>
      <c r="AD61" s="1616">
        <v>66315496</v>
      </c>
      <c r="AE61" s="1616">
        <v>66315496</v>
      </c>
      <c r="AF61" s="1616">
        <v>66315496</v>
      </c>
      <c r="AG61" s="1616">
        <v>66315496</v>
      </c>
      <c r="AH61" s="1616">
        <v>86198404</v>
      </c>
      <c r="AI61" s="1616">
        <v>86198404</v>
      </c>
      <c r="AJ61" s="1616">
        <v>130321076</v>
      </c>
      <c r="AK61" s="1616">
        <v>130321076</v>
      </c>
      <c r="AL61" s="1616">
        <v>130321076</v>
      </c>
      <c r="AM61" s="1616">
        <v>93286021</v>
      </c>
      <c r="AN61" s="1616">
        <v>93286021</v>
      </c>
      <c r="AP61" s="498"/>
    </row>
    <row r="62" spans="1:42" ht="18" customHeight="1">
      <c r="A62" s="498"/>
      <c r="D62" s="1593">
        <v>112511</v>
      </c>
      <c r="E62" s="1359" t="s">
        <v>4</v>
      </c>
      <c r="F62" s="1361">
        <v>1601</v>
      </c>
      <c r="G62" s="1359" t="s">
        <v>60</v>
      </c>
      <c r="H62" s="498">
        <v>1563665148</v>
      </c>
      <c r="I62" s="498">
        <v>0</v>
      </c>
      <c r="J62" s="710">
        <v>14770033</v>
      </c>
      <c r="K62" s="710">
        <v>81841674</v>
      </c>
      <c r="L62" s="510">
        <f t="shared" si="20"/>
        <v>1660276855</v>
      </c>
      <c r="N62" s="1667">
        <f>SUMIF('1.0'!$D:$D,T_BS!D62,'1.0'!$V:$V)</f>
        <v>0</v>
      </c>
      <c r="O62" s="710">
        <f>SUMIF('2.0'!$D:$D,T_BS!D62,'2.0'!$V:$V)</f>
        <v>0</v>
      </c>
      <c r="P62" s="509">
        <f>ROUND(SUMIF('3.0'!$D:$D,T_BS!D62,'3.0'!$H:$H),0)</f>
        <v>-2333333</v>
      </c>
      <c r="Q62" s="720">
        <f>ROUND(SUMIF('4.0'!$D:$D,T_BS!D62,'4.0'!$V:$V),0)</f>
        <v>0</v>
      </c>
      <c r="R62" s="509">
        <f>ROUND(SUMIF('5.0'!$D:$D,T_BS!D62,'5.0'!$V:$V),0)</f>
        <v>0</v>
      </c>
      <c r="S62" s="720">
        <f>ROUND(SUMIF('6.0'!$D:$D,T_BS!D62,'6.0'!$V:$V),0)</f>
        <v>0</v>
      </c>
      <c r="T62" s="720">
        <f>ROUND(SUMIF('7.0'!$D:$D,T_BS!D62,'7.0'!$V:$V),0)</f>
        <v>0</v>
      </c>
      <c r="U62" s="720">
        <f>ROUND(SUMIF('8.0'!$D:$D,T_BS!D62,'8.0'!$H:$H),0)</f>
        <v>0</v>
      </c>
      <c r="V62" s="510">
        <f t="shared" si="10"/>
        <v>-2333333</v>
      </c>
      <c r="X62" s="1641">
        <f t="shared" si="21"/>
        <v>1657943522</v>
      </c>
      <c r="Z62" s="1616">
        <f t="shared" si="22"/>
        <v>-8416827904</v>
      </c>
      <c r="AB62" s="1616">
        <v>1889370488</v>
      </c>
      <c r="AC62" s="1616">
        <v>1831897591</v>
      </c>
      <c r="AD62" s="1616">
        <v>2056005386</v>
      </c>
      <c r="AE62" s="1616">
        <v>2596728297</v>
      </c>
      <c r="AF62" s="1616">
        <v>3224506617</v>
      </c>
      <c r="AG62" s="1616">
        <v>2922311233</v>
      </c>
      <c r="AH62" s="1616">
        <v>9763156355</v>
      </c>
      <c r="AI62" s="1616">
        <v>10074771426</v>
      </c>
      <c r="AJ62" s="1616">
        <v>9080194568</v>
      </c>
      <c r="AK62" s="1616">
        <v>8372397646</v>
      </c>
      <c r="AL62" s="1616">
        <v>8508503853</v>
      </c>
      <c r="AM62" s="1616">
        <v>7964246289</v>
      </c>
      <c r="AN62" s="1616">
        <v>713958100</v>
      </c>
      <c r="AP62" s="498"/>
    </row>
    <row r="63" spans="1:42" ht="18" customHeight="1">
      <c r="A63" s="498"/>
      <c r="D63" s="1593">
        <v>112521</v>
      </c>
      <c r="E63" s="1359" t="s">
        <v>4</v>
      </c>
      <c r="F63" s="1361">
        <v>1601</v>
      </c>
      <c r="G63" s="1359" t="s">
        <v>61</v>
      </c>
      <c r="H63" s="498">
        <v>0</v>
      </c>
      <c r="I63" s="498">
        <v>0</v>
      </c>
      <c r="J63" s="710">
        <v>0</v>
      </c>
      <c r="K63" s="710">
        <v>0</v>
      </c>
      <c r="L63" s="510">
        <f t="shared" si="20"/>
        <v>0</v>
      </c>
      <c r="N63" s="1667">
        <f>SUMIF('1.0'!$D:$D,T_BS!D63,'1.0'!$V:$V)</f>
        <v>0</v>
      </c>
      <c r="O63" s="710">
        <f>SUMIF('2.0'!$D:$D,T_BS!D63,'2.0'!$V:$V)</f>
        <v>0</v>
      </c>
      <c r="P63" s="509">
        <f>ROUND(SUMIF('3.0'!$D:$D,T_BS!D63,'3.0'!$H:$H),0)</f>
        <v>0</v>
      </c>
      <c r="Q63" s="720">
        <f>ROUND(SUMIF('4.0'!$D:$D,T_BS!D63,'4.0'!$V:$V),0)</f>
        <v>0</v>
      </c>
      <c r="R63" s="509">
        <f>ROUND(SUMIF('5.0'!$D:$D,T_BS!D63,'5.0'!$V:$V),0)</f>
        <v>0</v>
      </c>
      <c r="S63" s="720">
        <f>ROUND(SUMIF('6.0'!$D:$D,T_BS!D63,'6.0'!$V:$V),0)</f>
        <v>0</v>
      </c>
      <c r="T63" s="720">
        <f>ROUND(SUMIF('7.0'!$D:$D,T_BS!D63,'7.0'!$V:$V),0)</f>
        <v>0</v>
      </c>
      <c r="U63" s="720">
        <f>ROUND(SUMIF('8.0'!$D:$D,T_BS!D63,'8.0'!$H:$H),0)</f>
        <v>0</v>
      </c>
      <c r="V63" s="510">
        <f t="shared" si="10"/>
        <v>0</v>
      </c>
      <c r="X63" s="1641">
        <f t="shared" si="21"/>
        <v>0</v>
      </c>
      <c r="Z63" s="1616">
        <f t="shared" si="22"/>
        <v>0</v>
      </c>
      <c r="AB63" s="1616">
        <v>0</v>
      </c>
      <c r="AC63" s="1616">
        <v>0</v>
      </c>
      <c r="AD63" s="1616">
        <v>0</v>
      </c>
      <c r="AE63" s="1616">
        <v>0</v>
      </c>
      <c r="AF63" s="1616">
        <v>0</v>
      </c>
      <c r="AG63" s="1616">
        <v>0</v>
      </c>
      <c r="AH63" s="1616">
        <v>0</v>
      </c>
      <c r="AI63" s="1616">
        <v>0</v>
      </c>
      <c r="AJ63" s="1616">
        <v>0</v>
      </c>
      <c r="AK63" s="1616">
        <v>0</v>
      </c>
      <c r="AL63" s="1616">
        <v>0</v>
      </c>
      <c r="AM63" s="1616">
        <v>0</v>
      </c>
      <c r="AN63" s="1616">
        <v>0</v>
      </c>
      <c r="AP63" s="498"/>
    </row>
    <row r="64" spans="1:42" ht="18" customHeight="1">
      <c r="A64" s="498"/>
      <c r="D64" s="1593">
        <v>112522</v>
      </c>
      <c r="E64" s="1359" t="s">
        <v>4</v>
      </c>
      <c r="F64" s="1361">
        <v>1601</v>
      </c>
      <c r="G64" s="1359" t="s">
        <v>62</v>
      </c>
      <c r="H64" s="498">
        <v>6486481</v>
      </c>
      <c r="I64" s="498">
        <v>0</v>
      </c>
      <c r="J64" s="710">
        <v>0</v>
      </c>
      <c r="K64" s="710">
        <v>0</v>
      </c>
      <c r="L64" s="510">
        <f t="shared" si="20"/>
        <v>6486481</v>
      </c>
      <c r="N64" s="1667">
        <f>SUMIF('1.0'!$D:$D,T_BS!D64,'1.0'!$V:$V)</f>
        <v>0</v>
      </c>
      <c r="O64" s="710">
        <f>SUMIF('2.0'!$D:$D,T_BS!D64,'2.0'!$V:$V)</f>
        <v>0</v>
      </c>
      <c r="P64" s="509">
        <f>ROUND(SUMIF('3.0'!$D:$D,T_BS!D64,'3.0'!$H:$H),0)</f>
        <v>0</v>
      </c>
      <c r="Q64" s="720">
        <f>ROUND(SUMIF('4.0'!$D:$D,T_BS!D64,'4.0'!$V:$V),0)</f>
        <v>0</v>
      </c>
      <c r="R64" s="509">
        <f>ROUND(SUMIF('5.0'!$D:$D,T_BS!D64,'5.0'!$V:$V),0)</f>
        <v>0</v>
      </c>
      <c r="S64" s="720">
        <f>ROUND(SUMIF('6.0'!$D:$D,T_BS!D64,'6.0'!$V:$V),0)</f>
        <v>0</v>
      </c>
      <c r="T64" s="720">
        <f>ROUND(SUMIF('7.0'!$D:$D,T_BS!D64,'7.0'!$V:$V),0)</f>
        <v>0</v>
      </c>
      <c r="U64" s="720">
        <f>ROUND(SUMIF('8.0'!$D:$D,T_BS!D64,'8.0'!$H:$H),0)</f>
        <v>0</v>
      </c>
      <c r="V64" s="510">
        <f t="shared" si="10"/>
        <v>0</v>
      </c>
      <c r="X64" s="1641">
        <f t="shared" si="21"/>
        <v>6486481</v>
      </c>
      <c r="Z64" s="1616">
        <f t="shared" si="22"/>
        <v>-226704898</v>
      </c>
      <c r="AB64" s="1616">
        <v>6486481</v>
      </c>
      <c r="AC64" s="1616">
        <v>6486481</v>
      </c>
      <c r="AD64" s="1616">
        <v>6486481</v>
      </c>
      <c r="AE64" s="1616">
        <v>6486481</v>
      </c>
      <c r="AF64" s="1616">
        <v>0</v>
      </c>
      <c r="AG64" s="1616">
        <v>6657005</v>
      </c>
      <c r="AH64" s="1616">
        <v>6657005</v>
      </c>
      <c r="AI64" s="1616">
        <v>233191379</v>
      </c>
      <c r="AJ64" s="1616">
        <v>233191379</v>
      </c>
      <c r="AK64" s="1616">
        <v>233191379</v>
      </c>
      <c r="AL64" s="1616">
        <v>233039921</v>
      </c>
      <c r="AM64" s="1616">
        <v>6519921</v>
      </c>
      <c r="AN64" s="1616">
        <v>0</v>
      </c>
      <c r="AP64" s="498"/>
    </row>
    <row r="65" spans="1:42" ht="18" customHeight="1">
      <c r="A65" s="498"/>
      <c r="D65" s="1593">
        <v>112531</v>
      </c>
      <c r="E65" s="1359" t="s">
        <v>4</v>
      </c>
      <c r="F65" s="1361">
        <v>1601</v>
      </c>
      <c r="G65" s="1359" t="s">
        <v>63</v>
      </c>
      <c r="H65" s="498">
        <v>560720568</v>
      </c>
      <c r="I65" s="498">
        <v>0</v>
      </c>
      <c r="J65" s="710">
        <v>0</v>
      </c>
      <c r="K65" s="710">
        <v>0</v>
      </c>
      <c r="L65" s="510">
        <f t="shared" si="20"/>
        <v>560720568</v>
      </c>
      <c r="N65" s="1667">
        <f>SUMIF('1.0'!$D:$D,T_BS!D65,'1.0'!$V:$V)</f>
        <v>0</v>
      </c>
      <c r="O65" s="710">
        <f>SUMIF('2.0'!$D:$D,T_BS!D65,'2.0'!$V:$V)</f>
        <v>0</v>
      </c>
      <c r="P65" s="509">
        <f>ROUND(SUMIF('3.0'!$D:$D,T_BS!D65,'3.0'!$H:$H),0)</f>
        <v>0</v>
      </c>
      <c r="Q65" s="720">
        <f>ROUND(SUMIF('4.0'!$D:$D,T_BS!D65,'4.0'!$V:$V),0)</f>
        <v>0</v>
      </c>
      <c r="R65" s="509">
        <f>ROUND(SUMIF('5.0'!$D:$D,T_BS!D65,'5.0'!$V:$V),0)</f>
        <v>0</v>
      </c>
      <c r="S65" s="720">
        <f>ROUND(SUMIF('6.0'!$D:$D,T_BS!D65,'6.0'!$V:$V),0)</f>
        <v>0</v>
      </c>
      <c r="T65" s="720">
        <f>ROUND(SUMIF('7.0'!$D:$D,T_BS!D65,'7.0'!$V:$V),0)</f>
        <v>0</v>
      </c>
      <c r="U65" s="720">
        <f>ROUND(SUMIF('8.0'!$D:$D,T_BS!D65,'8.0'!$H:$H),0)</f>
        <v>0</v>
      </c>
      <c r="V65" s="510">
        <f t="shared" si="10"/>
        <v>0</v>
      </c>
      <c r="X65" s="1641">
        <f t="shared" si="21"/>
        <v>560720568</v>
      </c>
      <c r="Z65" s="1616">
        <f t="shared" si="22"/>
        <v>242268200</v>
      </c>
      <c r="AB65" s="1616">
        <v>454766702</v>
      </c>
      <c r="AC65" s="1616">
        <v>517289858</v>
      </c>
      <c r="AD65" s="1616">
        <v>721125258</v>
      </c>
      <c r="AE65" s="1616">
        <v>617788015</v>
      </c>
      <c r="AF65" s="1616">
        <v>597811093</v>
      </c>
      <c r="AG65" s="1616">
        <v>602479613</v>
      </c>
      <c r="AH65" s="1616">
        <v>120289630</v>
      </c>
      <c r="AI65" s="1616">
        <v>318452368</v>
      </c>
      <c r="AJ65" s="1616">
        <v>247972742</v>
      </c>
      <c r="AK65" s="1616">
        <v>420789679</v>
      </c>
      <c r="AL65" s="1616">
        <v>868836165</v>
      </c>
      <c r="AM65" s="1616">
        <v>70376796</v>
      </c>
      <c r="AN65" s="1616">
        <v>318444611</v>
      </c>
      <c r="AP65" s="498"/>
    </row>
    <row r="66" spans="1:42" ht="18" customHeight="1">
      <c r="A66" s="498"/>
      <c r="D66" s="1593">
        <v>112533</v>
      </c>
      <c r="E66" s="1359" t="s">
        <v>4</v>
      </c>
      <c r="F66" s="1361">
        <v>1601</v>
      </c>
      <c r="G66" s="1359" t="s">
        <v>64</v>
      </c>
      <c r="H66" s="498">
        <v>0</v>
      </c>
      <c r="I66" s="498">
        <v>0</v>
      </c>
      <c r="J66" s="710">
        <v>0</v>
      </c>
      <c r="K66" s="710">
        <v>0</v>
      </c>
      <c r="L66" s="510">
        <f t="shared" si="20"/>
        <v>0</v>
      </c>
      <c r="N66" s="1667">
        <f>SUMIF('1.0'!$D:$D,T_BS!D66,'1.0'!$V:$V)</f>
        <v>0</v>
      </c>
      <c r="O66" s="710">
        <f>SUMIF('2.0'!$D:$D,T_BS!D66,'2.0'!$V:$V)</f>
        <v>0</v>
      </c>
      <c r="P66" s="509">
        <f>ROUND(SUMIF('3.0'!$D:$D,T_BS!D66,'3.0'!$H:$H),0)</f>
        <v>0</v>
      </c>
      <c r="Q66" s="720">
        <f>ROUND(SUMIF('4.0'!$D:$D,T_BS!D66,'4.0'!$V:$V),0)</f>
        <v>0</v>
      </c>
      <c r="R66" s="509">
        <f>ROUND(SUMIF('5.0'!$D:$D,T_BS!D66,'5.0'!$V:$V),0)</f>
        <v>0</v>
      </c>
      <c r="S66" s="720">
        <f>ROUND(SUMIF('6.0'!$D:$D,T_BS!D66,'6.0'!$V:$V),0)</f>
        <v>0</v>
      </c>
      <c r="T66" s="720">
        <f>ROUND(SUMIF('7.0'!$D:$D,T_BS!D66,'7.0'!$V:$V),0)</f>
        <v>0</v>
      </c>
      <c r="U66" s="720">
        <f>ROUND(SUMIF('8.0'!$D:$D,T_BS!D66,'8.0'!$H:$H),0)</f>
        <v>0</v>
      </c>
      <c r="V66" s="510">
        <f t="shared" si="10"/>
        <v>0</v>
      </c>
      <c r="X66" s="1641">
        <f t="shared" si="21"/>
        <v>0</v>
      </c>
      <c r="Z66" s="1616">
        <f t="shared" si="22"/>
        <v>0</v>
      </c>
      <c r="AB66" s="1616">
        <v>0</v>
      </c>
      <c r="AC66" s="1616">
        <v>0</v>
      </c>
      <c r="AD66" s="1616">
        <v>0</v>
      </c>
      <c r="AE66" s="1616">
        <v>0</v>
      </c>
      <c r="AF66" s="1616">
        <v>0</v>
      </c>
      <c r="AG66" s="1616">
        <v>0</v>
      </c>
      <c r="AH66" s="1616">
        <v>0</v>
      </c>
      <c r="AI66" s="1616">
        <v>0</v>
      </c>
      <c r="AJ66" s="1616">
        <v>0</v>
      </c>
      <c r="AK66" s="1616">
        <v>0</v>
      </c>
      <c r="AL66" s="1616">
        <v>0</v>
      </c>
      <c r="AM66" s="1616">
        <v>0</v>
      </c>
      <c r="AN66" s="1616">
        <v>0</v>
      </c>
      <c r="AP66" s="498"/>
    </row>
    <row r="67" spans="1:42" ht="18" customHeight="1">
      <c r="A67" s="498"/>
      <c r="D67" s="1593">
        <v>112536</v>
      </c>
      <c r="E67" s="1359" t="s">
        <v>4</v>
      </c>
      <c r="F67" s="1361">
        <v>1601</v>
      </c>
      <c r="G67" s="1359" t="s">
        <v>1691</v>
      </c>
      <c r="H67" s="498">
        <v>0</v>
      </c>
      <c r="I67" s="498">
        <v>0</v>
      </c>
      <c r="J67" s="710">
        <v>0</v>
      </c>
      <c r="K67" s="710">
        <v>0</v>
      </c>
      <c r="L67" s="510">
        <f t="shared" si="20"/>
        <v>0</v>
      </c>
      <c r="N67" s="1667">
        <f>SUMIF('1.0'!$D:$D,T_BS!D67,'1.0'!$V:$V)</f>
        <v>0</v>
      </c>
      <c r="O67" s="710">
        <f>SUMIF('2.0'!$D:$D,T_BS!D67,'2.0'!$V:$V)</f>
        <v>0</v>
      </c>
      <c r="P67" s="509">
        <f>ROUND(SUMIF('3.0'!$D:$D,T_BS!D67,'3.0'!$H:$H),0)</f>
        <v>0</v>
      </c>
      <c r="Q67" s="720">
        <f>ROUND(SUMIF('4.0'!$D:$D,T_BS!D67,'4.0'!$V:$V),0)</f>
        <v>0</v>
      </c>
      <c r="R67" s="509">
        <f>ROUND(SUMIF('5.0'!$D:$D,T_BS!D67,'5.0'!$V:$V),0)</f>
        <v>0</v>
      </c>
      <c r="S67" s="720">
        <f>ROUND(SUMIF('6.0'!$D:$D,T_BS!D67,'6.0'!$V:$V),0)</f>
        <v>0</v>
      </c>
      <c r="T67" s="720">
        <f>ROUND(SUMIF('7.0'!$D:$D,T_BS!D67,'7.0'!$V:$V),0)</f>
        <v>0</v>
      </c>
      <c r="U67" s="720">
        <f>ROUND(SUMIF('8.0'!$D:$D,T_BS!D67,'8.0'!$H:$H),0)</f>
        <v>0</v>
      </c>
      <c r="V67" s="510">
        <f t="shared" si="10"/>
        <v>0</v>
      </c>
      <c r="X67" s="1641">
        <f t="shared" si="21"/>
        <v>0</v>
      </c>
      <c r="Z67" s="1616">
        <f t="shared" si="22"/>
        <v>0</v>
      </c>
      <c r="AB67" s="1616">
        <v>0</v>
      </c>
      <c r="AC67" s="1616">
        <v>0</v>
      </c>
      <c r="AD67" s="1616">
        <v>0</v>
      </c>
      <c r="AE67" s="1616">
        <v>0</v>
      </c>
      <c r="AF67" s="1616">
        <v>0</v>
      </c>
      <c r="AG67" s="1616">
        <v>0</v>
      </c>
      <c r="AH67" s="1616">
        <v>0</v>
      </c>
      <c r="AI67" s="1616">
        <v>0</v>
      </c>
      <c r="AJ67" s="1616">
        <v>0</v>
      </c>
      <c r="AK67" s="1616">
        <v>0</v>
      </c>
      <c r="AL67" s="1616">
        <v>0</v>
      </c>
      <c r="AM67" s="1616">
        <v>0</v>
      </c>
      <c r="AN67" s="1616">
        <v>0</v>
      </c>
      <c r="AP67" s="498"/>
    </row>
    <row r="68" spans="1:42" ht="18" customHeight="1">
      <c r="A68" s="498"/>
      <c r="D68" s="1593">
        <v>112534</v>
      </c>
      <c r="E68" s="1359" t="s">
        <v>4</v>
      </c>
      <c r="F68" s="1361">
        <v>1601</v>
      </c>
      <c r="G68" s="1359" t="s">
        <v>65</v>
      </c>
      <c r="H68" s="498">
        <v>0</v>
      </c>
      <c r="I68" s="498">
        <v>0</v>
      </c>
      <c r="J68" s="710">
        <v>0</v>
      </c>
      <c r="K68" s="710">
        <v>0</v>
      </c>
      <c r="L68" s="510">
        <f t="shared" si="20"/>
        <v>0</v>
      </c>
      <c r="N68" s="1667">
        <f>SUMIF('1.0'!$D:$D,T_BS!D68,'1.0'!$V:$V)</f>
        <v>0</v>
      </c>
      <c r="O68" s="710">
        <f>SUMIF('2.0'!$D:$D,T_BS!D68,'2.0'!$V:$V)</f>
        <v>0</v>
      </c>
      <c r="P68" s="509">
        <f>ROUND(SUMIF('3.0'!$D:$D,T_BS!D68,'3.0'!$H:$H),0)</f>
        <v>0</v>
      </c>
      <c r="Q68" s="720">
        <f>ROUND(SUMIF('4.0'!$D:$D,T_BS!D68,'4.0'!$V:$V),0)</f>
        <v>0</v>
      </c>
      <c r="R68" s="509">
        <f>ROUND(SUMIF('5.0'!$D:$D,T_BS!D68,'5.0'!$V:$V),0)</f>
        <v>0</v>
      </c>
      <c r="S68" s="720">
        <f>ROUND(SUMIF('6.0'!$D:$D,T_BS!D68,'6.0'!$V:$V),0)</f>
        <v>0</v>
      </c>
      <c r="T68" s="720">
        <f>ROUND(SUMIF('7.0'!$D:$D,T_BS!D68,'7.0'!$V:$V),0)</f>
        <v>0</v>
      </c>
      <c r="U68" s="720">
        <f>ROUND(SUMIF('8.0'!$D:$D,T_BS!D68,'8.0'!$H:$H),0)</f>
        <v>0</v>
      </c>
      <c r="V68" s="510">
        <f t="shared" si="10"/>
        <v>0</v>
      </c>
      <c r="X68" s="1641">
        <f t="shared" si="21"/>
        <v>0</v>
      </c>
      <c r="Z68" s="1616">
        <f t="shared" si="22"/>
        <v>0</v>
      </c>
      <c r="AB68" s="1616">
        <v>0</v>
      </c>
      <c r="AC68" s="1616">
        <v>0</v>
      </c>
      <c r="AD68" s="1616">
        <v>0</v>
      </c>
      <c r="AE68" s="1616">
        <v>0</v>
      </c>
      <c r="AF68" s="1616">
        <v>0</v>
      </c>
      <c r="AG68" s="1616">
        <v>0</v>
      </c>
      <c r="AH68" s="1616">
        <v>0</v>
      </c>
      <c r="AI68" s="1616">
        <v>0</v>
      </c>
      <c r="AJ68" s="1616">
        <v>0</v>
      </c>
      <c r="AK68" s="1616">
        <v>0</v>
      </c>
      <c r="AL68" s="1616">
        <v>0</v>
      </c>
      <c r="AM68" s="1616">
        <v>0</v>
      </c>
      <c r="AN68" s="1616">
        <v>0</v>
      </c>
      <c r="AP68" s="498"/>
    </row>
    <row r="69" spans="1:42" ht="18" customHeight="1">
      <c r="A69" s="498"/>
      <c r="D69" s="1593">
        <v>112535</v>
      </c>
      <c r="E69" s="1359" t="s">
        <v>4</v>
      </c>
      <c r="F69" s="1361">
        <v>1601</v>
      </c>
      <c r="G69" s="1359" t="s">
        <v>66</v>
      </c>
      <c r="H69" s="498">
        <v>0</v>
      </c>
      <c r="I69" s="498">
        <v>0</v>
      </c>
      <c r="J69" s="710">
        <v>0</v>
      </c>
      <c r="K69" s="710">
        <v>0</v>
      </c>
      <c r="L69" s="510">
        <f t="shared" si="20"/>
        <v>0</v>
      </c>
      <c r="N69" s="1667">
        <f>SUMIF('1.0'!$D:$D,T_BS!D69,'1.0'!$V:$V)</f>
        <v>0</v>
      </c>
      <c r="O69" s="710">
        <f>SUMIF('2.0'!$D:$D,T_BS!D69,'2.0'!$V:$V)</f>
        <v>0</v>
      </c>
      <c r="P69" s="509">
        <f>ROUND(SUMIF('3.0'!$D:$D,T_BS!D69,'3.0'!$H:$H),0)</f>
        <v>0</v>
      </c>
      <c r="Q69" s="720">
        <f>ROUND(SUMIF('4.0'!$D:$D,T_BS!D69,'4.0'!$V:$V),0)</f>
        <v>0</v>
      </c>
      <c r="R69" s="509">
        <f>ROUND(SUMIF('5.0'!$D:$D,T_BS!D69,'5.0'!$V:$V),0)</f>
        <v>0</v>
      </c>
      <c r="S69" s="720">
        <f>ROUND(SUMIF('6.0'!$D:$D,T_BS!D69,'6.0'!$V:$V),0)</f>
        <v>0</v>
      </c>
      <c r="T69" s="720">
        <f>ROUND(SUMIF('7.0'!$D:$D,T_BS!D69,'7.0'!$V:$V),0)</f>
        <v>0</v>
      </c>
      <c r="U69" s="720">
        <f>ROUND(SUMIF('8.0'!$D:$D,T_BS!D69,'8.0'!$H:$H),0)</f>
        <v>0</v>
      </c>
      <c r="V69" s="510">
        <f t="shared" si="10"/>
        <v>0</v>
      </c>
      <c r="X69" s="1641">
        <f t="shared" si="21"/>
        <v>0</v>
      </c>
      <c r="Z69" s="1616">
        <f t="shared" si="22"/>
        <v>0</v>
      </c>
      <c r="AB69" s="1616">
        <v>0</v>
      </c>
      <c r="AC69" s="1616">
        <v>0</v>
      </c>
      <c r="AD69" s="1616">
        <v>0</v>
      </c>
      <c r="AE69" s="1616">
        <v>0</v>
      </c>
      <c r="AF69" s="1616">
        <v>0</v>
      </c>
      <c r="AG69" s="1616">
        <v>0</v>
      </c>
      <c r="AH69" s="1616">
        <v>0</v>
      </c>
      <c r="AI69" s="1616">
        <v>0</v>
      </c>
      <c r="AJ69" s="1616">
        <v>0</v>
      </c>
      <c r="AK69" s="1616">
        <v>0</v>
      </c>
      <c r="AL69" s="1616">
        <v>0</v>
      </c>
      <c r="AM69" s="1616">
        <v>0</v>
      </c>
      <c r="AN69" s="1616">
        <v>0</v>
      </c>
      <c r="AP69" s="498"/>
    </row>
    <row r="70" spans="1:42" ht="18" customHeight="1">
      <c r="A70" s="498"/>
      <c r="D70" s="1593">
        <v>112538</v>
      </c>
      <c r="E70" s="1359" t="s">
        <v>4</v>
      </c>
      <c r="F70" s="1361">
        <v>1601</v>
      </c>
      <c r="G70" s="1359" t="s">
        <v>1690</v>
      </c>
      <c r="H70" s="498">
        <v>1427484015</v>
      </c>
      <c r="I70" s="498">
        <v>0</v>
      </c>
      <c r="J70" s="710">
        <v>0</v>
      </c>
      <c r="K70" s="710">
        <v>0</v>
      </c>
      <c r="L70" s="510">
        <f t="shared" si="20"/>
        <v>1427484015</v>
      </c>
      <c r="N70" s="1667">
        <f>SUMIF('1.0'!$D:$D,T_BS!D70,'1.0'!$V:$V)</f>
        <v>0</v>
      </c>
      <c r="O70" s="710">
        <f>SUMIF('2.0'!$D:$D,T_BS!D70,'2.0'!$V:$V)</f>
        <v>0</v>
      </c>
      <c r="P70" s="509">
        <f>ROUND(SUMIF('3.0'!$D:$D,T_BS!D70,'3.0'!$H:$H),0)</f>
        <v>0</v>
      </c>
      <c r="Q70" s="720">
        <f>ROUND(SUMIF('4.0'!$D:$D,T_BS!D70,'4.0'!$V:$V),0)</f>
        <v>0</v>
      </c>
      <c r="R70" s="509">
        <f>ROUND(SUMIF('5.0'!$D:$D,T_BS!D70,'5.0'!$V:$V),0)</f>
        <v>0</v>
      </c>
      <c r="S70" s="720">
        <f>ROUND(SUMIF('6.0'!$D:$D,T_BS!D70,'6.0'!$V:$V),0)</f>
        <v>0</v>
      </c>
      <c r="T70" s="720">
        <f>ROUND(SUMIF('7.0'!$D:$D,T_BS!D70,'7.0'!$V:$V),0)</f>
        <v>0</v>
      </c>
      <c r="U70" s="720">
        <f>ROUND(SUMIF('8.0'!$D:$D,T_BS!D70,'8.0'!$H:$H),0)</f>
        <v>0</v>
      </c>
      <c r="V70" s="510">
        <f t="shared" si="10"/>
        <v>0</v>
      </c>
      <c r="X70" s="1641">
        <f t="shared" si="21"/>
        <v>1427484015</v>
      </c>
      <c r="Z70" s="1616">
        <f t="shared" si="22"/>
        <v>-467926314</v>
      </c>
      <c r="AB70" s="1616">
        <v>2351956537</v>
      </c>
      <c r="AC70" s="1616">
        <v>1959538415</v>
      </c>
      <c r="AD70" s="1616">
        <v>2039744787</v>
      </c>
      <c r="AE70" s="1616">
        <v>1762245497</v>
      </c>
      <c r="AF70" s="1616">
        <v>1041444553</v>
      </c>
      <c r="AG70" s="1616">
        <v>1181830576</v>
      </c>
      <c r="AH70" s="1616">
        <v>1796137275</v>
      </c>
      <c r="AI70" s="1616">
        <v>1895410329</v>
      </c>
      <c r="AJ70" s="1616">
        <v>2108402268</v>
      </c>
      <c r="AK70" s="1616">
        <v>2083435188</v>
      </c>
      <c r="AL70" s="1616">
        <v>2089698020</v>
      </c>
      <c r="AM70" s="1616">
        <v>714544451</v>
      </c>
      <c r="AN70" s="1616">
        <v>541478512</v>
      </c>
      <c r="AP70" s="498"/>
    </row>
    <row r="71" spans="1:42" ht="18" customHeight="1">
      <c r="A71" s="498"/>
      <c r="D71" s="1593" t="s">
        <v>1853</v>
      </c>
      <c r="E71" s="1359" t="s">
        <v>4</v>
      </c>
      <c r="F71" s="1361">
        <v>1601</v>
      </c>
      <c r="G71" s="1359" t="s">
        <v>1854</v>
      </c>
      <c r="H71" s="498">
        <v>0</v>
      </c>
      <c r="I71" s="498">
        <v>0</v>
      </c>
      <c r="J71" s="710">
        <v>0</v>
      </c>
      <c r="K71" s="710">
        <v>0</v>
      </c>
      <c r="L71" s="510">
        <f t="shared" si="20"/>
        <v>0</v>
      </c>
      <c r="N71" s="1667">
        <f>SUMIF('1.0'!$D:$D,T_BS!D71,'1.0'!$V:$V)</f>
        <v>0</v>
      </c>
      <c r="O71" s="710">
        <f>SUMIF('2.0'!$D:$D,T_BS!D71,'2.0'!$V:$V)</f>
        <v>0</v>
      </c>
      <c r="P71" s="509">
        <f>ROUND(SUMIF('3.0'!$D:$D,T_BS!D71,'3.0'!$H:$H),0)</f>
        <v>0</v>
      </c>
      <c r="Q71" s="720">
        <f>ROUND(SUMIF('4.0'!$D:$D,T_BS!D71,'4.0'!$V:$V),0)</f>
        <v>0</v>
      </c>
      <c r="R71" s="509">
        <f>ROUND(SUMIF('5.0'!$D:$D,T_BS!D71,'5.0'!$V:$V),0)</f>
        <v>0</v>
      </c>
      <c r="S71" s="720">
        <f>ROUND(SUMIF('6.0'!$D:$D,T_BS!D71,'6.0'!$V:$V),0)</f>
        <v>0</v>
      </c>
      <c r="T71" s="720">
        <f>ROUND(SUMIF('7.0'!$D:$D,T_BS!D71,'7.0'!$V:$V),0)</f>
        <v>0</v>
      </c>
      <c r="U71" s="720">
        <f>ROUND(SUMIF('8.0'!$D:$D,T_BS!D71,'8.0'!$H:$H),0)</f>
        <v>0</v>
      </c>
      <c r="V71" s="510">
        <f>SUM(N71:U71)</f>
        <v>0</v>
      </c>
      <c r="X71" s="1641">
        <f t="shared" si="21"/>
        <v>0</v>
      </c>
      <c r="Z71" s="1616">
        <f t="shared" si="22"/>
        <v>-179550000</v>
      </c>
      <c r="AB71" s="1616">
        <v>179550000</v>
      </c>
      <c r="AC71" s="1616">
        <v>179550000</v>
      </c>
      <c r="AD71" s="1616">
        <v>179550000</v>
      </c>
      <c r="AE71" s="1616">
        <v>179550000</v>
      </c>
      <c r="AF71" s="1616">
        <v>179550000</v>
      </c>
      <c r="AG71" s="1616">
        <v>179550000</v>
      </c>
      <c r="AH71" s="1616">
        <v>179550000</v>
      </c>
      <c r="AI71" s="1616">
        <v>179550000</v>
      </c>
      <c r="AJ71" s="1616">
        <v>179550000</v>
      </c>
      <c r="AK71" s="1616">
        <v>179550000</v>
      </c>
      <c r="AL71" s="1616">
        <v>179550000</v>
      </c>
      <c r="AM71" s="1616">
        <v>179550000</v>
      </c>
      <c r="AN71" s="1616">
        <v>179550000</v>
      </c>
      <c r="AP71" s="498"/>
    </row>
    <row r="72" spans="1:42" ht="18" customHeight="1">
      <c r="A72" s="498"/>
      <c r="D72" s="1593">
        <v>112900</v>
      </c>
      <c r="E72" s="1359" t="s">
        <v>4</v>
      </c>
      <c r="F72" s="1361">
        <v>112900</v>
      </c>
      <c r="G72" s="1359" t="s">
        <v>67</v>
      </c>
      <c r="H72" s="498">
        <v>0</v>
      </c>
      <c r="I72" s="498">
        <v>0</v>
      </c>
      <c r="J72" s="710">
        <v>0</v>
      </c>
      <c r="K72" s="710">
        <v>1512524639</v>
      </c>
      <c r="L72" s="510">
        <f t="shared" si="20"/>
        <v>1512524639</v>
      </c>
      <c r="N72" s="1667">
        <f>SUMIF('1.0'!$D:$D,T_BS!D72,'1.0'!$V:$V)</f>
        <v>0</v>
      </c>
      <c r="O72" s="710">
        <f>SUMIF('2.0'!$D:$D,T_BS!D72,'2.0'!$V:$V)</f>
        <v>0</v>
      </c>
      <c r="P72" s="509">
        <f>ROUND(SUMIF('3.0'!$D:$D,T_BS!D72,'3.0'!$H:$H),0)</f>
        <v>0</v>
      </c>
      <c r="Q72" s="720">
        <f>ROUND(SUMIF('4.0'!$D:$D,T_BS!D72,'4.0'!$V:$V),0)</f>
        <v>0</v>
      </c>
      <c r="R72" s="509">
        <f>ROUND(SUMIF('5.0'!$D:$D,T_BS!D72,'5.0'!$V:$V),0)</f>
        <v>0</v>
      </c>
      <c r="S72" s="720">
        <f>ROUND(SUMIF('6.0'!$D:$D,T_BS!D72,'6.0'!$V:$V),0)</f>
        <v>-1512524639</v>
      </c>
      <c r="T72" s="720">
        <f>ROUND(SUMIF('7.0'!$D:$D,T_BS!D72,'7.0'!$V:$V),0)</f>
        <v>0</v>
      </c>
      <c r="U72" s="720">
        <f>ROUND(SUMIF('8.0'!$D:$D,T_BS!D72,'8.0'!$H:$H),0)</f>
        <v>0</v>
      </c>
      <c r="V72" s="510">
        <f t="shared" si="10"/>
        <v>-1512524639</v>
      </c>
      <c r="X72" s="1641">
        <f t="shared" si="21"/>
        <v>0</v>
      </c>
      <c r="Z72" s="1616">
        <f t="shared" si="22"/>
        <v>0</v>
      </c>
      <c r="AB72" s="1616">
        <v>0</v>
      </c>
      <c r="AC72" s="1616">
        <v>0</v>
      </c>
      <c r="AD72" s="1616">
        <v>0</v>
      </c>
      <c r="AE72" s="1616">
        <v>0</v>
      </c>
      <c r="AF72" s="1616">
        <v>0</v>
      </c>
      <c r="AG72" s="1616">
        <v>0</v>
      </c>
      <c r="AH72" s="1616">
        <v>0</v>
      </c>
      <c r="AI72" s="1616">
        <v>0</v>
      </c>
      <c r="AJ72" s="1616">
        <v>0</v>
      </c>
      <c r="AK72" s="1616">
        <v>0</v>
      </c>
      <c r="AL72" s="1616">
        <v>0</v>
      </c>
      <c r="AM72" s="1616">
        <v>5200941</v>
      </c>
      <c r="AN72" s="1616">
        <v>567951</v>
      </c>
      <c r="AP72" s="498"/>
    </row>
    <row r="73" spans="1:42" ht="18" customHeight="1">
      <c r="A73" s="498"/>
      <c r="D73" s="1593" t="s">
        <v>68</v>
      </c>
      <c r="E73" s="1359" t="s">
        <v>4</v>
      </c>
      <c r="F73" s="1361">
        <v>112900</v>
      </c>
      <c r="G73" s="1359" t="s">
        <v>69</v>
      </c>
      <c r="H73" s="498">
        <v>0</v>
      </c>
      <c r="I73" s="498">
        <v>0</v>
      </c>
      <c r="J73" s="710">
        <v>0</v>
      </c>
      <c r="K73" s="710">
        <v>0</v>
      </c>
      <c r="L73" s="510">
        <f t="shared" si="20"/>
        <v>0</v>
      </c>
      <c r="N73" s="1667">
        <f>SUMIF('1.0'!$D:$D,T_BS!D73,'1.0'!$V:$V)</f>
        <v>0</v>
      </c>
      <c r="O73" s="710">
        <f>SUMIF('2.0'!$D:$D,T_BS!D73,'2.0'!$V:$V)</f>
        <v>0</v>
      </c>
      <c r="P73" s="509">
        <f>ROUND(SUMIF('3.0'!$D:$D,T_BS!D73,'3.0'!$H:$H),0)</f>
        <v>0</v>
      </c>
      <c r="Q73" s="720">
        <f>ROUND(SUMIF('4.0'!$D:$D,T_BS!D73,'4.0'!$V:$V),0)</f>
        <v>0</v>
      </c>
      <c r="R73" s="509">
        <f>ROUND(SUMIF('5.0'!$D:$D,T_BS!D73,'5.0'!$V:$V),0)</f>
        <v>0</v>
      </c>
      <c r="S73" s="720">
        <f>ROUND(SUMIF('6.0'!$D:$D,T_BS!D73,'6.0'!$V:$V),0)</f>
        <v>0</v>
      </c>
      <c r="T73" s="720">
        <f>ROUND(SUMIF('7.0'!$D:$D,T_BS!D73,'7.0'!$V:$V),0)</f>
        <v>0</v>
      </c>
      <c r="U73" s="720">
        <f>ROUND(SUMIF('8.0'!$D:$D,T_BS!D73,'8.0'!$H:$H),0)</f>
        <v>0</v>
      </c>
      <c r="V73" s="510">
        <f t="shared" si="10"/>
        <v>0</v>
      </c>
      <c r="X73" s="1641">
        <f t="shared" si="21"/>
        <v>0</v>
      </c>
      <c r="Z73" s="1616">
        <f t="shared" si="22"/>
        <v>0</v>
      </c>
      <c r="AB73" s="1616">
        <v>0</v>
      </c>
      <c r="AC73" s="1616">
        <v>0</v>
      </c>
      <c r="AD73" s="1616">
        <v>0</v>
      </c>
      <c r="AE73" s="1616">
        <v>0</v>
      </c>
      <c r="AF73" s="1616">
        <v>0</v>
      </c>
      <c r="AG73" s="1616">
        <v>0</v>
      </c>
      <c r="AH73" s="1616">
        <v>0</v>
      </c>
      <c r="AI73" s="1616">
        <v>0</v>
      </c>
      <c r="AJ73" s="1616">
        <v>0</v>
      </c>
      <c r="AK73" s="1616">
        <v>0</v>
      </c>
      <c r="AL73" s="1616">
        <v>0</v>
      </c>
      <c r="AM73" s="1616">
        <v>132442161</v>
      </c>
      <c r="AN73" s="1616">
        <v>135904655</v>
      </c>
      <c r="AP73" s="498"/>
    </row>
    <row r="74" spans="1:42" ht="18" customHeight="1">
      <c r="A74" s="498"/>
      <c r="D74" s="1583"/>
      <c r="E74" s="1584"/>
      <c r="F74" s="1585"/>
      <c r="G74" s="1584" t="s">
        <v>2441</v>
      </c>
      <c r="H74" s="1619">
        <f>SUM(H75,H84,H90,H94,H119,H144,H147)</f>
        <v>64937858453</v>
      </c>
      <c r="I74" s="503">
        <f>SUM(I75,I84,I90,I94,I119,I144)</f>
        <v>149901348</v>
      </c>
      <c r="J74" s="503">
        <f>SUM(J75,J84,J90,J94,J119,J144)</f>
        <v>59863625</v>
      </c>
      <c r="K74" s="503">
        <f>SUM(K75,K84,K90,K94,K119,K144)</f>
        <v>901152585</v>
      </c>
      <c r="L74" s="504">
        <f>SUM(L75,L84,L90,L94,L119,L144,L147)</f>
        <v>66048776011</v>
      </c>
      <c r="N74" s="1623">
        <f t="shared" ref="N74:V74" si="23">SUM(N75,N84,N90,N94,N119,N144)</f>
        <v>19842800</v>
      </c>
      <c r="O74" s="503">
        <f t="shared" si="23"/>
        <v>0</v>
      </c>
      <c r="P74" s="503">
        <f t="shared" si="23"/>
        <v>0</v>
      </c>
      <c r="Q74" s="503">
        <f t="shared" si="23"/>
        <v>0</v>
      </c>
      <c r="R74" s="503">
        <f t="shared" si="23"/>
        <v>1787221215</v>
      </c>
      <c r="S74" s="503">
        <f t="shared" si="23"/>
        <v>-20000000</v>
      </c>
      <c r="T74" s="503">
        <f t="shared" si="23"/>
        <v>-182737552</v>
      </c>
      <c r="U74" s="503">
        <f t="shared" si="23"/>
        <v>-7410958471</v>
      </c>
      <c r="V74" s="504">
        <f t="shared" si="23"/>
        <v>-5806632008</v>
      </c>
      <c r="X74" s="1622">
        <f>SUM(X75,X84,X90,X94,X119,X144,X147)</f>
        <v>60242144003</v>
      </c>
      <c r="Z74" s="1622">
        <f>SUM(Z75,Z84,Z90,Z94,Z119,Z144)</f>
        <v>2067685622</v>
      </c>
      <c r="AB74" s="1622">
        <v>54096278310</v>
      </c>
      <c r="AC74" s="1622">
        <v>54568341501</v>
      </c>
      <c r="AD74" s="1622">
        <v>53427860047</v>
      </c>
      <c r="AE74" s="1622">
        <v>54043676858</v>
      </c>
      <c r="AF74" s="1622">
        <v>54405320689</v>
      </c>
      <c r="AG74" s="1622">
        <v>54798934325</v>
      </c>
      <c r="AH74" s="1622">
        <v>53679249191</v>
      </c>
      <c r="AI74" s="1622">
        <v>55824370383</v>
      </c>
      <c r="AJ74" s="1622">
        <v>44627950168</v>
      </c>
      <c r="AK74" s="1622">
        <v>44708682156</v>
      </c>
      <c r="AL74" s="1622">
        <v>45016072571</v>
      </c>
      <c r="AM74" s="1622">
        <f>SUM(AM75,AM84,AM90,AM94,AM119,AM144)</f>
        <v>24264474934</v>
      </c>
      <c r="AN74" s="1622">
        <v>26165503033</v>
      </c>
      <c r="AP74" s="498"/>
    </row>
    <row r="75" spans="1:42" ht="18" customHeight="1">
      <c r="A75" s="498"/>
      <c r="D75" s="1588"/>
      <c r="E75" s="1589"/>
      <c r="F75" s="1590"/>
      <c r="G75" s="1589" t="s">
        <v>71</v>
      </c>
      <c r="H75" s="520">
        <f>SUM(H76:H83)</f>
        <v>2030977121</v>
      </c>
      <c r="I75" s="506">
        <f>SUM(I76:I83)</f>
        <v>0</v>
      </c>
      <c r="J75" s="506">
        <f>SUM(J76:J83)</f>
        <v>0</v>
      </c>
      <c r="K75" s="506">
        <f>SUM(K76:K83)</f>
        <v>547252970</v>
      </c>
      <c r="L75" s="507">
        <f>SUM(L76:L83)</f>
        <v>2578230091</v>
      </c>
      <c r="N75" s="1631">
        <f t="shared" ref="N75:V75" si="24">SUM(N76:N83)</f>
        <v>0</v>
      </c>
      <c r="O75" s="506">
        <f t="shared" si="24"/>
        <v>0</v>
      </c>
      <c r="P75" s="506">
        <f t="shared" si="24"/>
        <v>0</v>
      </c>
      <c r="Q75" s="506">
        <f t="shared" si="24"/>
        <v>0</v>
      </c>
      <c r="R75" s="506">
        <f t="shared" si="24"/>
        <v>0</v>
      </c>
      <c r="S75" s="506">
        <f t="shared" si="24"/>
        <v>0</v>
      </c>
      <c r="T75" s="506">
        <f t="shared" si="24"/>
        <v>0</v>
      </c>
      <c r="U75" s="506">
        <f t="shared" si="24"/>
        <v>0</v>
      </c>
      <c r="V75" s="507">
        <f t="shared" si="24"/>
        <v>0</v>
      </c>
      <c r="X75" s="1630">
        <f>SUM(X76:X83)</f>
        <v>2578230091</v>
      </c>
      <c r="Z75" s="1630">
        <f>SUM(Z76:Z83)</f>
        <v>320911209</v>
      </c>
      <c r="AB75" s="1630">
        <v>1416865171</v>
      </c>
      <c r="AC75" s="1630">
        <v>1415587558</v>
      </c>
      <c r="AD75" s="1630">
        <v>1426231307</v>
      </c>
      <c r="AE75" s="1630">
        <v>2434335622</v>
      </c>
      <c r="AF75" s="1630">
        <v>2429199350</v>
      </c>
      <c r="AG75" s="1630">
        <v>2411946714</v>
      </c>
      <c r="AH75" s="1630">
        <v>2392857479</v>
      </c>
      <c r="AI75" s="1630">
        <v>2257318882</v>
      </c>
      <c r="AJ75" s="1630">
        <v>1229655646</v>
      </c>
      <c r="AK75" s="1630">
        <v>1159401984</v>
      </c>
      <c r="AL75" s="1630">
        <v>1707471369</v>
      </c>
      <c r="AM75" s="1630">
        <f>SUM(AM76:AM83)</f>
        <v>1673050849</v>
      </c>
      <c r="AN75" s="1630">
        <v>1650396445</v>
      </c>
      <c r="AP75" s="498"/>
    </row>
    <row r="76" spans="1:42" ht="18" customHeight="1">
      <c r="A76" s="498"/>
      <c r="D76" s="1593">
        <v>121551</v>
      </c>
      <c r="E76" s="1359" t="s">
        <v>1643</v>
      </c>
      <c r="F76" s="1361" t="s">
        <v>1872</v>
      </c>
      <c r="G76" s="1359" t="s">
        <v>72</v>
      </c>
      <c r="H76" s="498">
        <v>180500000</v>
      </c>
      <c r="I76" s="498">
        <v>0</v>
      </c>
      <c r="J76" s="710">
        <v>0</v>
      </c>
      <c r="K76" s="710">
        <v>15689343</v>
      </c>
      <c r="L76" s="510">
        <f t="shared" ref="L76:L83" si="25">SUM(H76:K76)</f>
        <v>196189343</v>
      </c>
      <c r="N76" s="1667">
        <f>SUMIF('1.0'!$D:$D,T_BS!D76,'1.0'!$V:$V)</f>
        <v>0</v>
      </c>
      <c r="O76" s="710">
        <f>SUMIF('2.0'!$D:$D,T_BS!D76,'2.0'!$V:$V)</f>
        <v>0</v>
      </c>
      <c r="P76" s="509">
        <f>ROUND(SUMIF('3.0'!$D:$D,T_BS!D76,'3.0'!$H:$H),0)</f>
        <v>0</v>
      </c>
      <c r="Q76" s="720">
        <f>ROUND(SUMIF('4.0'!$D:$D,T_BS!D76,'4.0'!$V:$V),0)</f>
        <v>0</v>
      </c>
      <c r="R76" s="509">
        <f>ROUND(SUMIF('5.0'!$D:$D,T_BS!D76,'5.0'!$V:$V),0)</f>
        <v>0</v>
      </c>
      <c r="S76" s="720">
        <f>ROUND(SUMIF('6.0'!$D:$D,T_BS!D76,'6.0'!$V:$V),0)</f>
        <v>0</v>
      </c>
      <c r="T76" s="720">
        <f>ROUND(SUMIF('7.0'!$D:$D,T_BS!D76,'7.0'!$V:$V),0)</f>
        <v>0</v>
      </c>
      <c r="U76" s="720">
        <f>ROUND(SUMIF('8.0'!$D:$D,T_BS!D76,'8.0'!$H:$H),0)</f>
        <v>0</v>
      </c>
      <c r="V76" s="510">
        <f t="shared" ref="V76:V83" si="26">SUM(N76:U76)</f>
        <v>0</v>
      </c>
      <c r="X76" s="1641">
        <f t="shared" ref="X76:X83" si="27">V76+L76</f>
        <v>196189343</v>
      </c>
      <c r="Z76" s="1616">
        <f t="shared" ref="Z76:Z83" si="28">X76-AI76</f>
        <v>6917183</v>
      </c>
      <c r="AB76" s="1616">
        <v>196294028</v>
      </c>
      <c r="AC76" s="1616">
        <v>198089777</v>
      </c>
      <c r="AD76" s="1616">
        <v>198676475</v>
      </c>
      <c r="AE76" s="1616">
        <v>198262895</v>
      </c>
      <c r="AF76" s="1616">
        <v>197139737</v>
      </c>
      <c r="AG76" s="1616">
        <v>196726885</v>
      </c>
      <c r="AH76" s="1616">
        <v>191064087</v>
      </c>
      <c r="AI76" s="1616">
        <v>189272160</v>
      </c>
      <c r="AJ76" s="1616">
        <v>189284850</v>
      </c>
      <c r="AK76" s="1616">
        <v>109523620</v>
      </c>
      <c r="AL76" s="1616">
        <v>109199080</v>
      </c>
      <c r="AM76" s="1616">
        <v>109245970</v>
      </c>
      <c r="AN76" s="1616">
        <v>109488340</v>
      </c>
      <c r="AP76" s="498"/>
    </row>
    <row r="77" spans="1:42" ht="18" customHeight="1">
      <c r="A77" s="498"/>
      <c r="D77" s="1593">
        <v>121511</v>
      </c>
      <c r="E77" s="1359" t="s">
        <v>1643</v>
      </c>
      <c r="F77" s="1625">
        <v>2101</v>
      </c>
      <c r="G77" s="1359" t="s">
        <v>73</v>
      </c>
      <c r="H77" s="498">
        <v>1257560</v>
      </c>
      <c r="I77" s="498">
        <v>0</v>
      </c>
      <c r="J77" s="710">
        <v>0</v>
      </c>
      <c r="K77" s="710">
        <v>0</v>
      </c>
      <c r="L77" s="510">
        <f t="shared" si="25"/>
        <v>1257560</v>
      </c>
      <c r="N77" s="1667">
        <f>SUMIF('1.0'!$D:$D,T_BS!D77,'1.0'!$V:$V)</f>
        <v>0</v>
      </c>
      <c r="O77" s="710">
        <f>SUMIF('2.0'!$D:$D,T_BS!D77,'2.0'!$V:$V)</f>
        <v>0</v>
      </c>
      <c r="P77" s="509">
        <f>ROUND(SUMIF('3.0'!$D:$D,T_BS!D77,'3.0'!$H:$H),0)</f>
        <v>0</v>
      </c>
      <c r="Q77" s="720">
        <f>ROUND(SUMIF('4.0'!$D:$D,T_BS!D77,'4.0'!$V:$V),0)</f>
        <v>0</v>
      </c>
      <c r="R77" s="509">
        <f>ROUND(SUMIF('5.0'!$D:$D,T_BS!D77,'5.0'!$V:$V),0)</f>
        <v>0</v>
      </c>
      <c r="S77" s="720">
        <f>ROUND(SUMIF('6.0'!$D:$D,T_BS!D77,'6.0'!$V:$V),0)</f>
        <v>0</v>
      </c>
      <c r="T77" s="720">
        <f>ROUND(SUMIF('7.0'!$D:$D,T_BS!D77,'7.0'!$V:$V),0)</f>
        <v>0</v>
      </c>
      <c r="U77" s="720">
        <f>ROUND(SUMIF('8.0'!$D:$D,T_BS!D77,'8.0'!$H:$H),0)</f>
        <v>0</v>
      </c>
      <c r="V77" s="510">
        <f t="shared" si="26"/>
        <v>0</v>
      </c>
      <c r="X77" s="1641">
        <f t="shared" si="27"/>
        <v>1257560</v>
      </c>
      <c r="Z77" s="1616">
        <f t="shared" si="28"/>
        <v>0</v>
      </c>
      <c r="AB77" s="1616">
        <v>1257560</v>
      </c>
      <c r="AC77" s="1616">
        <v>1257560</v>
      </c>
      <c r="AD77" s="1616">
        <v>1257560</v>
      </c>
      <c r="AE77" s="1616">
        <v>1257560</v>
      </c>
      <c r="AF77" s="1616">
        <v>1257560</v>
      </c>
      <c r="AG77" s="1616">
        <v>1257560</v>
      </c>
      <c r="AH77" s="1616">
        <v>1257560</v>
      </c>
      <c r="AI77" s="1616">
        <v>1257560</v>
      </c>
      <c r="AJ77" s="1616">
        <v>1257560</v>
      </c>
      <c r="AK77" s="1616">
        <v>1257560</v>
      </c>
      <c r="AL77" s="1616">
        <v>1257560</v>
      </c>
      <c r="AM77" s="1616">
        <v>1257560</v>
      </c>
      <c r="AN77" s="1616">
        <v>1257560</v>
      </c>
      <c r="AP77" s="498"/>
    </row>
    <row r="78" spans="1:42" ht="18" customHeight="1">
      <c r="A78" s="498"/>
      <c r="D78" s="1593">
        <v>121800</v>
      </c>
      <c r="E78" s="1359" t="s">
        <v>1643</v>
      </c>
      <c r="F78" s="1625">
        <v>2321</v>
      </c>
      <c r="G78" s="1359" t="s">
        <v>1692</v>
      </c>
      <c r="H78" s="498">
        <v>0</v>
      </c>
      <c r="I78" s="498">
        <v>0</v>
      </c>
      <c r="J78" s="710">
        <v>0</v>
      </c>
      <c r="K78" s="710">
        <v>0</v>
      </c>
      <c r="L78" s="510">
        <f t="shared" si="25"/>
        <v>0</v>
      </c>
      <c r="N78" s="1667">
        <f>SUMIF('1.0'!$D:$D,T_BS!D78,'1.0'!$V:$V)</f>
        <v>0</v>
      </c>
      <c r="O78" s="710">
        <f>SUMIF('2.0'!$D:$D,T_BS!D78,'2.0'!$V:$V)</f>
        <v>0</v>
      </c>
      <c r="P78" s="509">
        <f>ROUND(SUMIF('3.0'!$D:$D,T_BS!D78,'3.0'!$H:$H),0)</f>
        <v>0</v>
      </c>
      <c r="Q78" s="720">
        <f>ROUND(SUMIF('4.0'!$D:$D,T_BS!D78,'4.0'!$V:$V),0)</f>
        <v>0</v>
      </c>
      <c r="R78" s="509">
        <f>ROUND(SUMIF('5.0'!$D:$D,T_BS!D78,'5.0'!$V:$V),0)</f>
        <v>0</v>
      </c>
      <c r="S78" s="720">
        <f>ROUND(SUMIF('6.0'!$D:$D,T_BS!D78,'6.0'!$V:$V),0)</f>
        <v>0</v>
      </c>
      <c r="T78" s="720">
        <f>ROUND(SUMIF('7.0'!$D:$D,T_BS!D78,'7.0'!$V:$V),0)</f>
        <v>0</v>
      </c>
      <c r="U78" s="720">
        <f>ROUND(SUMIF('8.0'!$D:$D,T_BS!D78,'8.0'!$H:$H),0)</f>
        <v>0</v>
      </c>
      <c r="V78" s="510">
        <f t="shared" si="26"/>
        <v>0</v>
      </c>
      <c r="X78" s="1641">
        <f t="shared" si="27"/>
        <v>0</v>
      </c>
      <c r="Z78" s="1616">
        <f t="shared" si="28"/>
        <v>0</v>
      </c>
      <c r="AB78" s="1616">
        <v>0</v>
      </c>
      <c r="AC78" s="1616">
        <v>0</v>
      </c>
      <c r="AD78" s="1616">
        <v>0</v>
      </c>
      <c r="AE78" s="1616">
        <v>0</v>
      </c>
      <c r="AF78" s="1616">
        <v>0</v>
      </c>
      <c r="AG78" s="1616">
        <v>0</v>
      </c>
      <c r="AH78" s="1616">
        <v>0</v>
      </c>
      <c r="AI78" s="1616">
        <v>0</v>
      </c>
      <c r="AJ78" s="1616">
        <v>0</v>
      </c>
      <c r="AK78" s="1616">
        <v>0</v>
      </c>
      <c r="AL78" s="1616">
        <v>0</v>
      </c>
      <c r="AM78" s="1616">
        <v>0</v>
      </c>
      <c r="AN78" s="1616">
        <v>0</v>
      </c>
      <c r="AP78" s="498"/>
    </row>
    <row r="79" spans="1:42" ht="18" customHeight="1">
      <c r="A79" s="498"/>
      <c r="D79" s="1593">
        <v>121805</v>
      </c>
      <c r="E79" s="1359" t="s">
        <v>1643</v>
      </c>
      <c r="F79" s="1625">
        <v>2322</v>
      </c>
      <c r="G79" s="1359" t="s">
        <v>1693</v>
      </c>
      <c r="H79" s="498">
        <v>0</v>
      </c>
      <c r="I79" s="498">
        <v>0</v>
      </c>
      <c r="J79" s="710">
        <v>0</v>
      </c>
      <c r="K79" s="710">
        <v>0</v>
      </c>
      <c r="L79" s="510">
        <f t="shared" si="25"/>
        <v>0</v>
      </c>
      <c r="N79" s="1667">
        <f>SUMIF('1.0'!$D:$D,T_BS!D79,'1.0'!$V:$V)</f>
        <v>0</v>
      </c>
      <c r="O79" s="710">
        <f>SUMIF('2.0'!$D:$D,T_BS!D79,'2.0'!$V:$V)</f>
        <v>0</v>
      </c>
      <c r="P79" s="509">
        <f>ROUND(SUMIF('3.0'!$D:$D,T_BS!D79,'3.0'!$H:$H),0)</f>
        <v>0</v>
      </c>
      <c r="Q79" s="720">
        <f>ROUND(SUMIF('4.0'!$D:$D,T_BS!D79,'4.0'!$V:$V),0)</f>
        <v>0</v>
      </c>
      <c r="R79" s="509">
        <f>ROUND(SUMIF('5.0'!$D:$D,T_BS!D79,'5.0'!$V:$V),0)</f>
        <v>0</v>
      </c>
      <c r="S79" s="720">
        <f>ROUND(SUMIF('6.0'!$D:$D,T_BS!D79,'6.0'!$V:$V),0)</f>
        <v>0</v>
      </c>
      <c r="T79" s="720">
        <f>ROUND(SUMIF('7.0'!$D:$D,T_BS!D79,'7.0'!$V:$V),0)</f>
        <v>0</v>
      </c>
      <c r="U79" s="720">
        <f>ROUND(SUMIF('8.0'!$D:$D,T_BS!D79,'8.0'!$H:$H),0)</f>
        <v>0</v>
      </c>
      <c r="V79" s="510">
        <f t="shared" si="26"/>
        <v>0</v>
      </c>
      <c r="X79" s="1641">
        <f t="shared" si="27"/>
        <v>0</v>
      </c>
      <c r="Z79" s="1616">
        <f t="shared" si="28"/>
        <v>0</v>
      </c>
      <c r="AB79" s="1616">
        <v>0</v>
      </c>
      <c r="AC79" s="1616">
        <v>0</v>
      </c>
      <c r="AD79" s="1616">
        <v>0</v>
      </c>
      <c r="AE79" s="1616">
        <v>0</v>
      </c>
      <c r="AF79" s="1616">
        <v>0</v>
      </c>
      <c r="AG79" s="1616">
        <v>0</v>
      </c>
      <c r="AH79" s="1616">
        <v>0</v>
      </c>
      <c r="AI79" s="1616">
        <v>0</v>
      </c>
      <c r="AJ79" s="1616">
        <v>0</v>
      </c>
      <c r="AK79" s="1616">
        <v>0</v>
      </c>
      <c r="AL79" s="1616">
        <v>0</v>
      </c>
      <c r="AM79" s="1616">
        <v>0</v>
      </c>
      <c r="AN79" s="1616">
        <v>0</v>
      </c>
      <c r="AP79" s="498"/>
    </row>
    <row r="80" spans="1:42" ht="18" customHeight="1">
      <c r="A80" s="498"/>
      <c r="D80" s="1593" t="s">
        <v>1777</v>
      </c>
      <c r="E80" s="1359" t="s">
        <v>1643</v>
      </c>
      <c r="F80" s="1625">
        <v>2650</v>
      </c>
      <c r="G80" s="1359" t="s">
        <v>1778</v>
      </c>
      <c r="H80" s="498">
        <v>0</v>
      </c>
      <c r="I80" s="498">
        <v>0</v>
      </c>
      <c r="J80" s="710">
        <v>0</v>
      </c>
      <c r="K80" s="710">
        <v>0</v>
      </c>
      <c r="L80" s="510">
        <f t="shared" si="25"/>
        <v>0</v>
      </c>
      <c r="N80" s="1667">
        <f>SUMIF('1.0'!$D:$D,T_BS!D80,'1.0'!$V:$V)</f>
        <v>0</v>
      </c>
      <c r="O80" s="710">
        <f>SUMIF('2.0'!$D:$D,T_BS!D80,'2.0'!$V:$V)</f>
        <v>0</v>
      </c>
      <c r="P80" s="509">
        <f>ROUND(SUMIF('3.0'!$D:$D,T_BS!D80,'3.0'!$H:$H),0)</f>
        <v>0</v>
      </c>
      <c r="Q80" s="720">
        <f>ROUND(SUMIF('4.0'!$D:$D,T_BS!D80,'4.0'!$V:$V),0)</f>
        <v>0</v>
      </c>
      <c r="R80" s="509">
        <f>ROUND(SUMIF('5.0'!$D:$D,T_BS!D80,'5.0'!$V:$V),0)</f>
        <v>0</v>
      </c>
      <c r="S80" s="720">
        <f>ROUND(SUMIF('6.0'!$D:$D,T_BS!D80,'6.0'!$V:$V),0)</f>
        <v>0</v>
      </c>
      <c r="T80" s="720">
        <f>ROUND(SUMIF('7.0'!$D:$D,T_BS!D80,'7.0'!$V:$V),0)</f>
        <v>0</v>
      </c>
      <c r="U80" s="720">
        <f>ROUND(SUMIF('8.0'!$D:$D,T_BS!D80,'8.0'!$H:$H),0)</f>
        <v>0</v>
      </c>
      <c r="V80" s="510">
        <f t="shared" si="26"/>
        <v>0</v>
      </c>
      <c r="X80" s="1641">
        <f t="shared" si="27"/>
        <v>0</v>
      </c>
      <c r="Z80" s="1616">
        <f t="shared" si="28"/>
        <v>0</v>
      </c>
      <c r="AB80" s="1616">
        <v>0</v>
      </c>
      <c r="AC80" s="1616">
        <v>0</v>
      </c>
      <c r="AD80" s="1616">
        <v>0</v>
      </c>
      <c r="AE80" s="1616">
        <v>0</v>
      </c>
      <c r="AF80" s="1616">
        <v>0</v>
      </c>
      <c r="AG80" s="1616">
        <v>0</v>
      </c>
      <c r="AH80" s="1616">
        <v>0</v>
      </c>
      <c r="AI80" s="1616">
        <v>0</v>
      </c>
      <c r="AJ80" s="1616">
        <v>0</v>
      </c>
      <c r="AK80" s="1616">
        <v>0</v>
      </c>
      <c r="AL80" s="1616">
        <v>0</v>
      </c>
      <c r="AM80" s="1616">
        <v>0</v>
      </c>
      <c r="AN80" s="1616">
        <v>0</v>
      </c>
      <c r="AP80" s="498"/>
    </row>
    <row r="81" spans="1:42" ht="18" customHeight="1">
      <c r="A81" s="498"/>
      <c r="D81" s="1593">
        <v>121602</v>
      </c>
      <c r="E81" s="1359" t="s">
        <v>1643</v>
      </c>
      <c r="F81" s="1625">
        <v>2311</v>
      </c>
      <c r="G81" s="1359" t="s">
        <v>1694</v>
      </c>
      <c r="H81" s="498">
        <v>0</v>
      </c>
      <c r="I81" s="498">
        <v>0</v>
      </c>
      <c r="J81" s="710">
        <v>0</v>
      </c>
      <c r="K81" s="710">
        <v>0</v>
      </c>
      <c r="L81" s="510">
        <f t="shared" si="25"/>
        <v>0</v>
      </c>
      <c r="N81" s="1667">
        <f>SUMIF('1.0'!$D:$D,T_BS!D81,'1.0'!$V:$V)</f>
        <v>0</v>
      </c>
      <c r="O81" s="710">
        <f>SUMIF('2.0'!$D:$D,T_BS!D81,'2.0'!$V:$V)</f>
        <v>0</v>
      </c>
      <c r="P81" s="509">
        <f>ROUND(SUMIF('3.0'!$D:$D,T_BS!D81,'3.0'!$H:$H),0)</f>
        <v>0</v>
      </c>
      <c r="Q81" s="720">
        <f>ROUND(SUMIF('4.0'!$D:$D,T_BS!D81,'4.0'!$V:$V),0)</f>
        <v>0</v>
      </c>
      <c r="R81" s="509">
        <f>ROUND(SUMIF('5.0'!$D:$D,T_BS!D81,'5.0'!$V:$V),0)</f>
        <v>0</v>
      </c>
      <c r="S81" s="720">
        <f>ROUND(SUMIF('6.0'!$D:$D,T_BS!D81,'6.0'!$V:$V),0)</f>
        <v>0</v>
      </c>
      <c r="T81" s="720">
        <f>ROUND(SUMIF('7.0'!$D:$D,T_BS!D81,'7.0'!$V:$V),0)</f>
        <v>0</v>
      </c>
      <c r="U81" s="720">
        <f>ROUND(SUMIF('8.0'!$D:$D,T_BS!D81,'8.0'!$H:$H),0)</f>
        <v>0</v>
      </c>
      <c r="V81" s="510">
        <f t="shared" si="26"/>
        <v>0</v>
      </c>
      <c r="X81" s="1641">
        <f t="shared" si="27"/>
        <v>0</v>
      </c>
      <c r="Z81" s="1616">
        <f t="shared" si="28"/>
        <v>0</v>
      </c>
      <c r="AB81" s="1616">
        <v>0</v>
      </c>
      <c r="AC81" s="1616">
        <v>0</v>
      </c>
      <c r="AD81" s="1616">
        <v>0</v>
      </c>
      <c r="AE81" s="1616">
        <v>0</v>
      </c>
      <c r="AF81" s="1616">
        <v>0</v>
      </c>
      <c r="AG81" s="1616">
        <v>0</v>
      </c>
      <c r="AH81" s="1616">
        <v>0</v>
      </c>
      <c r="AI81" s="1616">
        <v>0</v>
      </c>
      <c r="AJ81" s="1616">
        <v>0</v>
      </c>
      <c r="AK81" s="1616">
        <v>0</v>
      </c>
      <c r="AL81" s="1616">
        <v>0</v>
      </c>
      <c r="AM81" s="1616">
        <v>0</v>
      </c>
      <c r="AN81" s="1616">
        <v>0</v>
      </c>
      <c r="AP81" s="498"/>
    </row>
    <row r="82" spans="1:42" ht="18" customHeight="1">
      <c r="A82" s="498"/>
      <c r="D82" s="1593">
        <v>121532</v>
      </c>
      <c r="E82" s="1359" t="s">
        <v>1643</v>
      </c>
      <c r="F82" s="1625" t="s">
        <v>1873</v>
      </c>
      <c r="G82" s="1359" t="s">
        <v>74</v>
      </c>
      <c r="H82" s="498">
        <v>-279042439</v>
      </c>
      <c r="I82" s="498">
        <v>0</v>
      </c>
      <c r="J82" s="710">
        <v>0</v>
      </c>
      <c r="K82" s="710">
        <v>-39334002</v>
      </c>
      <c r="L82" s="510">
        <f t="shared" si="25"/>
        <v>-318376441</v>
      </c>
      <c r="N82" s="1667">
        <f>SUMIF('1.0'!$D:$D,T_BS!D82,'1.0'!$V:$V)</f>
        <v>0</v>
      </c>
      <c r="O82" s="710">
        <f>SUMIF('2.0'!$D:$D,T_BS!D82,'2.0'!$V:$V)</f>
        <v>0</v>
      </c>
      <c r="P82" s="509">
        <f>ROUND(SUMIF('3.0'!$D:$D,T_BS!D82,'3.0'!$H:$H),0)</f>
        <v>0</v>
      </c>
      <c r="Q82" s="720">
        <f>ROUND(SUMIF('4.0'!$D:$D,T_BS!D82,'4.0'!$V:$V),0)</f>
        <v>0</v>
      </c>
      <c r="R82" s="509">
        <f>ROUND(SUMIF('5.0'!$D:$D,T_BS!D82,'5.0'!$V:$V),0)</f>
        <v>0</v>
      </c>
      <c r="S82" s="720">
        <f>ROUND(SUMIF('6.0'!$D:$D,T_BS!D82,'6.0'!$V:$V),0)</f>
        <v>0</v>
      </c>
      <c r="T82" s="720">
        <f>ROUND(SUMIF('7.0'!$D:$D,T_BS!D82,'7.0'!$V:$V),0)</f>
        <v>0</v>
      </c>
      <c r="U82" s="720">
        <f>ROUND(SUMIF('8.0'!$D:$D,T_BS!D82,'8.0'!$H:$H),0)</f>
        <v>0</v>
      </c>
      <c r="V82" s="510">
        <f t="shared" si="26"/>
        <v>0</v>
      </c>
      <c r="X82" s="1641">
        <f t="shared" si="27"/>
        <v>-318376441</v>
      </c>
      <c r="Z82" s="1616">
        <f t="shared" si="28"/>
        <v>-89851657</v>
      </c>
      <c r="AB82" s="1616">
        <v>-105393305</v>
      </c>
      <c r="AC82" s="1616">
        <v>-109454918</v>
      </c>
      <c r="AD82" s="1616">
        <v>-118599883</v>
      </c>
      <c r="AE82" s="1616">
        <v>-196545944</v>
      </c>
      <c r="AF82" s="1616">
        <v>-200487185</v>
      </c>
      <c r="AG82" s="1616">
        <v>-202904494</v>
      </c>
      <c r="AH82" s="1616">
        <v>-244055864</v>
      </c>
      <c r="AI82" s="1616">
        <v>-228524784</v>
      </c>
      <c r="AJ82" s="1616">
        <v>-140373215</v>
      </c>
      <c r="AK82" s="1616">
        <v>-146755525</v>
      </c>
      <c r="AL82" s="1616">
        <v>-114575271</v>
      </c>
      <c r="AM82" s="1616">
        <v>-136538681</v>
      </c>
      <c r="AN82" s="1616">
        <v>-159435455</v>
      </c>
      <c r="AP82" s="498"/>
    </row>
    <row r="83" spans="1:42" ht="18" customHeight="1">
      <c r="A83" s="498"/>
      <c r="D83" s="1593">
        <v>121531</v>
      </c>
      <c r="E83" s="1359" t="s">
        <v>1643</v>
      </c>
      <c r="F83" s="1361" t="s">
        <v>1872</v>
      </c>
      <c r="G83" s="1359" t="s">
        <v>75</v>
      </c>
      <c r="H83" s="498">
        <v>2128262000</v>
      </c>
      <c r="I83" s="498">
        <v>0</v>
      </c>
      <c r="J83" s="710">
        <v>0</v>
      </c>
      <c r="K83" s="710">
        <v>570897629</v>
      </c>
      <c r="L83" s="510">
        <f t="shared" si="25"/>
        <v>2699159629</v>
      </c>
      <c r="N83" s="1667">
        <f>SUMIF('1.0'!$D:$D,T_BS!D83,'1.0'!$V:$V)</f>
        <v>0</v>
      </c>
      <c r="O83" s="710">
        <f>SUMIF('2.0'!$D:$D,T_BS!D83,'2.0'!$V:$V)</f>
        <v>0</v>
      </c>
      <c r="P83" s="509">
        <f>ROUND(SUMIF('3.0'!$D:$D,T_BS!D83,'3.0'!$H:$H),0)</f>
        <v>0</v>
      </c>
      <c r="Q83" s="720">
        <f>ROUND(SUMIF('4.0'!$D:$D,T_BS!D83,'4.0'!$V:$V),0)</f>
        <v>0</v>
      </c>
      <c r="R83" s="509">
        <f>ROUND(SUMIF('5.0'!$D:$D,T_BS!D83,'5.0'!$V:$V),0)</f>
        <v>0</v>
      </c>
      <c r="S83" s="720">
        <f>ROUND(SUMIF('6.0'!$D:$D,T_BS!D83,'6.0'!$V:$V),0)</f>
        <v>0</v>
      </c>
      <c r="T83" s="720">
        <f>ROUND(SUMIF('7.0'!$D:$D,T_BS!D83,'7.0'!$V:$V),0)</f>
        <v>0</v>
      </c>
      <c r="U83" s="720">
        <f>ROUND(SUMIF('8.0'!$D:$D,T_BS!D83,'8.0'!$H:$H),0)</f>
        <v>0</v>
      </c>
      <c r="V83" s="510">
        <f t="shared" si="26"/>
        <v>0</v>
      </c>
      <c r="X83" s="1641">
        <f t="shared" si="27"/>
        <v>2699159629</v>
      </c>
      <c r="Z83" s="1616">
        <f t="shared" si="28"/>
        <v>403845683</v>
      </c>
      <c r="AB83" s="1616">
        <v>1324706888</v>
      </c>
      <c r="AC83" s="1616">
        <v>1325695139</v>
      </c>
      <c r="AD83" s="1616">
        <v>1344897155</v>
      </c>
      <c r="AE83" s="1616">
        <v>2431361111</v>
      </c>
      <c r="AF83" s="1616">
        <v>2431289238</v>
      </c>
      <c r="AG83" s="1616">
        <v>2416866763</v>
      </c>
      <c r="AH83" s="1616">
        <v>2444591696</v>
      </c>
      <c r="AI83" s="1616">
        <v>2295313946</v>
      </c>
      <c r="AJ83" s="1616">
        <v>1179486451</v>
      </c>
      <c r="AK83" s="1616">
        <v>1195376329</v>
      </c>
      <c r="AL83" s="1616">
        <v>1711590000</v>
      </c>
      <c r="AM83" s="1616">
        <v>1699086000</v>
      </c>
      <c r="AN83" s="1616">
        <v>1699086000</v>
      </c>
      <c r="AP83" s="498"/>
    </row>
    <row r="84" spans="1:42" ht="18" customHeight="1">
      <c r="A84" s="498"/>
      <c r="D84" s="1588"/>
      <c r="E84" s="1589"/>
      <c r="F84" s="1590"/>
      <c r="G84" s="1589" t="s">
        <v>76</v>
      </c>
      <c r="H84" s="520">
        <f>SUM(H85:H89)</f>
        <v>30634127818</v>
      </c>
      <c r="I84" s="506">
        <f>SUM(I85:I89)</f>
        <v>0</v>
      </c>
      <c r="J84" s="506">
        <f>SUM(J85:J89)</f>
        <v>0</v>
      </c>
      <c r="K84" s="506">
        <f>SUM(K85:K89)</f>
        <v>0</v>
      </c>
      <c r="L84" s="507">
        <f>SUM(L85:L89)</f>
        <v>30634127818</v>
      </c>
      <c r="N84" s="1631">
        <f t="shared" ref="N84:S84" si="29">SUM(N85:N89)</f>
        <v>0</v>
      </c>
      <c r="O84" s="506">
        <f t="shared" si="29"/>
        <v>0</v>
      </c>
      <c r="P84" s="506">
        <f t="shared" si="29"/>
        <v>0</v>
      </c>
      <c r="Q84" s="506">
        <f t="shared" si="29"/>
        <v>0</v>
      </c>
      <c r="R84" s="506">
        <f t="shared" si="29"/>
        <v>0</v>
      </c>
      <c r="S84" s="506">
        <f t="shared" si="29"/>
        <v>0</v>
      </c>
      <c r="T84" s="506">
        <f>SUM(T85:T89)</f>
        <v>0</v>
      </c>
      <c r="U84" s="506">
        <f>SUM(U85:U89)</f>
        <v>0</v>
      </c>
      <c r="V84" s="507">
        <f>SUM(V85:V89)</f>
        <v>0</v>
      </c>
      <c r="X84" s="1630">
        <f>SUM(X85:X89)</f>
        <v>30634127818</v>
      </c>
      <c r="Z84" s="1630">
        <f>SUM(Z85:Z89)</f>
        <v>-137982001</v>
      </c>
      <c r="AB84" s="1630">
        <v>26244925537</v>
      </c>
      <c r="AC84" s="1630">
        <v>26244925537</v>
      </c>
      <c r="AD84" s="1630">
        <v>24244880842</v>
      </c>
      <c r="AE84" s="1630">
        <v>23989780542</v>
      </c>
      <c r="AF84" s="1630">
        <v>23989780542</v>
      </c>
      <c r="AG84" s="1630">
        <v>23989780542</v>
      </c>
      <c r="AH84" s="1630">
        <v>29873678142</v>
      </c>
      <c r="AI84" s="1630">
        <v>30772109819</v>
      </c>
      <c r="AJ84" s="1630">
        <v>20001800000</v>
      </c>
      <c r="AK84" s="1630">
        <v>20001800000</v>
      </c>
      <c r="AL84" s="1630">
        <v>20001800000</v>
      </c>
      <c r="AM84" s="1630">
        <f>SUM(AM85:AM89)</f>
        <v>0</v>
      </c>
      <c r="AN84" s="1630">
        <v>0</v>
      </c>
      <c r="AP84" s="498"/>
    </row>
    <row r="85" spans="1:42" ht="18" customHeight="1">
      <c r="A85" s="498"/>
      <c r="D85" s="1593">
        <v>121410</v>
      </c>
      <c r="E85" s="1359" t="s">
        <v>76</v>
      </c>
      <c r="F85" s="1625">
        <v>2603</v>
      </c>
      <c r="G85" s="1359" t="s">
        <v>2908</v>
      </c>
      <c r="H85" s="498">
        <v>30634127818</v>
      </c>
      <c r="I85" s="498">
        <v>0</v>
      </c>
      <c r="J85" s="710">
        <v>0</v>
      </c>
      <c r="K85" s="710">
        <v>0</v>
      </c>
      <c r="L85" s="510">
        <f>SUM(H85:K85)</f>
        <v>30634127818</v>
      </c>
      <c r="N85" s="1667">
        <f>SUMIF('1.0'!$D:$D,T_BS!D85,'1.0'!$V:$V)</f>
        <v>0</v>
      </c>
      <c r="O85" s="710">
        <f>SUMIF('2.0'!$D:$D,T_BS!D85,'2.0'!$V:$V)</f>
        <v>0</v>
      </c>
      <c r="P85" s="509">
        <f>ROUND(SUMIF('3.0'!$D:$D,T_BS!D85,'3.0'!$H:$H),0)</f>
        <v>0</v>
      </c>
      <c r="Q85" s="720">
        <f>ROUND(SUMIF('4.0'!$D:$D,T_BS!D85,'4.0'!$V:$V),0)</f>
        <v>0</v>
      </c>
      <c r="R85" s="509">
        <f>ROUND(SUMIF('5.0'!$D:$D,T_BS!D85,'5.0'!$V:$V),0)</f>
        <v>0</v>
      </c>
      <c r="S85" s="720">
        <f>ROUND(SUMIF('6.0'!$D:$D,T_BS!D85,'6.0'!$V:$V),0)</f>
        <v>0</v>
      </c>
      <c r="T85" s="720">
        <f>ROUND(SUMIF('7.0'!$D:$D,T_BS!D85,'7.0'!$V:$V),0)</f>
        <v>0</v>
      </c>
      <c r="U85" s="720">
        <f>ROUND(SUMIF('8.0'!$D:$D,T_BS!D85,'8.0'!$H:$H),0)</f>
        <v>0</v>
      </c>
      <c r="V85" s="510">
        <f>SUM(N85:U85)</f>
        <v>0</v>
      </c>
      <c r="X85" s="1641">
        <f>V85+L85</f>
        <v>30634127818</v>
      </c>
      <c r="Z85" s="1616">
        <f>X85-AI85</f>
        <v>10199773505</v>
      </c>
      <c r="AB85" s="1616">
        <v>0</v>
      </c>
      <c r="AC85" s="1616">
        <v>0</v>
      </c>
      <c r="AD85" s="1616">
        <v>0</v>
      </c>
      <c r="AE85" s="1616">
        <v>0</v>
      </c>
      <c r="AF85" s="1616">
        <v>0</v>
      </c>
      <c r="AG85" s="1616">
        <v>0</v>
      </c>
      <c r="AH85" s="1616">
        <v>0</v>
      </c>
      <c r="AI85" s="1616">
        <v>20434354313</v>
      </c>
      <c r="AJ85" s="1616">
        <v>20001800000</v>
      </c>
      <c r="AK85" s="1616">
        <v>20001800000</v>
      </c>
      <c r="AL85" s="1616">
        <v>20001800000</v>
      </c>
      <c r="AM85" s="1616">
        <v>0</v>
      </c>
      <c r="AN85" s="1616">
        <v>0</v>
      </c>
      <c r="AP85" s="498"/>
    </row>
    <row r="86" spans="1:42" s="1653" customFormat="1" ht="18" customHeight="1">
      <c r="A86" s="575"/>
      <c r="B86" s="1086"/>
      <c r="C86" s="1086"/>
      <c r="D86" s="1675" t="s">
        <v>2386</v>
      </c>
      <c r="E86" s="1086" t="s">
        <v>76</v>
      </c>
      <c r="F86" s="1671">
        <v>2604</v>
      </c>
      <c r="G86" s="1086" t="s">
        <v>2907</v>
      </c>
      <c r="H86" s="498">
        <v>0</v>
      </c>
      <c r="I86" s="498">
        <v>0</v>
      </c>
      <c r="J86" s="710">
        <v>0</v>
      </c>
      <c r="K86" s="710">
        <v>0</v>
      </c>
      <c r="L86" s="1640">
        <f>SUM(H86:K86)</f>
        <v>0</v>
      </c>
      <c r="N86" s="1636">
        <f>SUMIF('1.0'!$D:$D,T_BS!D86,'1.0'!$V:$V)</f>
        <v>0</v>
      </c>
      <c r="O86" s="925">
        <f>SUMIF('2.0'!$D:$D,T_BS!D86,'2.0'!$V:$V)</f>
        <v>0</v>
      </c>
      <c r="P86" s="925">
        <f>ROUND(SUMIF('3.0'!$D:$D,T_BS!D86,'3.0'!$H:$H),0)</f>
        <v>0</v>
      </c>
      <c r="Q86" s="1115">
        <f>ROUND(SUMIF('4.0'!$D:$D,T_BS!D86,'4.0'!$V:$V),0)</f>
        <v>0</v>
      </c>
      <c r="R86" s="925">
        <f>ROUND(SUMIF('5.0'!$D:$D,T_BS!D86,'5.0'!$V:$V),0)</f>
        <v>0</v>
      </c>
      <c r="S86" s="1115">
        <f>ROUND(SUMIF('6.0'!$D:$D,T_BS!D86,'6.0'!$V:$V),0)</f>
        <v>0</v>
      </c>
      <c r="T86" s="1115">
        <f>ROUND(SUMIF('7.0'!$D:$D,T_BS!D86,'7.0'!$V:$V),0)</f>
        <v>0</v>
      </c>
      <c r="U86" s="1115">
        <f>ROUND(SUMIF('8.0'!$D:$D,T_BS!D86,'8.0'!$H:$H),0)</f>
        <v>0</v>
      </c>
      <c r="V86" s="1640">
        <f>SUM(N86:U86)</f>
        <v>0</v>
      </c>
      <c r="X86" s="1641">
        <f>V86+L86</f>
        <v>0</v>
      </c>
      <c r="Z86" s="1616">
        <f>X86-AI86</f>
        <v>-10337755506</v>
      </c>
      <c r="AB86" s="1641">
        <v>26244925537</v>
      </c>
      <c r="AC86" s="1641">
        <v>26244925537</v>
      </c>
      <c r="AD86" s="1641">
        <v>24244880842</v>
      </c>
      <c r="AE86" s="1641">
        <v>23989780542</v>
      </c>
      <c r="AF86" s="1641">
        <v>23989780542</v>
      </c>
      <c r="AG86" s="1641">
        <v>23989780542</v>
      </c>
      <c r="AH86" s="1641">
        <v>29873678142</v>
      </c>
      <c r="AI86" s="1641">
        <v>10337755506</v>
      </c>
      <c r="AJ86" s="1641">
        <v>0</v>
      </c>
      <c r="AK86" s="1641">
        <v>0</v>
      </c>
      <c r="AL86" s="1641">
        <v>0</v>
      </c>
      <c r="AM86" s="1641"/>
      <c r="AN86" s="1641">
        <v>0</v>
      </c>
      <c r="AP86" s="498"/>
    </row>
    <row r="87" spans="1:42" ht="18" customHeight="1">
      <c r="A87" s="498"/>
      <c r="D87" s="1633" t="s">
        <v>221</v>
      </c>
      <c r="E87" s="1359" t="s">
        <v>76</v>
      </c>
      <c r="F87" s="1361" t="s">
        <v>611</v>
      </c>
      <c r="G87" s="1359" t="s">
        <v>78</v>
      </c>
      <c r="H87" s="498">
        <v>0</v>
      </c>
      <c r="I87" s="498">
        <v>0</v>
      </c>
      <c r="J87" s="710">
        <v>0</v>
      </c>
      <c r="K87" s="710">
        <v>0</v>
      </c>
      <c r="L87" s="510">
        <f>SUM(H87:K87)</f>
        <v>0</v>
      </c>
      <c r="N87" s="1667">
        <f>SUMIF('1.0'!$D:$D,T_BS!D87,'1.0'!$V:$V)</f>
        <v>0</v>
      </c>
      <c r="O87" s="710">
        <f>SUMIF('2.0'!$D:$D,T_BS!D87,'2.0'!$V:$V)</f>
        <v>0</v>
      </c>
      <c r="P87" s="509">
        <f>ROUND(SUMIF('3.0'!$D:$D,T_BS!D87,'3.0'!$H:$H),0)</f>
        <v>0</v>
      </c>
      <c r="Q87" s="720">
        <f>ROUND(SUMIF('4.0'!$D:$D,T_BS!D87,'4.0'!$V:$V),0)</f>
        <v>0</v>
      </c>
      <c r="R87" s="509">
        <f>ROUND(SUMIF('5.0'!$D:$D,T_BS!D87,'5.0'!$V:$V),0)</f>
        <v>0</v>
      </c>
      <c r="S87" s="720">
        <f>ROUND(SUMIF('6.0'!$D:$D,T_BS!D87,'6.0'!$V:$V),0)</f>
        <v>0</v>
      </c>
      <c r="T87" s="720">
        <f>ROUND(SUMIF('7.0'!$D:$D,T_BS!D87,'7.0'!$V:$V),0)</f>
        <v>0</v>
      </c>
      <c r="U87" s="720">
        <f>ROUND(SUMIF('8.0'!$D:$D,T_BS!D87,'8.0'!$H:$H),0)</f>
        <v>0</v>
      </c>
      <c r="V87" s="510">
        <f>SUM(N87:U87)</f>
        <v>0</v>
      </c>
      <c r="X87" s="1641">
        <f>V87+L87</f>
        <v>0</v>
      </c>
      <c r="Z87" s="1616">
        <f>X87-AI87</f>
        <v>0</v>
      </c>
      <c r="AB87" s="1616">
        <v>0</v>
      </c>
      <c r="AC87" s="1616">
        <v>0</v>
      </c>
      <c r="AD87" s="1616">
        <v>0</v>
      </c>
      <c r="AE87" s="1616">
        <v>0</v>
      </c>
      <c r="AF87" s="1616">
        <v>0</v>
      </c>
      <c r="AG87" s="1616">
        <v>0</v>
      </c>
      <c r="AH87" s="1616">
        <v>0</v>
      </c>
      <c r="AI87" s="1616">
        <v>0</v>
      </c>
      <c r="AJ87" s="1616">
        <v>0</v>
      </c>
      <c r="AK87" s="1616">
        <v>0</v>
      </c>
      <c r="AL87" s="1616">
        <v>0</v>
      </c>
      <c r="AM87" s="1616">
        <v>0</v>
      </c>
      <c r="AN87" s="1616">
        <v>0</v>
      </c>
      <c r="AP87" s="498"/>
    </row>
    <row r="88" spans="1:42" ht="18" customHeight="1">
      <c r="A88" s="498"/>
      <c r="D88" s="1633" t="s">
        <v>222</v>
      </c>
      <c r="E88" s="1359" t="s">
        <v>76</v>
      </c>
      <c r="F88" s="1361" t="s">
        <v>611</v>
      </c>
      <c r="G88" s="1359" t="s">
        <v>79</v>
      </c>
      <c r="H88" s="498">
        <v>0</v>
      </c>
      <c r="I88" s="498">
        <v>0</v>
      </c>
      <c r="J88" s="710">
        <v>0</v>
      </c>
      <c r="K88" s="710">
        <v>0</v>
      </c>
      <c r="L88" s="510">
        <f>SUM(H88:K88)</f>
        <v>0</v>
      </c>
      <c r="N88" s="1667">
        <f>SUMIF('1.0'!$D:$D,T_BS!D88,'1.0'!$V:$V)</f>
        <v>0</v>
      </c>
      <c r="O88" s="710">
        <f>SUMIF('2.0'!$D:$D,T_BS!D88,'2.0'!$V:$V)</f>
        <v>0</v>
      </c>
      <c r="P88" s="509">
        <f>ROUND(SUMIF('3.0'!$D:$D,T_BS!D88,'3.0'!$H:$H),0)</f>
        <v>0</v>
      </c>
      <c r="Q88" s="720">
        <f>ROUND(SUMIF('4.0'!$D:$D,T_BS!D88,'4.0'!$V:$V),0)</f>
        <v>0</v>
      </c>
      <c r="R88" s="509">
        <f>ROUND(SUMIF('5.0'!$D:$D,T_BS!D88,'5.0'!$V:$V),0)</f>
        <v>0</v>
      </c>
      <c r="S88" s="720">
        <f>ROUND(SUMIF('6.0'!$D:$D,T_BS!D88,'6.0'!$V:$V),0)</f>
        <v>0</v>
      </c>
      <c r="T88" s="720">
        <f>ROUND(SUMIF('7.0'!$D:$D,T_BS!D88,'7.0'!$V:$V),0)</f>
        <v>0</v>
      </c>
      <c r="U88" s="720">
        <f>ROUND(SUMIF('8.0'!$D:$D,T_BS!D88,'8.0'!$H:$H),0)</f>
        <v>0</v>
      </c>
      <c r="V88" s="510">
        <f>SUM(N88:U88)</f>
        <v>0</v>
      </c>
      <c r="X88" s="1641">
        <f>V88+L88</f>
        <v>0</v>
      </c>
      <c r="Z88" s="1616">
        <f>X88-AI88</f>
        <v>0</v>
      </c>
      <c r="AB88" s="1616">
        <v>0</v>
      </c>
      <c r="AC88" s="1616">
        <v>0</v>
      </c>
      <c r="AD88" s="1616">
        <v>0</v>
      </c>
      <c r="AE88" s="1616">
        <v>0</v>
      </c>
      <c r="AF88" s="1616">
        <v>0</v>
      </c>
      <c r="AG88" s="1616">
        <v>0</v>
      </c>
      <c r="AH88" s="1616">
        <v>0</v>
      </c>
      <c r="AI88" s="1616">
        <v>0</v>
      </c>
      <c r="AJ88" s="1616">
        <v>0</v>
      </c>
      <c r="AK88" s="1616">
        <v>0</v>
      </c>
      <c r="AL88" s="1616">
        <v>0</v>
      </c>
      <c r="AM88" s="1616">
        <v>0</v>
      </c>
      <c r="AN88" s="1616">
        <v>0</v>
      </c>
      <c r="AP88" s="498"/>
    </row>
    <row r="89" spans="1:42" ht="18" customHeight="1">
      <c r="A89" s="498"/>
      <c r="D89" s="1633" t="s">
        <v>223</v>
      </c>
      <c r="E89" s="1359" t="s">
        <v>76</v>
      </c>
      <c r="F89" s="1361" t="s">
        <v>611</v>
      </c>
      <c r="G89" s="1359" t="s">
        <v>42</v>
      </c>
      <c r="H89" s="498">
        <v>0</v>
      </c>
      <c r="I89" s="498">
        <v>0</v>
      </c>
      <c r="J89" s="710">
        <v>0</v>
      </c>
      <c r="K89" s="710">
        <v>0</v>
      </c>
      <c r="L89" s="510">
        <f>SUM(H89:K89)</f>
        <v>0</v>
      </c>
      <c r="N89" s="1667">
        <f>SUMIF('1.0'!$D:$D,T_BS!D89,'1.0'!$V:$V)</f>
        <v>0</v>
      </c>
      <c r="O89" s="710">
        <f>SUMIF('2.0'!$D:$D,T_BS!D89,'2.0'!$V:$V)</f>
        <v>0</v>
      </c>
      <c r="P89" s="509">
        <f>ROUND(SUMIF('3.0'!$D:$D,T_BS!D89,'3.0'!$H:$H),0)</f>
        <v>0</v>
      </c>
      <c r="Q89" s="720">
        <f>ROUND(SUMIF('4.0'!$D:$D,T_BS!D89,'4.0'!$V:$V),0)</f>
        <v>0</v>
      </c>
      <c r="R89" s="509">
        <f>ROUND(SUMIF('5.0'!$D:$D,T_BS!D89,'5.0'!$V:$V),0)</f>
        <v>0</v>
      </c>
      <c r="S89" s="720">
        <f>ROUND(SUMIF('6.0'!$D:$D,T_BS!D89,'6.0'!$V:$V),0)</f>
        <v>0</v>
      </c>
      <c r="T89" s="720">
        <f>ROUND(SUMIF('7.0'!$D:$D,T_BS!D89,'7.0'!$V:$V),0)</f>
        <v>0</v>
      </c>
      <c r="U89" s="720">
        <f>ROUND(SUMIF('8.0'!$D:$D,T_BS!D89,'8.0'!$H:$H),0)</f>
        <v>0</v>
      </c>
      <c r="V89" s="510">
        <f>SUM(N89:U89)</f>
        <v>0</v>
      </c>
      <c r="X89" s="1641">
        <f>V89+L89</f>
        <v>0</v>
      </c>
      <c r="Z89" s="1616">
        <f>X89-AI89</f>
        <v>0</v>
      </c>
      <c r="AB89" s="1616">
        <v>0</v>
      </c>
      <c r="AC89" s="1616">
        <v>0</v>
      </c>
      <c r="AD89" s="1616">
        <v>0</v>
      </c>
      <c r="AE89" s="1616">
        <v>0</v>
      </c>
      <c r="AF89" s="1616">
        <v>0</v>
      </c>
      <c r="AG89" s="1616">
        <v>0</v>
      </c>
      <c r="AH89" s="1616">
        <v>0</v>
      </c>
      <c r="AI89" s="1616">
        <v>0</v>
      </c>
      <c r="AJ89" s="1616">
        <v>0</v>
      </c>
      <c r="AK89" s="1616">
        <v>0</v>
      </c>
      <c r="AL89" s="1616">
        <v>0</v>
      </c>
      <c r="AM89" s="1616">
        <v>0</v>
      </c>
      <c r="AN89" s="1616">
        <v>0</v>
      </c>
      <c r="AP89" s="498"/>
    </row>
    <row r="90" spans="1:42" ht="18" customHeight="1">
      <c r="A90" s="498"/>
      <c r="D90" s="1588"/>
      <c r="E90" s="1589"/>
      <c r="F90" s="1590"/>
      <c r="G90" s="1589" t="s">
        <v>80</v>
      </c>
      <c r="H90" s="520">
        <f>SUM(H91:H93)</f>
        <v>11959451825</v>
      </c>
      <c r="I90" s="506">
        <f>SUM(I91:I93)</f>
        <v>0</v>
      </c>
      <c r="J90" s="506">
        <f>SUM(J91:J93)</f>
        <v>0</v>
      </c>
      <c r="K90" s="506">
        <f>SUM(K91:K93)</f>
        <v>0</v>
      </c>
      <c r="L90" s="507">
        <f>SUM(L91:L93)</f>
        <v>11959451825</v>
      </c>
      <c r="N90" s="1631">
        <f t="shared" ref="N90:V90" si="30">SUM(N91:N93)</f>
        <v>0</v>
      </c>
      <c r="O90" s="506">
        <f t="shared" si="30"/>
        <v>0</v>
      </c>
      <c r="P90" s="506">
        <f t="shared" si="30"/>
        <v>0</v>
      </c>
      <c r="Q90" s="506">
        <f t="shared" si="30"/>
        <v>0</v>
      </c>
      <c r="R90" s="506">
        <f t="shared" si="30"/>
        <v>0</v>
      </c>
      <c r="S90" s="506">
        <f t="shared" si="30"/>
        <v>-20000000</v>
      </c>
      <c r="T90" s="506">
        <f t="shared" si="30"/>
        <v>-182737552</v>
      </c>
      <c r="U90" s="506">
        <f t="shared" si="30"/>
        <v>-8875488588</v>
      </c>
      <c r="V90" s="507">
        <f t="shared" si="30"/>
        <v>-9078226140</v>
      </c>
      <c r="X90" s="1630">
        <f>SUM(X91:X93)</f>
        <v>2881225685</v>
      </c>
      <c r="Z90" s="1630">
        <f>SUM(Z91:Z93)</f>
        <v>2605838544</v>
      </c>
      <c r="AB90" s="1630">
        <v>7941091721</v>
      </c>
      <c r="AC90" s="1630">
        <v>7941091721</v>
      </c>
      <c r="AD90" s="1630">
        <v>7941091721</v>
      </c>
      <c r="AE90" s="1630">
        <v>8284812074</v>
      </c>
      <c r="AF90" s="1630">
        <v>8284812074</v>
      </c>
      <c r="AG90" s="1630">
        <v>8284812074</v>
      </c>
      <c r="AH90" s="1630">
        <v>276089605</v>
      </c>
      <c r="AI90" s="1630">
        <v>275387141</v>
      </c>
      <c r="AJ90" s="1630">
        <v>251229861</v>
      </c>
      <c r="AK90" s="1630">
        <v>251229861</v>
      </c>
      <c r="AL90" s="1630">
        <v>251229861</v>
      </c>
      <c r="AM90" s="1630">
        <f>SUM(AM91:AM93)</f>
        <v>0</v>
      </c>
      <c r="AN90" s="1630">
        <v>0</v>
      </c>
      <c r="AP90" s="498"/>
    </row>
    <row r="91" spans="1:42" ht="18" customHeight="1">
      <c r="A91" s="498"/>
      <c r="D91" s="1593">
        <v>900019</v>
      </c>
      <c r="E91" s="1359" t="s">
        <v>81</v>
      </c>
      <c r="F91" s="1361" t="s">
        <v>611</v>
      </c>
      <c r="G91" s="1359" t="s">
        <v>81</v>
      </c>
      <c r="H91" s="498">
        <v>75917896695</v>
      </c>
      <c r="I91" s="498">
        <v>0</v>
      </c>
      <c r="J91" s="710">
        <v>0</v>
      </c>
      <c r="K91" s="710">
        <v>0</v>
      </c>
      <c r="L91" s="510">
        <f>SUM(H91:K91)</f>
        <v>75917896695</v>
      </c>
      <c r="N91" s="1667">
        <f>SUMIF('1.0'!$D:$D,T_BS!D91,'1.0'!$V:$V)</f>
        <v>0</v>
      </c>
      <c r="O91" s="710">
        <f>SUMIF('2.0'!$D:$D,T_BS!D91,'2.0'!$V:$V)</f>
        <v>0</v>
      </c>
      <c r="P91" s="509">
        <f>ROUND(SUMIF('3.0'!$D:$D,T_BS!D91,'3.0'!$H:$H),0)</f>
        <v>0</v>
      </c>
      <c r="Q91" s="710">
        <f>ROUND(SUMIF('4.0'!$D:$D,T_BS!D91,'4.0'!$V:$V),0)</f>
        <v>0</v>
      </c>
      <c r="R91" s="509">
        <f>ROUND(SUMIF('5.0'!$D:$D,T_BS!D91,'5.0'!$V:$V),0)</f>
        <v>0</v>
      </c>
      <c r="S91" s="710">
        <f>ROUND(SUMIF('6.0'!$D:$D,T_BS!D91,'6.0'!$V:$V),0)</f>
        <v>-20000000</v>
      </c>
      <c r="T91" s="710">
        <f>ROUND(SUMIF('7.0'!$D:$D,T_BS!D91,'7.0'!$V:$V),0)</f>
        <v>0</v>
      </c>
      <c r="U91" s="710">
        <f>ROUND(SUMIF('8.0'!$D:$D,T_BS!D91,'8.0'!$H:$H),0)</f>
        <v>-75897896695</v>
      </c>
      <c r="V91" s="510">
        <f>SUM(N91:U91)</f>
        <v>-75917896695</v>
      </c>
      <c r="X91" s="1616">
        <f>V91+L91</f>
        <v>0</v>
      </c>
      <c r="Z91" s="1616">
        <f>X91-AI91</f>
        <v>0</v>
      </c>
      <c r="AB91" s="1616">
        <v>0</v>
      </c>
      <c r="AC91" s="1616">
        <v>0</v>
      </c>
      <c r="AD91" s="1616">
        <v>0</v>
      </c>
      <c r="AE91" s="1616">
        <v>0</v>
      </c>
      <c r="AF91" s="1616">
        <v>0</v>
      </c>
      <c r="AG91" s="1616">
        <v>0</v>
      </c>
      <c r="AH91" s="1616">
        <v>0</v>
      </c>
      <c r="AI91" s="1616">
        <v>0</v>
      </c>
      <c r="AJ91" s="1616">
        <v>0</v>
      </c>
      <c r="AK91" s="1616">
        <v>0</v>
      </c>
      <c r="AL91" s="1616">
        <v>0</v>
      </c>
      <c r="AM91" s="1616">
        <v>0</v>
      </c>
      <c r="AN91" s="1616">
        <v>0</v>
      </c>
      <c r="AP91" s="498"/>
    </row>
    <row r="92" spans="1:42" ht="18" customHeight="1">
      <c r="A92" s="498"/>
      <c r="D92" s="1593" t="s">
        <v>1831</v>
      </c>
      <c r="E92" s="1359" t="s">
        <v>1832</v>
      </c>
      <c r="F92" s="1361" t="s">
        <v>611</v>
      </c>
      <c r="G92" s="1359" t="s">
        <v>1832</v>
      </c>
      <c r="H92" s="498">
        <v>-67022408107</v>
      </c>
      <c r="I92" s="498">
        <v>0</v>
      </c>
      <c r="J92" s="710">
        <v>0</v>
      </c>
      <c r="K92" s="710">
        <v>0</v>
      </c>
      <c r="L92" s="510">
        <f>SUM(H92:K92)</f>
        <v>-67022408107</v>
      </c>
      <c r="N92" s="1667">
        <f>SUMIF('1.0'!$D:$D,T_BS!D92,'1.0'!$V:$V)</f>
        <v>0</v>
      </c>
      <c r="O92" s="710">
        <f>SUMIF('2.0'!$D:$D,T_BS!D92,'2.0'!$V:$V)</f>
        <v>0</v>
      </c>
      <c r="P92" s="509">
        <f>ROUND(SUMIF('3.0'!$D:$D,T_BS!D92,'3.0'!$H:$H),0)</f>
        <v>0</v>
      </c>
      <c r="Q92" s="710">
        <f>ROUND(SUMIF('4.0'!$D:$D,T_BS!D92,'4.0'!$V:$V),0)</f>
        <v>0</v>
      </c>
      <c r="R92" s="509">
        <f>ROUND(SUMIF('5.0'!$D:$D,T_BS!D92,'5.0'!$V:$V),0)</f>
        <v>0</v>
      </c>
      <c r="S92" s="710">
        <f>ROUND(SUMIF('6.0'!$D:$D,T_BS!D92,'6.0'!$V:$V),0)</f>
        <v>0</v>
      </c>
      <c r="T92" s="710">
        <f>ROUND(SUMIF('7.0'!$D:$D,T_BS!D92,'7.0'!$V:$V),0)</f>
        <v>0</v>
      </c>
      <c r="U92" s="710">
        <f>ROUND(SUMIF('8.0'!$D:$D,T_BS!D92,'8.0'!$H:$H),0)</f>
        <v>67022408107</v>
      </c>
      <c r="V92" s="510">
        <f>SUM(N92:U92)</f>
        <v>67022408107</v>
      </c>
      <c r="X92" s="1616">
        <f>V92+L92</f>
        <v>0</v>
      </c>
      <c r="Z92" s="1616">
        <f>X92-AI92</f>
        <v>0</v>
      </c>
      <c r="AB92" s="1616">
        <v>0</v>
      </c>
      <c r="AC92" s="1616">
        <v>0</v>
      </c>
      <c r="AD92" s="1616">
        <v>0</v>
      </c>
      <c r="AE92" s="1616">
        <v>0</v>
      </c>
      <c r="AF92" s="1616">
        <v>0</v>
      </c>
      <c r="AG92" s="1616">
        <v>0</v>
      </c>
      <c r="AH92" s="1616">
        <v>0</v>
      </c>
      <c r="AI92" s="1616">
        <v>0</v>
      </c>
      <c r="AJ92" s="1616">
        <v>0</v>
      </c>
      <c r="AK92" s="1616">
        <v>0</v>
      </c>
      <c r="AL92" s="1616">
        <v>0</v>
      </c>
      <c r="AM92" s="1616">
        <v>0</v>
      </c>
      <c r="AN92" s="1616">
        <v>0</v>
      </c>
      <c r="AP92" s="498"/>
    </row>
    <row r="93" spans="1:42" ht="18" customHeight="1">
      <c r="A93" s="498"/>
      <c r="D93" s="1593" t="s">
        <v>82</v>
      </c>
      <c r="E93" s="1359" t="s">
        <v>83</v>
      </c>
      <c r="F93" s="1361">
        <v>2202</v>
      </c>
      <c r="G93" s="1359" t="s">
        <v>83</v>
      </c>
      <c r="H93" s="498">
        <v>3063963237</v>
      </c>
      <c r="I93" s="498">
        <v>0</v>
      </c>
      <c r="J93" s="710">
        <v>0</v>
      </c>
      <c r="K93" s="710">
        <v>0</v>
      </c>
      <c r="L93" s="510">
        <f>SUM(H93:K93)</f>
        <v>3063963237</v>
      </c>
      <c r="N93" s="1667">
        <f>SUMIF('1.0'!$D:$D,T_BS!D93,'1.0'!$V:$V)</f>
        <v>0</v>
      </c>
      <c r="O93" s="710">
        <f>SUMIF('2.0'!$D:$D,T_BS!D93,'2.0'!$V:$V)</f>
        <v>0</v>
      </c>
      <c r="P93" s="509">
        <f>ROUND(SUMIF('3.0'!$D:$D,T_BS!D93,'3.0'!$H:$H),0)</f>
        <v>0</v>
      </c>
      <c r="Q93" s="710">
        <f>ROUND(SUMIF('4.0'!$D:$D,T_BS!D93,'4.0'!$V:$V),0)</f>
        <v>0</v>
      </c>
      <c r="R93" s="509">
        <f>ROUND(SUMIF('5.0'!$D:$D,T_BS!D93,'5.0'!$V:$V),0)</f>
        <v>0</v>
      </c>
      <c r="S93" s="710">
        <f>ROUND(SUMIF('6.0'!$D:$D,T_BS!D93,'6.0'!$V:$V),0)</f>
        <v>0</v>
      </c>
      <c r="T93" s="710">
        <f>ROUND(SUMIF('7.0'!$D:$D,T_BS!D93,'7.0'!$V:$V),0)</f>
        <v>-182737552</v>
      </c>
      <c r="U93" s="710">
        <f>ROUND(SUMIF('8.0'!$D:$D,T_BS!D93,'8.0'!$H:$H),0)</f>
        <v>0</v>
      </c>
      <c r="V93" s="510">
        <f>SUM(N93:U93)</f>
        <v>-182737552</v>
      </c>
      <c r="X93" s="1616">
        <f>V93+L93</f>
        <v>2881225685</v>
      </c>
      <c r="Z93" s="1616">
        <f>X93-AI93</f>
        <v>2605838544</v>
      </c>
      <c r="AB93" s="1616">
        <v>7941091721</v>
      </c>
      <c r="AC93" s="1616">
        <v>7941091721</v>
      </c>
      <c r="AD93" s="1616">
        <v>7941091721</v>
      </c>
      <c r="AE93" s="1616">
        <v>8284812074</v>
      </c>
      <c r="AF93" s="1616">
        <v>8284812074</v>
      </c>
      <c r="AG93" s="1616">
        <v>8284812074</v>
      </c>
      <c r="AH93" s="1616">
        <v>276089605</v>
      </c>
      <c r="AI93" s="1616">
        <v>275387141</v>
      </c>
      <c r="AJ93" s="1616">
        <v>251229861</v>
      </c>
      <c r="AK93" s="1616">
        <v>251229861</v>
      </c>
      <c r="AL93" s="1616">
        <v>251229861</v>
      </c>
      <c r="AM93" s="1616">
        <v>0</v>
      </c>
      <c r="AN93" s="1616">
        <v>0</v>
      </c>
      <c r="AP93" s="498"/>
    </row>
    <row r="94" spans="1:42" ht="18" customHeight="1">
      <c r="A94" s="498"/>
      <c r="D94" s="1588"/>
      <c r="E94" s="1589"/>
      <c r="F94" s="1590"/>
      <c r="G94" s="1589" t="s">
        <v>5</v>
      </c>
      <c r="H94" s="520">
        <f>SUM(H95:H118)</f>
        <v>7959948267</v>
      </c>
      <c r="I94" s="506">
        <f>SUM(I95:I118)</f>
        <v>142953832</v>
      </c>
      <c r="J94" s="506">
        <f>SUM(J95:J118)</f>
        <v>59863625</v>
      </c>
      <c r="K94" s="506">
        <f>SUM(K95:K118)</f>
        <v>352924121</v>
      </c>
      <c r="L94" s="507">
        <f>SUM(L95:L118)</f>
        <v>8515689845</v>
      </c>
      <c r="N94" s="1631">
        <f t="shared" ref="N94:V94" si="31">SUM(N95:N118)</f>
        <v>0</v>
      </c>
      <c r="O94" s="506">
        <f t="shared" si="31"/>
        <v>0</v>
      </c>
      <c r="P94" s="506">
        <f t="shared" si="31"/>
        <v>0</v>
      </c>
      <c r="Q94" s="506">
        <f t="shared" si="31"/>
        <v>0</v>
      </c>
      <c r="R94" s="506">
        <f t="shared" si="31"/>
        <v>0</v>
      </c>
      <c r="S94" s="506">
        <f t="shared" si="31"/>
        <v>0</v>
      </c>
      <c r="T94" s="506">
        <f t="shared" si="31"/>
        <v>0</v>
      </c>
      <c r="U94" s="506">
        <f t="shared" si="31"/>
        <v>0</v>
      </c>
      <c r="V94" s="507">
        <f t="shared" si="31"/>
        <v>0</v>
      </c>
      <c r="X94" s="1630">
        <f>SUM(X95:X118)</f>
        <v>8515689845</v>
      </c>
      <c r="Z94" s="1630">
        <f>SUM(Z95:Z118)</f>
        <v>1763445441</v>
      </c>
      <c r="AB94" s="1630">
        <v>4298119537</v>
      </c>
      <c r="AC94" s="1630">
        <v>4324805707</v>
      </c>
      <c r="AD94" s="1630">
        <v>4868566741</v>
      </c>
      <c r="AE94" s="1630">
        <v>5189451594</v>
      </c>
      <c r="AF94" s="1630">
        <v>5418571101</v>
      </c>
      <c r="AG94" s="1630">
        <v>5685824617</v>
      </c>
      <c r="AH94" s="1630">
        <v>6034542963</v>
      </c>
      <c r="AI94" s="1630">
        <v>6752244404</v>
      </c>
      <c r="AJ94" s="1630">
        <v>6583860465</v>
      </c>
      <c r="AK94" s="1630">
        <v>6514457817</v>
      </c>
      <c r="AL94" s="1630">
        <v>6121639158</v>
      </c>
      <c r="AM94" s="1630">
        <f>SUM(AM95:AM118)</f>
        <v>6731213024</v>
      </c>
      <c r="AN94" s="1630">
        <v>7654582035</v>
      </c>
      <c r="AP94" s="498"/>
    </row>
    <row r="95" spans="1:42" ht="18" customHeight="1">
      <c r="A95" s="498"/>
      <c r="D95" s="1593">
        <v>123700</v>
      </c>
      <c r="E95" s="1359" t="s">
        <v>5</v>
      </c>
      <c r="F95" s="1361">
        <v>2401</v>
      </c>
      <c r="G95" s="1359" t="s">
        <v>84</v>
      </c>
      <c r="H95" s="498">
        <v>9363637</v>
      </c>
      <c r="I95" s="498">
        <v>0</v>
      </c>
      <c r="J95" s="710">
        <v>0</v>
      </c>
      <c r="K95" s="710">
        <v>0</v>
      </c>
      <c r="L95" s="510">
        <f t="shared" ref="L95:L118" si="32">SUM(H95:K95)</f>
        <v>9363637</v>
      </c>
      <c r="N95" s="1667">
        <f>SUMIF('1.0'!$D:$D,T_BS!D95,'1.0'!$V:$V)</f>
        <v>0</v>
      </c>
      <c r="O95" s="710">
        <f>SUMIF('2.0'!$D:$D,T_BS!D95,'2.0'!$V:$V)</f>
        <v>0</v>
      </c>
      <c r="P95" s="509">
        <f>ROUND(SUMIF('3.0'!$D:$D,T_BS!D95,'3.0'!$H:$H),0)</f>
        <v>0</v>
      </c>
      <c r="Q95" s="720">
        <f>ROUND(SUMIF('4.0'!$D:$D,T_BS!D95,'4.0'!$V:$V),0)</f>
        <v>0</v>
      </c>
      <c r="R95" s="509">
        <f>ROUND(SUMIF('5.0'!$D:$D,T_BS!D95,'5.0'!$V:$V),0)</f>
        <v>0</v>
      </c>
      <c r="S95" s="720">
        <f>ROUND(SUMIF('6.0'!$D:$D,T_BS!D95,'6.0'!$V:$V),0)</f>
        <v>0</v>
      </c>
      <c r="T95" s="720">
        <f>ROUND(SUMIF('7.0'!$D:$D,T_BS!D95,'7.0'!$V:$V),0)</f>
        <v>0</v>
      </c>
      <c r="U95" s="720">
        <f>ROUND(SUMIF('8.0'!$D:$D,T_BS!D95,'8.0'!$H:$H),0)</f>
        <v>0</v>
      </c>
      <c r="V95" s="510">
        <f t="shared" ref="V95:V118" si="33">SUM(N95:U95)</f>
        <v>0</v>
      </c>
      <c r="X95" s="1641">
        <f t="shared" ref="X95:X118" si="34">V95+L95</f>
        <v>9363637</v>
      </c>
      <c r="Z95" s="1616">
        <f t="shared" ref="Z95:Z118" si="35">X95-AI95</f>
        <v>-22092612</v>
      </c>
      <c r="AB95" s="1616">
        <v>31456249</v>
      </c>
      <c r="AC95" s="1616">
        <v>31456249</v>
      </c>
      <c r="AD95" s="1616">
        <v>31456249</v>
      </c>
      <c r="AE95" s="1616">
        <v>31456249</v>
      </c>
      <c r="AF95" s="1616">
        <v>31456249</v>
      </c>
      <c r="AG95" s="1616">
        <v>31456249</v>
      </c>
      <c r="AH95" s="1616">
        <v>31456249</v>
      </c>
      <c r="AI95" s="1616">
        <v>31456249</v>
      </c>
      <c r="AJ95" s="1616">
        <v>31456249</v>
      </c>
      <c r="AK95" s="1616">
        <v>31456249</v>
      </c>
      <c r="AL95" s="1616">
        <v>31456249</v>
      </c>
      <c r="AM95" s="1616">
        <v>31456249</v>
      </c>
      <c r="AN95" s="1616">
        <v>31456249</v>
      </c>
      <c r="AP95" s="498"/>
    </row>
    <row r="96" spans="1:42" ht="18" customHeight="1">
      <c r="A96" s="498"/>
      <c r="D96" s="1593">
        <v>123750</v>
      </c>
      <c r="E96" s="1359" t="s">
        <v>5</v>
      </c>
      <c r="F96" s="1361">
        <v>2402</v>
      </c>
      <c r="G96" s="1359" t="s">
        <v>85</v>
      </c>
      <c r="H96" s="498">
        <v>-5953029</v>
      </c>
      <c r="I96" s="498">
        <v>0</v>
      </c>
      <c r="J96" s="710">
        <v>0</v>
      </c>
      <c r="K96" s="710">
        <v>0</v>
      </c>
      <c r="L96" s="510">
        <f t="shared" si="32"/>
        <v>-5953029</v>
      </c>
      <c r="N96" s="1667">
        <f>SUMIF('1.0'!$D:$D,T_BS!D96,'1.0'!$V:$V)</f>
        <v>0</v>
      </c>
      <c r="O96" s="710">
        <f>SUMIF('2.0'!$D:$D,T_BS!D96,'2.0'!$V:$V)</f>
        <v>0</v>
      </c>
      <c r="P96" s="509">
        <f>ROUND(SUMIF('3.0'!$D:$D,T_BS!D96,'3.0'!$H:$H),0)</f>
        <v>0</v>
      </c>
      <c r="Q96" s="720">
        <f>ROUND(SUMIF('4.0'!$D:$D,T_BS!D96,'4.0'!$V:$V),0)</f>
        <v>0</v>
      </c>
      <c r="R96" s="509">
        <f>ROUND(SUMIF('5.0'!$D:$D,T_BS!D96,'5.0'!$V:$V),0)</f>
        <v>0</v>
      </c>
      <c r="S96" s="720">
        <f>ROUND(SUMIF('6.0'!$D:$D,T_BS!D96,'6.0'!$V:$V),0)</f>
        <v>0</v>
      </c>
      <c r="T96" s="720">
        <f>ROUND(SUMIF('7.0'!$D:$D,T_BS!D96,'7.0'!$V:$V),0)</f>
        <v>0</v>
      </c>
      <c r="U96" s="720">
        <f>ROUND(SUMIF('8.0'!$D:$D,T_BS!D96,'8.0'!$H:$H),0)</f>
        <v>0</v>
      </c>
      <c r="V96" s="510">
        <f t="shared" si="33"/>
        <v>0</v>
      </c>
      <c r="X96" s="1641">
        <f t="shared" si="34"/>
        <v>-5953029</v>
      </c>
      <c r="Z96" s="1616">
        <f t="shared" si="35"/>
        <v>20216884</v>
      </c>
      <c r="AB96" s="1616">
        <v>-27886573</v>
      </c>
      <c r="AC96" s="1616">
        <v>-27730513</v>
      </c>
      <c r="AD96" s="1616">
        <v>-27574453</v>
      </c>
      <c r="AE96" s="1616">
        <v>-27418393</v>
      </c>
      <c r="AF96" s="1616">
        <v>-27262333</v>
      </c>
      <c r="AG96" s="1616">
        <v>-27106273</v>
      </c>
      <c r="AH96" s="1616">
        <v>-26638093</v>
      </c>
      <c r="AI96" s="1616">
        <v>-26169913</v>
      </c>
      <c r="AJ96" s="1616">
        <v>-25857786</v>
      </c>
      <c r="AK96" s="1616">
        <v>-25701726</v>
      </c>
      <c r="AL96" s="1616">
        <v>-25233546</v>
      </c>
      <c r="AM96" s="1616">
        <v>-24765366</v>
      </c>
      <c r="AN96" s="1616">
        <v>-24297186</v>
      </c>
      <c r="AP96" s="498"/>
    </row>
    <row r="97" spans="1:42" ht="18" customHeight="1">
      <c r="A97" s="498"/>
      <c r="D97" s="1593">
        <v>123900</v>
      </c>
      <c r="E97" s="1359" t="s">
        <v>5</v>
      </c>
      <c r="F97" s="1361">
        <v>2404</v>
      </c>
      <c r="G97" s="1359" t="s">
        <v>86</v>
      </c>
      <c r="H97" s="498">
        <v>149137249</v>
      </c>
      <c r="I97" s="498">
        <v>0</v>
      </c>
      <c r="J97" s="710">
        <v>0</v>
      </c>
      <c r="K97" s="710">
        <v>0</v>
      </c>
      <c r="L97" s="510">
        <f t="shared" si="32"/>
        <v>149137249</v>
      </c>
      <c r="N97" s="1667">
        <f>SUMIF('1.0'!$D:$D,T_BS!D97,'1.0'!$V:$V)</f>
        <v>0</v>
      </c>
      <c r="O97" s="710">
        <f>SUMIF('2.0'!$D:$D,T_BS!D97,'2.0'!$V:$V)</f>
        <v>0</v>
      </c>
      <c r="P97" s="509">
        <f>ROUND(SUMIF('3.0'!$D:$D,T_BS!D97,'3.0'!$H:$H),0)</f>
        <v>0</v>
      </c>
      <c r="Q97" s="720">
        <f>ROUND(SUMIF('4.0'!$D:$D,T_BS!D97,'4.0'!$V:$V),0)</f>
        <v>0</v>
      </c>
      <c r="R97" s="509">
        <f>ROUND(SUMIF('5.0'!$D:$D,T_BS!D97,'5.0'!$V:$V),0)</f>
        <v>0</v>
      </c>
      <c r="S97" s="720">
        <f>ROUND(SUMIF('6.0'!$D:$D,T_BS!D97,'6.0'!$V:$V),0)</f>
        <v>0</v>
      </c>
      <c r="T97" s="720">
        <f>ROUND(SUMIF('7.0'!$D:$D,T_BS!D97,'7.0'!$V:$V),0)</f>
        <v>0</v>
      </c>
      <c r="U97" s="720">
        <f>ROUND(SUMIF('8.0'!$D:$D,T_BS!D97,'8.0'!$H:$H),0)</f>
        <v>0</v>
      </c>
      <c r="V97" s="510">
        <f t="shared" si="33"/>
        <v>0</v>
      </c>
      <c r="X97" s="1641">
        <f t="shared" si="34"/>
        <v>149137249</v>
      </c>
      <c r="Z97" s="1616">
        <f t="shared" si="35"/>
        <v>-60500000</v>
      </c>
      <c r="AB97" s="1616">
        <v>209637249</v>
      </c>
      <c r="AC97" s="1616">
        <v>209637249</v>
      </c>
      <c r="AD97" s="1616">
        <v>209637249</v>
      </c>
      <c r="AE97" s="1616">
        <v>209637249</v>
      </c>
      <c r="AF97" s="1616">
        <v>209637249</v>
      </c>
      <c r="AG97" s="1616">
        <v>209637249</v>
      </c>
      <c r="AH97" s="1616">
        <v>209637249</v>
      </c>
      <c r="AI97" s="1616">
        <v>209637249</v>
      </c>
      <c r="AJ97" s="1616">
        <v>209637249</v>
      </c>
      <c r="AK97" s="1616">
        <v>209637249</v>
      </c>
      <c r="AL97" s="1616">
        <v>209637249</v>
      </c>
      <c r="AM97" s="1616">
        <v>209637249</v>
      </c>
      <c r="AN97" s="1616">
        <v>209637249</v>
      </c>
      <c r="AP97" s="498"/>
    </row>
    <row r="98" spans="1:42" ht="18" customHeight="1">
      <c r="A98" s="498"/>
      <c r="D98" s="1593">
        <v>123950</v>
      </c>
      <c r="E98" s="1359" t="s">
        <v>5</v>
      </c>
      <c r="F98" s="1361">
        <v>2405</v>
      </c>
      <c r="G98" s="1359" t="s">
        <v>87</v>
      </c>
      <c r="H98" s="498">
        <v>-126560515</v>
      </c>
      <c r="I98" s="498">
        <v>0</v>
      </c>
      <c r="J98" s="710">
        <v>0</v>
      </c>
      <c r="K98" s="710">
        <v>0</v>
      </c>
      <c r="L98" s="510">
        <f t="shared" si="32"/>
        <v>-126560515</v>
      </c>
      <c r="N98" s="1667">
        <f>SUMIF('1.0'!$D:$D,T_BS!D98,'1.0'!$V:$V)</f>
        <v>0</v>
      </c>
      <c r="O98" s="710">
        <f>SUMIF('2.0'!$D:$D,T_BS!D98,'2.0'!$V:$V)</f>
        <v>0</v>
      </c>
      <c r="P98" s="509">
        <f>ROUND(SUMIF('3.0'!$D:$D,T_BS!D98,'3.0'!$H:$H),0)</f>
        <v>0</v>
      </c>
      <c r="Q98" s="720">
        <f>ROUND(SUMIF('4.0'!$D:$D,T_BS!D98,'4.0'!$V:$V),0)</f>
        <v>0</v>
      </c>
      <c r="R98" s="509">
        <f>ROUND(SUMIF('5.0'!$D:$D,T_BS!D98,'5.0'!$V:$V),0)</f>
        <v>0</v>
      </c>
      <c r="S98" s="720">
        <f>ROUND(SUMIF('6.0'!$D:$D,T_BS!D98,'6.0'!$V:$V),0)</f>
        <v>0</v>
      </c>
      <c r="T98" s="720">
        <f>ROUND(SUMIF('7.0'!$D:$D,T_BS!D98,'7.0'!$V:$V),0)</f>
        <v>0</v>
      </c>
      <c r="U98" s="720">
        <f>ROUND(SUMIF('8.0'!$D:$D,T_BS!D98,'8.0'!$H:$H),0)</f>
        <v>0</v>
      </c>
      <c r="V98" s="510">
        <f t="shared" si="33"/>
        <v>0</v>
      </c>
      <c r="X98" s="1641">
        <f t="shared" si="34"/>
        <v>-126560515</v>
      </c>
      <c r="Z98" s="1616">
        <f t="shared" si="35"/>
        <v>21667155</v>
      </c>
      <c r="AB98" s="1616">
        <v>-165964961</v>
      </c>
      <c r="AC98" s="1616">
        <v>-164352480</v>
      </c>
      <c r="AD98" s="1616">
        <v>-162739999</v>
      </c>
      <c r="AE98" s="1616">
        <v>-161127518</v>
      </c>
      <c r="AF98" s="1616">
        <v>-159515037</v>
      </c>
      <c r="AG98" s="1616">
        <v>-157902556</v>
      </c>
      <c r="AH98" s="1616">
        <v>-153065113</v>
      </c>
      <c r="AI98" s="1616">
        <v>-148227670</v>
      </c>
      <c r="AJ98" s="1616">
        <v>-145002708</v>
      </c>
      <c r="AK98" s="1616">
        <v>-143390227</v>
      </c>
      <c r="AL98" s="1616">
        <v>-138552784</v>
      </c>
      <c r="AM98" s="1616">
        <v>-133715341</v>
      </c>
      <c r="AN98" s="1616">
        <v>-128877898</v>
      </c>
      <c r="AP98" s="498"/>
    </row>
    <row r="99" spans="1:42" ht="18" customHeight="1">
      <c r="A99" s="498"/>
      <c r="D99" s="1593">
        <v>123960</v>
      </c>
      <c r="E99" s="1359" t="s">
        <v>5</v>
      </c>
      <c r="F99" s="1361">
        <v>2406</v>
      </c>
      <c r="G99" s="1359" t="s">
        <v>88</v>
      </c>
      <c r="H99" s="498">
        <v>0</v>
      </c>
      <c r="I99" s="498">
        <v>0</v>
      </c>
      <c r="J99" s="710">
        <v>0</v>
      </c>
      <c r="K99" s="710">
        <v>0</v>
      </c>
      <c r="L99" s="510">
        <f t="shared" si="32"/>
        <v>0</v>
      </c>
      <c r="N99" s="1667">
        <f>SUMIF('1.0'!$D:$D,T_BS!D99,'1.0'!$V:$V)</f>
        <v>0</v>
      </c>
      <c r="O99" s="710">
        <f>SUMIF('2.0'!$D:$D,T_BS!D99,'2.0'!$V:$V)</f>
        <v>0</v>
      </c>
      <c r="P99" s="509">
        <f>ROUND(SUMIF('3.0'!$D:$D,T_BS!D99,'3.0'!$H:$H),0)</f>
        <v>0</v>
      </c>
      <c r="Q99" s="720">
        <f>ROUND(SUMIF('4.0'!$D:$D,T_BS!D99,'4.0'!$V:$V),0)</f>
        <v>0</v>
      </c>
      <c r="R99" s="509">
        <f>ROUND(SUMIF('5.0'!$D:$D,T_BS!D99,'5.0'!$V:$V),0)</f>
        <v>0</v>
      </c>
      <c r="S99" s="720">
        <f>ROUND(SUMIF('6.0'!$D:$D,T_BS!D99,'6.0'!$V:$V),0)</f>
        <v>0</v>
      </c>
      <c r="T99" s="720">
        <f>ROUND(SUMIF('7.0'!$D:$D,T_BS!D99,'7.0'!$V:$V),0)</f>
        <v>0</v>
      </c>
      <c r="U99" s="720">
        <f>ROUND(SUMIF('8.0'!$D:$D,T_BS!D99,'8.0'!$H:$H),0)</f>
        <v>0</v>
      </c>
      <c r="V99" s="510">
        <f t="shared" si="33"/>
        <v>0</v>
      </c>
      <c r="X99" s="1641">
        <f t="shared" si="34"/>
        <v>0</v>
      </c>
      <c r="Z99" s="1616">
        <f t="shared" si="35"/>
        <v>19482073</v>
      </c>
      <c r="AB99" s="1616">
        <v>-19482073</v>
      </c>
      <c r="AC99" s="1616">
        <v>-19482073</v>
      </c>
      <c r="AD99" s="1616">
        <v>-19482073</v>
      </c>
      <c r="AE99" s="1616">
        <v>-19482073</v>
      </c>
      <c r="AF99" s="1616">
        <v>-19482073</v>
      </c>
      <c r="AG99" s="1616">
        <v>-19482073</v>
      </c>
      <c r="AH99" s="1616">
        <v>-19482073</v>
      </c>
      <c r="AI99" s="1616">
        <v>-19482073</v>
      </c>
      <c r="AJ99" s="1616">
        <v>-19482073</v>
      </c>
      <c r="AK99" s="1616">
        <v>-19482073</v>
      </c>
      <c r="AL99" s="1616">
        <v>-19482073</v>
      </c>
      <c r="AM99" s="1616">
        <v>-19482073</v>
      </c>
      <c r="AN99" s="1616">
        <v>-19482073</v>
      </c>
      <c r="AP99" s="498"/>
    </row>
    <row r="100" spans="1:42" ht="18" customHeight="1">
      <c r="A100" s="498"/>
      <c r="D100" s="1593">
        <v>124000</v>
      </c>
      <c r="E100" s="1359" t="s">
        <v>5</v>
      </c>
      <c r="F100" s="1361">
        <v>2407</v>
      </c>
      <c r="G100" s="1359" t="s">
        <v>89</v>
      </c>
      <c r="H100" s="498">
        <v>305371835</v>
      </c>
      <c r="I100" s="498">
        <v>0</v>
      </c>
      <c r="J100" s="710">
        <v>0</v>
      </c>
      <c r="K100" s="710">
        <v>0</v>
      </c>
      <c r="L100" s="510">
        <f t="shared" si="32"/>
        <v>305371835</v>
      </c>
      <c r="N100" s="1667">
        <f>SUMIF('1.0'!$D:$D,T_BS!D100,'1.0'!$V:$V)</f>
        <v>0</v>
      </c>
      <c r="O100" s="710">
        <f>SUMIF('2.0'!$D:$D,T_BS!D100,'2.0'!$V:$V)</f>
        <v>0</v>
      </c>
      <c r="P100" s="509">
        <f>ROUND(SUMIF('3.0'!$D:$D,T_BS!D100,'3.0'!$H:$H),0)</f>
        <v>0</v>
      </c>
      <c r="Q100" s="720">
        <f>ROUND(SUMIF('4.0'!$D:$D,T_BS!D100,'4.0'!$V:$V),0)</f>
        <v>0</v>
      </c>
      <c r="R100" s="509">
        <f>ROUND(SUMIF('5.0'!$D:$D,T_BS!D100,'5.0'!$V:$V),0)</f>
        <v>0</v>
      </c>
      <c r="S100" s="720">
        <f>ROUND(SUMIF('6.0'!$D:$D,T_BS!D100,'6.0'!$V:$V),0)</f>
        <v>0</v>
      </c>
      <c r="T100" s="720">
        <f>ROUND(SUMIF('7.0'!$D:$D,T_BS!D100,'7.0'!$V:$V),0)</f>
        <v>0</v>
      </c>
      <c r="U100" s="720">
        <f>ROUND(SUMIF('8.0'!$D:$D,T_BS!D100,'8.0'!$H:$H),0)</f>
        <v>0</v>
      </c>
      <c r="V100" s="510">
        <f t="shared" si="33"/>
        <v>0</v>
      </c>
      <c r="X100" s="1641">
        <f t="shared" si="34"/>
        <v>305371835</v>
      </c>
      <c r="Z100" s="1616">
        <f t="shared" si="35"/>
        <v>-193098136</v>
      </c>
      <c r="AB100" s="1616">
        <v>488142471</v>
      </c>
      <c r="AC100" s="1616">
        <v>525142471</v>
      </c>
      <c r="AD100" s="1616">
        <v>525142471</v>
      </c>
      <c r="AE100" s="1616">
        <v>525142471</v>
      </c>
      <c r="AF100" s="1616">
        <v>525142471</v>
      </c>
      <c r="AG100" s="1616">
        <v>522469971</v>
      </c>
      <c r="AH100" s="1616">
        <v>522469971</v>
      </c>
      <c r="AI100" s="1616">
        <v>498469971</v>
      </c>
      <c r="AJ100" s="1616">
        <v>480329381</v>
      </c>
      <c r="AK100" s="1616">
        <v>480329381</v>
      </c>
      <c r="AL100" s="1616">
        <v>480329381</v>
      </c>
      <c r="AM100" s="1616">
        <v>480329381</v>
      </c>
      <c r="AN100" s="1616">
        <v>480329381</v>
      </c>
      <c r="AP100" s="498"/>
    </row>
    <row r="101" spans="1:42" ht="18" customHeight="1">
      <c r="A101" s="498"/>
      <c r="D101" s="1593">
        <v>124050</v>
      </c>
      <c r="E101" s="1359" t="s">
        <v>5</v>
      </c>
      <c r="F101" s="1361">
        <v>2408</v>
      </c>
      <c r="G101" s="1359" t="s">
        <v>90</v>
      </c>
      <c r="H101" s="498">
        <v>-217247788</v>
      </c>
      <c r="I101" s="498">
        <v>0</v>
      </c>
      <c r="J101" s="710">
        <v>0</v>
      </c>
      <c r="K101" s="710">
        <v>0</v>
      </c>
      <c r="L101" s="510">
        <f t="shared" si="32"/>
        <v>-217247788</v>
      </c>
      <c r="N101" s="1667">
        <f>SUMIF('1.0'!$D:$D,T_BS!D101,'1.0'!$V:$V)</f>
        <v>0</v>
      </c>
      <c r="O101" s="710">
        <f>SUMIF('2.0'!$D:$D,T_BS!D101,'2.0'!$V:$V)</f>
        <v>0</v>
      </c>
      <c r="P101" s="509">
        <f>ROUND(SUMIF('3.0'!$D:$D,T_BS!D101,'3.0'!$H:$H),0)</f>
        <v>0</v>
      </c>
      <c r="Q101" s="720">
        <f>ROUND(SUMIF('4.0'!$D:$D,T_BS!D101,'4.0'!$V:$V),0)</f>
        <v>0</v>
      </c>
      <c r="R101" s="509">
        <f>ROUND(SUMIF('5.0'!$D:$D,T_BS!D101,'5.0'!$V:$V),0)</f>
        <v>0</v>
      </c>
      <c r="S101" s="720">
        <f>ROUND(SUMIF('6.0'!$D:$D,T_BS!D101,'6.0'!$V:$V),0)</f>
        <v>0</v>
      </c>
      <c r="T101" s="720">
        <f>ROUND(SUMIF('7.0'!$D:$D,T_BS!D101,'7.0'!$V:$V),0)</f>
        <v>0</v>
      </c>
      <c r="U101" s="720">
        <f>ROUND(SUMIF('8.0'!$D:$D,T_BS!D101,'8.0'!$H:$H),0)</f>
        <v>0</v>
      </c>
      <c r="V101" s="510">
        <f t="shared" si="33"/>
        <v>0</v>
      </c>
      <c r="X101" s="1641">
        <f t="shared" si="34"/>
        <v>-217247788</v>
      </c>
      <c r="Z101" s="1616">
        <f t="shared" si="35"/>
        <v>251886829</v>
      </c>
      <c r="AB101" s="1616">
        <v>-449616057</v>
      </c>
      <c r="AC101" s="1616">
        <v>-485619674</v>
      </c>
      <c r="AD101" s="1616">
        <v>-484624291</v>
      </c>
      <c r="AE101" s="1616">
        <v>-483498184</v>
      </c>
      <c r="AF101" s="1616">
        <v>-481941024</v>
      </c>
      <c r="AG101" s="1616">
        <v>-480228627</v>
      </c>
      <c r="AH101" s="1616">
        <v>-474729869</v>
      </c>
      <c r="AI101" s="1616">
        <v>-469134617</v>
      </c>
      <c r="AJ101" s="1616">
        <v>-466258108</v>
      </c>
      <c r="AK101" s="1616">
        <v>-464848670</v>
      </c>
      <c r="AL101" s="1616">
        <v>-460620356</v>
      </c>
      <c r="AM101" s="1616">
        <v>-456392042</v>
      </c>
      <c r="AN101" s="1616">
        <v>-452163728</v>
      </c>
      <c r="AP101" s="498"/>
    </row>
    <row r="102" spans="1:42" ht="18" customHeight="1">
      <c r="A102" s="498"/>
      <c r="D102" s="1593">
        <v>124160</v>
      </c>
      <c r="E102" s="1359" t="s">
        <v>5</v>
      </c>
      <c r="F102" s="1361">
        <v>2409</v>
      </c>
      <c r="G102" s="1359" t="s">
        <v>91</v>
      </c>
      <c r="H102" s="498">
        <v>0</v>
      </c>
      <c r="I102" s="498">
        <v>0</v>
      </c>
      <c r="J102" s="710">
        <v>0</v>
      </c>
      <c r="K102" s="710">
        <v>0</v>
      </c>
      <c r="L102" s="510">
        <f t="shared" si="32"/>
        <v>0</v>
      </c>
      <c r="N102" s="1667">
        <f>SUMIF('1.0'!$D:$D,T_BS!D102,'1.0'!$V:$V)</f>
        <v>0</v>
      </c>
      <c r="O102" s="710">
        <f>SUMIF('2.0'!$D:$D,T_BS!D102,'2.0'!$V:$V)</f>
        <v>0</v>
      </c>
      <c r="P102" s="509">
        <f>ROUND(SUMIF('3.0'!$D:$D,T_BS!D102,'3.0'!$H:$H),0)</f>
        <v>0</v>
      </c>
      <c r="Q102" s="720">
        <f>ROUND(SUMIF('4.0'!$D:$D,T_BS!D102,'4.0'!$V:$V),0)</f>
        <v>0</v>
      </c>
      <c r="R102" s="509">
        <f>ROUND(SUMIF('5.0'!$D:$D,T_BS!D102,'5.0'!$V:$V),0)</f>
        <v>0</v>
      </c>
      <c r="S102" s="720">
        <f>ROUND(SUMIF('6.0'!$D:$D,T_BS!D102,'6.0'!$V:$V),0)</f>
        <v>0</v>
      </c>
      <c r="T102" s="720">
        <f>ROUND(SUMIF('7.0'!$D:$D,T_BS!D102,'7.0'!$V:$V),0)</f>
        <v>0</v>
      </c>
      <c r="U102" s="720">
        <f>ROUND(SUMIF('8.0'!$D:$D,T_BS!D102,'8.0'!$H:$H),0)</f>
        <v>0</v>
      </c>
      <c r="V102" s="510">
        <f t="shared" si="33"/>
        <v>0</v>
      </c>
      <c r="X102" s="1641">
        <f t="shared" si="34"/>
        <v>0</v>
      </c>
      <c r="Z102" s="1616">
        <f t="shared" si="35"/>
        <v>524300</v>
      </c>
      <c r="AB102" s="1616">
        <v>-524300</v>
      </c>
      <c r="AC102" s="1616">
        <v>-524300</v>
      </c>
      <c r="AD102" s="1616">
        <v>-524300</v>
      </c>
      <c r="AE102" s="1616">
        <v>-524300</v>
      </c>
      <c r="AF102" s="1616">
        <v>-524300</v>
      </c>
      <c r="AG102" s="1616">
        <v>-524300</v>
      </c>
      <c r="AH102" s="1616">
        <v>-524300</v>
      </c>
      <c r="AI102" s="1616">
        <v>-524300</v>
      </c>
      <c r="AJ102" s="1616">
        <v>-524300</v>
      </c>
      <c r="AK102" s="1616">
        <v>-524300</v>
      </c>
      <c r="AL102" s="1616">
        <v>-524300</v>
      </c>
      <c r="AM102" s="1616">
        <v>-524300</v>
      </c>
      <c r="AN102" s="1616">
        <v>-524300</v>
      </c>
      <c r="AP102" s="498"/>
    </row>
    <row r="103" spans="1:42" ht="18" customHeight="1">
      <c r="A103" s="498"/>
      <c r="D103" s="1593">
        <v>124200</v>
      </c>
      <c r="E103" s="1359" t="s">
        <v>5</v>
      </c>
      <c r="F103" s="1361">
        <v>2407</v>
      </c>
      <c r="G103" s="1359" t="s">
        <v>92</v>
      </c>
      <c r="H103" s="498">
        <v>1993149866</v>
      </c>
      <c r="I103" s="498">
        <v>0</v>
      </c>
      <c r="J103" s="710">
        <v>0</v>
      </c>
      <c r="K103" s="710">
        <v>0</v>
      </c>
      <c r="L103" s="510">
        <f t="shared" si="32"/>
        <v>1993149866</v>
      </c>
      <c r="N103" s="1667">
        <f>SUMIF('1.0'!$D:$D,T_BS!D103,'1.0'!$V:$V)</f>
        <v>0</v>
      </c>
      <c r="O103" s="710">
        <f>SUMIF('2.0'!$D:$D,T_BS!D103,'2.0'!$V:$V)</f>
        <v>0</v>
      </c>
      <c r="P103" s="509">
        <f>ROUND(SUMIF('3.0'!$D:$D,T_BS!D103,'3.0'!$H:$H),0)</f>
        <v>0</v>
      </c>
      <c r="Q103" s="720">
        <f>ROUND(SUMIF('4.0'!$D:$D,T_BS!D103,'4.0'!$V:$V),0)</f>
        <v>0</v>
      </c>
      <c r="R103" s="509">
        <f>ROUND(SUMIF('5.0'!$D:$D,T_BS!D103,'5.0'!$V:$V),0)</f>
        <v>0</v>
      </c>
      <c r="S103" s="720">
        <f>ROUND(SUMIF('6.0'!$D:$D,T_BS!D103,'6.0'!$V:$V),0)</f>
        <v>0</v>
      </c>
      <c r="T103" s="720">
        <f>ROUND(SUMIF('7.0'!$D:$D,T_BS!D103,'7.0'!$V:$V),0)</f>
        <v>0</v>
      </c>
      <c r="U103" s="720">
        <f>ROUND(SUMIF('8.0'!$D:$D,T_BS!D103,'8.0'!$H:$H),0)</f>
        <v>0</v>
      </c>
      <c r="V103" s="510">
        <f t="shared" si="33"/>
        <v>0</v>
      </c>
      <c r="X103" s="1641">
        <f t="shared" si="34"/>
        <v>1993149866</v>
      </c>
      <c r="Z103" s="1616">
        <f t="shared" si="35"/>
        <v>-1124396407</v>
      </c>
      <c r="AB103" s="1616">
        <v>3429406621</v>
      </c>
      <c r="AC103" s="1616">
        <v>3393106621</v>
      </c>
      <c r="AD103" s="1616">
        <v>3387306621</v>
      </c>
      <c r="AE103" s="1616">
        <v>3333394965</v>
      </c>
      <c r="AF103" s="1616">
        <v>3280794965</v>
      </c>
      <c r="AG103" s="1616">
        <v>3259433865</v>
      </c>
      <c r="AH103" s="1616">
        <v>3159510305</v>
      </c>
      <c r="AI103" s="1616">
        <v>3117546273</v>
      </c>
      <c r="AJ103" s="1616">
        <v>3550429644</v>
      </c>
      <c r="AK103" s="1616">
        <v>3550429644</v>
      </c>
      <c r="AL103" s="1616">
        <v>3154019184</v>
      </c>
      <c r="AM103" s="1616">
        <v>3008819184</v>
      </c>
      <c r="AN103" s="1616">
        <v>3004319184</v>
      </c>
      <c r="AP103" s="498"/>
    </row>
    <row r="104" spans="1:42" ht="18" customHeight="1">
      <c r="A104" s="498"/>
      <c r="D104" s="1593">
        <v>124250</v>
      </c>
      <c r="E104" s="1359" t="s">
        <v>5</v>
      </c>
      <c r="F104" s="1361">
        <v>2408</v>
      </c>
      <c r="G104" s="1359" t="s">
        <v>93</v>
      </c>
      <c r="H104" s="498">
        <v>-1426018563</v>
      </c>
      <c r="I104" s="498">
        <v>0</v>
      </c>
      <c r="J104" s="710">
        <v>0</v>
      </c>
      <c r="K104" s="710">
        <v>0</v>
      </c>
      <c r="L104" s="510">
        <f t="shared" si="32"/>
        <v>-1426018563</v>
      </c>
      <c r="N104" s="1667">
        <f>SUMIF('1.0'!$D:$D,T_BS!D104,'1.0'!$V:$V)</f>
        <v>0</v>
      </c>
      <c r="O104" s="710">
        <f>SUMIF('2.0'!$D:$D,T_BS!D104,'2.0'!$V:$V)</f>
        <v>0</v>
      </c>
      <c r="P104" s="509">
        <f>ROUND(SUMIF('3.0'!$D:$D,T_BS!D104,'3.0'!$H:$H),0)</f>
        <v>0</v>
      </c>
      <c r="Q104" s="720">
        <f>ROUND(SUMIF('4.0'!$D:$D,T_BS!D104,'4.0'!$V:$V),0)</f>
        <v>0</v>
      </c>
      <c r="R104" s="509">
        <f>ROUND(SUMIF('5.0'!$D:$D,T_BS!D104,'5.0'!$V:$V),0)</f>
        <v>0</v>
      </c>
      <c r="S104" s="720">
        <f>ROUND(SUMIF('6.0'!$D:$D,T_BS!D104,'6.0'!$V:$V),0)</f>
        <v>0</v>
      </c>
      <c r="T104" s="720">
        <f>ROUND(SUMIF('7.0'!$D:$D,T_BS!D104,'7.0'!$V:$V),0)</f>
        <v>0</v>
      </c>
      <c r="U104" s="720">
        <f>ROUND(SUMIF('8.0'!$D:$D,T_BS!D104,'8.0'!$H:$H),0)</f>
        <v>0</v>
      </c>
      <c r="V104" s="510">
        <f t="shared" si="33"/>
        <v>0</v>
      </c>
      <c r="X104" s="1641">
        <f t="shared" si="34"/>
        <v>-1426018563</v>
      </c>
      <c r="Z104" s="1616">
        <f t="shared" si="35"/>
        <v>669239610</v>
      </c>
      <c r="AB104" s="1616">
        <v>-2643880205</v>
      </c>
      <c r="AC104" s="1616">
        <v>-2600385613</v>
      </c>
      <c r="AD104" s="1616">
        <v>-2558403519</v>
      </c>
      <c r="AE104" s="1616">
        <v>-2527104743</v>
      </c>
      <c r="AF104" s="1616">
        <v>-2480114280</v>
      </c>
      <c r="AG104" s="1616">
        <v>-2432689959</v>
      </c>
      <c r="AH104" s="1616">
        <v>-2266921306</v>
      </c>
      <c r="AI104" s="1616">
        <v>-2095258173</v>
      </c>
      <c r="AJ104" s="1616">
        <v>-2730577959</v>
      </c>
      <c r="AK104" s="1616">
        <v>-2680151052</v>
      </c>
      <c r="AL104" s="1616">
        <v>-2543356996</v>
      </c>
      <c r="AM104" s="1616">
        <v>-2439881255</v>
      </c>
      <c r="AN104" s="1616">
        <v>-2329952243</v>
      </c>
      <c r="AP104" s="498"/>
    </row>
    <row r="105" spans="1:42" ht="18" customHeight="1">
      <c r="A105" s="498"/>
      <c r="D105" s="1593">
        <v>124260</v>
      </c>
      <c r="E105" s="1359" t="s">
        <v>5</v>
      </c>
      <c r="F105" s="1361">
        <v>2409</v>
      </c>
      <c r="G105" s="1359" t="s">
        <v>94</v>
      </c>
      <c r="H105" s="498">
        <v>0</v>
      </c>
      <c r="I105" s="498">
        <v>0</v>
      </c>
      <c r="J105" s="710">
        <v>0</v>
      </c>
      <c r="K105" s="710">
        <v>0</v>
      </c>
      <c r="L105" s="510">
        <f t="shared" si="32"/>
        <v>0</v>
      </c>
      <c r="N105" s="1667">
        <f>SUMIF('1.0'!$D:$D,T_BS!D105,'1.0'!$V:$V)</f>
        <v>0</v>
      </c>
      <c r="O105" s="710">
        <f>SUMIF('2.0'!$D:$D,T_BS!D105,'2.0'!$V:$V)</f>
        <v>0</v>
      </c>
      <c r="P105" s="509">
        <f>ROUND(SUMIF('3.0'!$D:$D,T_BS!D105,'3.0'!$H:$H),0)</f>
        <v>0</v>
      </c>
      <c r="Q105" s="720">
        <f>ROUND(SUMIF('4.0'!$D:$D,T_BS!D105,'4.0'!$V:$V),0)</f>
        <v>0</v>
      </c>
      <c r="R105" s="509">
        <f>ROUND(SUMIF('5.0'!$D:$D,T_BS!D105,'5.0'!$V:$V),0)</f>
        <v>0</v>
      </c>
      <c r="S105" s="720">
        <f>ROUND(SUMIF('6.0'!$D:$D,T_BS!D105,'6.0'!$V:$V),0)</f>
        <v>0</v>
      </c>
      <c r="T105" s="720">
        <f>ROUND(SUMIF('7.0'!$D:$D,T_BS!D105,'7.0'!$V:$V),0)</f>
        <v>0</v>
      </c>
      <c r="U105" s="720">
        <f>ROUND(SUMIF('8.0'!$D:$D,T_BS!D105,'8.0'!$H:$H),0)</f>
        <v>0</v>
      </c>
      <c r="V105" s="510">
        <f t="shared" si="33"/>
        <v>0</v>
      </c>
      <c r="X105" s="1641">
        <f t="shared" si="34"/>
        <v>0</v>
      </c>
      <c r="Z105" s="1616">
        <f t="shared" si="35"/>
        <v>202938768</v>
      </c>
      <c r="AB105" s="1616">
        <v>-265588806</v>
      </c>
      <c r="AC105" s="1616">
        <v>-265588806</v>
      </c>
      <c r="AD105" s="1616">
        <v>-265588806</v>
      </c>
      <c r="AE105" s="1616">
        <v>-202938768</v>
      </c>
      <c r="AF105" s="1616">
        <v>-202938768</v>
      </c>
      <c r="AG105" s="1616">
        <v>-202938768</v>
      </c>
      <c r="AH105" s="1616">
        <v>-202938768</v>
      </c>
      <c r="AI105" s="1616">
        <v>-202938768</v>
      </c>
      <c r="AJ105" s="1616">
        <v>-202938768</v>
      </c>
      <c r="AK105" s="1616">
        <v>-202938768</v>
      </c>
      <c r="AL105" s="1616">
        <v>-202938768</v>
      </c>
      <c r="AM105" s="1616">
        <v>-202938768</v>
      </c>
      <c r="AN105" s="1616">
        <v>-202938768</v>
      </c>
      <c r="AP105" s="498"/>
    </row>
    <row r="106" spans="1:42" ht="18" customHeight="1">
      <c r="A106" s="498"/>
      <c r="D106" s="1593">
        <v>124300</v>
      </c>
      <c r="E106" s="1359" t="s">
        <v>5</v>
      </c>
      <c r="F106" s="1361">
        <v>2413</v>
      </c>
      <c r="G106" s="1359" t="s">
        <v>95</v>
      </c>
      <c r="H106" s="498">
        <v>3723592716</v>
      </c>
      <c r="I106" s="498">
        <v>14490000</v>
      </c>
      <c r="J106" s="710">
        <v>98907402</v>
      </c>
      <c r="K106" s="710">
        <v>61203068</v>
      </c>
      <c r="L106" s="510">
        <f t="shared" si="32"/>
        <v>3898193186</v>
      </c>
      <c r="N106" s="1667">
        <f>SUMIF('1.0'!$D:$D,T_BS!D106,'1.0'!$V:$V)</f>
        <v>0</v>
      </c>
      <c r="O106" s="710">
        <f>SUMIF('2.0'!$D:$D,T_BS!D106,'2.0'!$V:$V)</f>
        <v>0</v>
      </c>
      <c r="P106" s="509">
        <f>ROUND(SUMIF('3.0'!$D:$D,T_BS!D106,'3.0'!$H:$H),0)</f>
        <v>0</v>
      </c>
      <c r="Q106" s="720">
        <f>ROUND(SUMIF('4.0'!$D:$D,T_BS!D106,'4.0'!$V:$V),0)</f>
        <v>0</v>
      </c>
      <c r="R106" s="509">
        <f>ROUND(SUMIF('5.0'!$D:$D,T_BS!D106,'5.0'!$V:$V),0)</f>
        <v>0</v>
      </c>
      <c r="S106" s="720">
        <f>ROUND(SUMIF('6.0'!$D:$D,T_BS!D106,'6.0'!$V:$V),0)</f>
        <v>0</v>
      </c>
      <c r="T106" s="720">
        <f>ROUND(SUMIF('7.0'!$D:$D,T_BS!D106,'7.0'!$V:$V),0)</f>
        <v>0</v>
      </c>
      <c r="U106" s="720">
        <f>ROUND(SUMIF('8.0'!$D:$D,T_BS!D106,'8.0'!$H:$H),0)</f>
        <v>0</v>
      </c>
      <c r="V106" s="510">
        <f t="shared" si="33"/>
        <v>0</v>
      </c>
      <c r="X106" s="1641">
        <f t="shared" si="34"/>
        <v>3898193186</v>
      </c>
      <c r="Z106" s="1616">
        <f t="shared" si="35"/>
        <v>-945880723</v>
      </c>
      <c r="AB106" s="1616">
        <v>4801039027</v>
      </c>
      <c r="AC106" s="1616">
        <v>4804026201</v>
      </c>
      <c r="AD106" s="1616">
        <v>4788047061</v>
      </c>
      <c r="AE106" s="1616">
        <v>4772708899</v>
      </c>
      <c r="AF106" s="1616">
        <v>4719794005</v>
      </c>
      <c r="AG106" s="1616">
        <v>4710550725</v>
      </c>
      <c r="AH106" s="1616">
        <v>4999820613</v>
      </c>
      <c r="AI106" s="1616">
        <v>4844073909</v>
      </c>
      <c r="AJ106" s="1616">
        <v>4700510916</v>
      </c>
      <c r="AK106" s="1616">
        <v>4544581417</v>
      </c>
      <c r="AL106" s="1616">
        <v>4436368294</v>
      </c>
      <c r="AM106" s="1616">
        <v>4893734518</v>
      </c>
      <c r="AN106" s="1616">
        <v>4516482740</v>
      </c>
      <c r="AP106" s="498"/>
    </row>
    <row r="107" spans="1:42" ht="18" customHeight="1">
      <c r="A107" s="498"/>
      <c r="D107" s="1593">
        <v>124350</v>
      </c>
      <c r="E107" s="1359" t="s">
        <v>5</v>
      </c>
      <c r="F107" s="1361">
        <v>2414</v>
      </c>
      <c r="G107" s="1359" t="s">
        <v>96</v>
      </c>
      <c r="H107" s="498">
        <v>-2405737606</v>
      </c>
      <c r="I107" s="498">
        <v>-3372832</v>
      </c>
      <c r="J107" s="710">
        <v>-79854068</v>
      </c>
      <c r="K107" s="710">
        <v>-29948506</v>
      </c>
      <c r="L107" s="510">
        <f t="shared" si="32"/>
        <v>-2518913012</v>
      </c>
      <c r="N107" s="1667">
        <f>SUMIF('1.0'!$D:$D,T_BS!D107,'1.0'!$V:$V)</f>
        <v>0</v>
      </c>
      <c r="O107" s="710">
        <f>SUMIF('2.0'!$D:$D,T_BS!D107,'2.0'!$V:$V)</f>
        <v>0</v>
      </c>
      <c r="P107" s="509">
        <f>ROUND(SUMIF('3.0'!$D:$D,T_BS!D107,'3.0'!$H:$H),0)</f>
        <v>0</v>
      </c>
      <c r="Q107" s="720">
        <f>ROUND(SUMIF('4.0'!$D:$D,T_BS!D107,'4.0'!$V:$V),0)</f>
        <v>0</v>
      </c>
      <c r="R107" s="509">
        <f>ROUND(SUMIF('5.0'!$D:$D,T_BS!D107,'5.0'!$V:$V),0)</f>
        <v>0</v>
      </c>
      <c r="S107" s="720">
        <f>ROUND(SUMIF('6.0'!$D:$D,T_BS!D107,'6.0'!$V:$V),0)</f>
        <v>0</v>
      </c>
      <c r="T107" s="720">
        <f>ROUND(SUMIF('7.0'!$D:$D,T_BS!D107,'7.0'!$V:$V),0)</f>
        <v>0</v>
      </c>
      <c r="U107" s="720">
        <f>ROUND(SUMIF('8.0'!$D:$D,T_BS!D107,'8.0'!$H:$H),0)</f>
        <v>0</v>
      </c>
      <c r="V107" s="510">
        <f t="shared" si="33"/>
        <v>0</v>
      </c>
      <c r="X107" s="1641">
        <f t="shared" si="34"/>
        <v>-2518913012</v>
      </c>
      <c r="Z107" s="1616">
        <f t="shared" si="35"/>
        <v>129320642</v>
      </c>
      <c r="AB107" s="1616">
        <v>-3142181293</v>
      </c>
      <c r="AC107" s="1616">
        <v>-3094930843</v>
      </c>
      <c r="AD107" s="1616">
        <v>-3058594112</v>
      </c>
      <c r="AE107" s="1616">
        <v>-2997901576</v>
      </c>
      <c r="AF107" s="1616">
        <v>-2940119249</v>
      </c>
      <c r="AG107" s="1616">
        <v>-2883908685</v>
      </c>
      <c r="AH107" s="1616">
        <v>-2815961855</v>
      </c>
      <c r="AI107" s="1616">
        <v>-2648233654</v>
      </c>
      <c r="AJ107" s="1616">
        <v>-2350801555</v>
      </c>
      <c r="AK107" s="1616">
        <v>-2308940933</v>
      </c>
      <c r="AL107" s="1616">
        <v>-2190348666</v>
      </c>
      <c r="AM107" s="1616">
        <v>-2569289018</v>
      </c>
      <c r="AN107" s="1616">
        <v>-2440259159</v>
      </c>
      <c r="AP107" s="498"/>
    </row>
    <row r="108" spans="1:42" ht="18" customHeight="1">
      <c r="A108" s="498"/>
      <c r="D108" s="1593">
        <v>124360</v>
      </c>
      <c r="E108" s="1359" t="s">
        <v>5</v>
      </c>
      <c r="F108" s="1361">
        <v>2415</v>
      </c>
      <c r="G108" s="1359" t="s">
        <v>97</v>
      </c>
      <c r="H108" s="498">
        <v>-9616222</v>
      </c>
      <c r="I108" s="498">
        <v>0</v>
      </c>
      <c r="J108" s="710">
        <v>0</v>
      </c>
      <c r="K108" s="710">
        <v>0</v>
      </c>
      <c r="L108" s="510">
        <f t="shared" si="32"/>
        <v>-9616222</v>
      </c>
      <c r="N108" s="1667">
        <f>SUMIF('1.0'!$D:$D,T_BS!D108,'1.0'!$V:$V)</f>
        <v>0</v>
      </c>
      <c r="O108" s="710">
        <f>SUMIF('2.0'!$D:$D,T_BS!D108,'2.0'!$V:$V)</f>
        <v>0</v>
      </c>
      <c r="P108" s="509">
        <f>ROUND(SUMIF('3.0'!$D:$D,T_BS!D108,'3.0'!$H:$H),0)</f>
        <v>0</v>
      </c>
      <c r="Q108" s="720">
        <f>ROUND(SUMIF('4.0'!$D:$D,T_BS!D108,'4.0'!$V:$V),0)</f>
        <v>0</v>
      </c>
      <c r="R108" s="509">
        <f>ROUND(SUMIF('5.0'!$D:$D,T_BS!D108,'5.0'!$V:$V),0)</f>
        <v>0</v>
      </c>
      <c r="S108" s="720">
        <f>ROUND(SUMIF('6.0'!$D:$D,T_BS!D108,'6.0'!$V:$V),0)</f>
        <v>0</v>
      </c>
      <c r="T108" s="720">
        <f>ROUND(SUMIF('7.0'!$D:$D,T_BS!D108,'7.0'!$V:$V),0)</f>
        <v>0</v>
      </c>
      <c r="U108" s="720">
        <f>ROUND(SUMIF('8.0'!$D:$D,T_BS!D108,'8.0'!$H:$H),0)</f>
        <v>0</v>
      </c>
      <c r="V108" s="510">
        <f t="shared" si="33"/>
        <v>0</v>
      </c>
      <c r="X108" s="1641">
        <f t="shared" si="34"/>
        <v>-9616222</v>
      </c>
      <c r="Z108" s="1616">
        <f t="shared" si="35"/>
        <v>497278082</v>
      </c>
      <c r="AB108" s="1616">
        <v>-235586662</v>
      </c>
      <c r="AC108" s="1616">
        <v>-235586662</v>
      </c>
      <c r="AD108" s="1616">
        <v>-235586662</v>
      </c>
      <c r="AE108" s="1616">
        <v>-235586662</v>
      </c>
      <c r="AF108" s="1616">
        <v>-235355578</v>
      </c>
      <c r="AG108" s="1616">
        <v>-235355578</v>
      </c>
      <c r="AH108" s="1616">
        <v>-506894304</v>
      </c>
      <c r="AI108" s="1616">
        <v>-506894304</v>
      </c>
      <c r="AJ108" s="1616">
        <v>-536564494</v>
      </c>
      <c r="AK108" s="1616">
        <v>-539840294</v>
      </c>
      <c r="AL108" s="1616">
        <v>-539840294</v>
      </c>
      <c r="AM108" s="1616">
        <v>-540095083</v>
      </c>
      <c r="AN108" s="1616">
        <v>-540095083</v>
      </c>
      <c r="AP108" s="498"/>
    </row>
    <row r="109" spans="1:42" ht="18" customHeight="1">
      <c r="A109" s="498"/>
      <c r="D109" s="1593">
        <v>124400</v>
      </c>
      <c r="E109" s="1359" t="s">
        <v>5</v>
      </c>
      <c r="F109" s="1361">
        <v>2413</v>
      </c>
      <c r="G109" s="1359" t="s">
        <v>98</v>
      </c>
      <c r="H109" s="498">
        <v>1070792369</v>
      </c>
      <c r="I109" s="498">
        <v>3350000</v>
      </c>
      <c r="J109" s="710">
        <v>0</v>
      </c>
      <c r="K109" s="710">
        <v>0</v>
      </c>
      <c r="L109" s="510">
        <f t="shared" si="32"/>
        <v>1074142369</v>
      </c>
      <c r="N109" s="1667">
        <f>SUMIF('1.0'!$D:$D,T_BS!D109,'1.0'!$V:$V)</f>
        <v>0</v>
      </c>
      <c r="O109" s="710">
        <f>SUMIF('2.0'!$D:$D,T_BS!D109,'2.0'!$V:$V)</f>
        <v>0</v>
      </c>
      <c r="P109" s="509">
        <f>ROUND(SUMIF('3.0'!$D:$D,T_BS!D109,'3.0'!$H:$H),0)</f>
        <v>0</v>
      </c>
      <c r="Q109" s="720">
        <f>ROUND(SUMIF('4.0'!$D:$D,T_BS!D109,'4.0'!$V:$V),0)</f>
        <v>0</v>
      </c>
      <c r="R109" s="509">
        <f>ROUND(SUMIF('5.0'!$D:$D,T_BS!D109,'5.0'!$V:$V),0)</f>
        <v>0</v>
      </c>
      <c r="S109" s="720">
        <f>ROUND(SUMIF('6.0'!$D:$D,T_BS!D109,'6.0'!$V:$V),0)</f>
        <v>0</v>
      </c>
      <c r="T109" s="720">
        <f>ROUND(SUMIF('7.0'!$D:$D,T_BS!D109,'7.0'!$V:$V),0)</f>
        <v>0</v>
      </c>
      <c r="U109" s="720">
        <f>ROUND(SUMIF('8.0'!$D:$D,T_BS!D109,'8.0'!$H:$H),0)</f>
        <v>0</v>
      </c>
      <c r="V109" s="510">
        <f t="shared" si="33"/>
        <v>0</v>
      </c>
      <c r="X109" s="1641">
        <f t="shared" si="34"/>
        <v>1074142369</v>
      </c>
      <c r="Z109" s="1616">
        <f t="shared" si="35"/>
        <v>-2290407249</v>
      </c>
      <c r="AB109" s="1616">
        <v>1099342369</v>
      </c>
      <c r="AC109" s="1616">
        <v>1099342369</v>
      </c>
      <c r="AD109" s="1616">
        <v>1099342369</v>
      </c>
      <c r="AE109" s="1616">
        <v>1099342369</v>
      </c>
      <c r="AF109" s="1616">
        <v>1099342369</v>
      </c>
      <c r="AG109" s="1616">
        <v>1099342369</v>
      </c>
      <c r="AH109" s="1616">
        <v>3367899618</v>
      </c>
      <c r="AI109" s="1616">
        <v>3364549618</v>
      </c>
      <c r="AJ109" s="1616">
        <v>3293114228</v>
      </c>
      <c r="AK109" s="1616">
        <v>3029894228</v>
      </c>
      <c r="AL109" s="1616">
        <v>3029894228</v>
      </c>
      <c r="AM109" s="1616">
        <v>3029894228</v>
      </c>
      <c r="AN109" s="1616">
        <v>3029894228</v>
      </c>
      <c r="AP109" s="498"/>
    </row>
    <row r="110" spans="1:42" ht="18" customHeight="1">
      <c r="A110" s="498"/>
      <c r="D110" s="1593">
        <v>124450</v>
      </c>
      <c r="E110" s="1359" t="s">
        <v>5</v>
      </c>
      <c r="F110" s="1361">
        <v>2414</v>
      </c>
      <c r="G110" s="1359" t="s">
        <v>99</v>
      </c>
      <c r="H110" s="498">
        <v>-810509992</v>
      </c>
      <c r="I110" s="498">
        <v>-762500</v>
      </c>
      <c r="J110" s="710">
        <v>0</v>
      </c>
      <c r="K110" s="710">
        <v>0</v>
      </c>
      <c r="L110" s="510">
        <f t="shared" si="32"/>
        <v>-811272492</v>
      </c>
      <c r="N110" s="1667">
        <f>SUMIF('1.0'!$D:$D,T_BS!D110,'1.0'!$V:$V)</f>
        <v>0</v>
      </c>
      <c r="O110" s="710">
        <f>SUMIF('2.0'!$D:$D,T_BS!D110,'2.0'!$V:$V)</f>
        <v>0</v>
      </c>
      <c r="P110" s="509">
        <f>ROUND(SUMIF('3.0'!$D:$D,T_BS!D110,'3.0'!$H:$H),0)</f>
        <v>0</v>
      </c>
      <c r="Q110" s="720">
        <f>ROUND(SUMIF('4.0'!$D:$D,T_BS!D110,'4.0'!$V:$V),0)</f>
        <v>0</v>
      </c>
      <c r="R110" s="509">
        <f>ROUND(SUMIF('5.0'!$D:$D,T_BS!D110,'5.0'!$V:$V),0)</f>
        <v>0</v>
      </c>
      <c r="S110" s="720">
        <f>ROUND(SUMIF('6.0'!$D:$D,T_BS!D110,'6.0'!$V:$V),0)</f>
        <v>0</v>
      </c>
      <c r="T110" s="720">
        <f>ROUND(SUMIF('7.0'!$D:$D,T_BS!D110,'7.0'!$V:$V),0)</f>
        <v>0</v>
      </c>
      <c r="U110" s="720">
        <f>ROUND(SUMIF('8.0'!$D:$D,T_BS!D110,'8.0'!$H:$H),0)</f>
        <v>0</v>
      </c>
      <c r="V110" s="510">
        <f t="shared" si="33"/>
        <v>0</v>
      </c>
      <c r="X110" s="1641">
        <f t="shared" si="34"/>
        <v>-811272492</v>
      </c>
      <c r="Z110" s="1616">
        <f t="shared" si="35"/>
        <v>512185485</v>
      </c>
      <c r="AB110" s="1616">
        <v>-806571472</v>
      </c>
      <c r="AC110" s="1616">
        <v>-800610467</v>
      </c>
      <c r="AD110" s="1616">
        <v>-794649462</v>
      </c>
      <c r="AE110" s="1616">
        <v>-787860660</v>
      </c>
      <c r="AF110" s="1616">
        <v>-781071867</v>
      </c>
      <c r="AG110" s="1616">
        <v>-774283074</v>
      </c>
      <c r="AH110" s="1616">
        <v>-1343916857</v>
      </c>
      <c r="AI110" s="1616">
        <v>-1323457977</v>
      </c>
      <c r="AJ110" s="1616">
        <v>-1309303077</v>
      </c>
      <c r="AK110" s="1616">
        <v>-1310495535</v>
      </c>
      <c r="AL110" s="1616">
        <v>-1307238909</v>
      </c>
      <c r="AM110" s="1616">
        <v>-1303982283</v>
      </c>
      <c r="AN110" s="1616">
        <v>-1300725657</v>
      </c>
      <c r="AP110" s="498"/>
    </row>
    <row r="111" spans="1:42" ht="18" customHeight="1">
      <c r="A111" s="498"/>
      <c r="D111" s="1593">
        <v>124600</v>
      </c>
      <c r="E111" s="1359" t="s">
        <v>5</v>
      </c>
      <c r="F111" s="1361">
        <v>2415</v>
      </c>
      <c r="G111" s="1359" t="s">
        <v>100</v>
      </c>
      <c r="H111" s="498">
        <v>0</v>
      </c>
      <c r="I111" s="498">
        <v>0</v>
      </c>
      <c r="J111" s="710">
        <v>0</v>
      </c>
      <c r="K111" s="710">
        <v>0</v>
      </c>
      <c r="L111" s="510">
        <f t="shared" si="32"/>
        <v>0</v>
      </c>
      <c r="N111" s="1667">
        <f>SUMIF('1.0'!$D:$D,T_BS!D111,'1.0'!$V:$V)</f>
        <v>0</v>
      </c>
      <c r="O111" s="710">
        <f>SUMIF('2.0'!$D:$D,T_BS!D111,'2.0'!$V:$V)</f>
        <v>0</v>
      </c>
      <c r="P111" s="509">
        <f>ROUND(SUMIF('3.0'!$D:$D,T_BS!D111,'3.0'!$H:$H),0)</f>
        <v>0</v>
      </c>
      <c r="Q111" s="720">
        <f>ROUND(SUMIF('4.0'!$D:$D,T_BS!D111,'4.0'!$V:$V),0)</f>
        <v>0</v>
      </c>
      <c r="R111" s="509">
        <f>ROUND(SUMIF('5.0'!$D:$D,T_BS!D111,'5.0'!$V:$V),0)</f>
        <v>0</v>
      </c>
      <c r="S111" s="720">
        <f>ROUND(SUMIF('6.0'!$D:$D,T_BS!D111,'6.0'!$V:$V),0)</f>
        <v>0</v>
      </c>
      <c r="T111" s="720">
        <f>ROUND(SUMIF('7.0'!$D:$D,T_BS!D111,'7.0'!$V:$V),0)</f>
        <v>0</v>
      </c>
      <c r="U111" s="720">
        <f>ROUND(SUMIF('8.0'!$D:$D,T_BS!D111,'8.0'!$H:$H),0)</f>
        <v>0</v>
      </c>
      <c r="V111" s="510">
        <f t="shared" si="33"/>
        <v>0</v>
      </c>
      <c r="X111" s="1641">
        <f t="shared" si="34"/>
        <v>0</v>
      </c>
      <c r="Z111" s="1616">
        <f t="shared" si="35"/>
        <v>1702497086</v>
      </c>
      <c r="AB111" s="1616">
        <v>-23940000</v>
      </c>
      <c r="AC111" s="1616">
        <v>-23940000</v>
      </c>
      <c r="AD111" s="1616">
        <v>-23940000</v>
      </c>
      <c r="AE111" s="1616">
        <v>-23940000</v>
      </c>
      <c r="AF111" s="1616">
        <v>-23940000</v>
      </c>
      <c r="AG111" s="1616">
        <v>-23940000</v>
      </c>
      <c r="AH111" s="1616">
        <v>-1702497086</v>
      </c>
      <c r="AI111" s="1616">
        <v>-1702497086</v>
      </c>
      <c r="AJ111" s="1616">
        <v>-1702497086</v>
      </c>
      <c r="AK111" s="1616">
        <v>-1702497086</v>
      </c>
      <c r="AL111" s="1616">
        <v>-1702497086</v>
      </c>
      <c r="AM111" s="1616">
        <v>-1702497086</v>
      </c>
      <c r="AN111" s="1616">
        <v>-1702497086</v>
      </c>
      <c r="AP111" s="498"/>
    </row>
    <row r="112" spans="1:42" ht="18" customHeight="1">
      <c r="A112" s="498"/>
      <c r="D112" s="1593">
        <v>126100</v>
      </c>
      <c r="E112" s="1359" t="s">
        <v>5</v>
      </c>
      <c r="F112" s="1361">
        <v>2701</v>
      </c>
      <c r="G112" s="1359" t="s">
        <v>101</v>
      </c>
      <c r="H112" s="498">
        <v>12952718353</v>
      </c>
      <c r="I112" s="498">
        <v>387747500</v>
      </c>
      <c r="J112" s="710">
        <v>86974491</v>
      </c>
      <c r="K112" s="710">
        <v>848038069</v>
      </c>
      <c r="L112" s="510">
        <f t="shared" si="32"/>
        <v>14275478413</v>
      </c>
      <c r="N112" s="1667">
        <f>SUMIF('1.0'!$D:$D,T_BS!D112,'1.0'!$V:$V)</f>
        <v>0</v>
      </c>
      <c r="O112" s="710">
        <f>SUMIF('2.0'!$D:$D,T_BS!D112,'2.0'!$V:$V)</f>
        <v>0</v>
      </c>
      <c r="P112" s="509">
        <f>ROUND(SUMIF('3.0'!$D:$D,T_BS!D112,'3.0'!$H:$H),0)</f>
        <v>0</v>
      </c>
      <c r="Q112" s="720">
        <f>ROUND(SUMIF('4.0'!$D:$D,T_BS!D112,'4.0'!$V:$V),0)</f>
        <v>0</v>
      </c>
      <c r="R112" s="509">
        <f>ROUND(SUMIF('5.0'!$D:$D,T_BS!D112,'5.0'!$V:$V),0)</f>
        <v>0</v>
      </c>
      <c r="S112" s="720">
        <f>ROUND(SUMIF('6.0'!$D:$D,T_BS!D112,'6.0'!$V:$V),0)</f>
        <v>0</v>
      </c>
      <c r="T112" s="720">
        <f>ROUND(SUMIF('7.0'!$D:$D,T_BS!D112,'7.0'!$V:$V),0)</f>
        <v>0</v>
      </c>
      <c r="U112" s="720">
        <f>ROUND(SUMIF('8.0'!$D:$D,T_BS!D112,'8.0'!$H:$H),0)</f>
        <v>0</v>
      </c>
      <c r="V112" s="510">
        <f t="shared" si="33"/>
        <v>0</v>
      </c>
      <c r="X112" s="1641">
        <f t="shared" si="34"/>
        <v>14275478413</v>
      </c>
      <c r="Z112" s="1616">
        <f t="shared" si="35"/>
        <v>4448746209</v>
      </c>
      <c r="AB112" s="1616">
        <v>9727918189</v>
      </c>
      <c r="AC112" s="1616">
        <v>9686853866</v>
      </c>
      <c r="AD112" s="1616">
        <v>9996118866</v>
      </c>
      <c r="AE112" s="1616">
        <v>9973023317</v>
      </c>
      <c r="AF112" s="1616">
        <v>9971419624</v>
      </c>
      <c r="AG112" s="1616">
        <v>9949632341</v>
      </c>
      <c r="AH112" s="1616">
        <v>9847882633</v>
      </c>
      <c r="AI112" s="1616">
        <v>9826732204</v>
      </c>
      <c r="AJ112" s="1616">
        <v>9327050975</v>
      </c>
      <c r="AK112" s="1616">
        <v>9356770655</v>
      </c>
      <c r="AL112" s="1616">
        <v>8908292044</v>
      </c>
      <c r="AM112" s="1616">
        <v>8827273911</v>
      </c>
      <c r="AN112" s="1616">
        <v>9322147241</v>
      </c>
      <c r="AP112" s="498"/>
    </row>
    <row r="113" spans="1:42" ht="18" customHeight="1">
      <c r="A113" s="498"/>
      <c r="D113" s="1593">
        <v>126110</v>
      </c>
      <c r="E113" s="1359" t="s">
        <v>5</v>
      </c>
      <c r="F113" s="1361">
        <v>2702</v>
      </c>
      <c r="G113" s="1359" t="s">
        <v>102</v>
      </c>
      <c r="H113" s="498">
        <v>-7806535616</v>
      </c>
      <c r="I113" s="498">
        <v>-258498336</v>
      </c>
      <c r="J113" s="710">
        <v>-46164200</v>
      </c>
      <c r="K113" s="710">
        <v>-526368510</v>
      </c>
      <c r="L113" s="510">
        <f t="shared" si="32"/>
        <v>-8637566662</v>
      </c>
      <c r="N113" s="1667">
        <f>SUMIF('1.0'!$D:$D,T_BS!D113,'1.0'!$V:$V)</f>
        <v>0</v>
      </c>
      <c r="O113" s="710">
        <f>SUMIF('2.0'!$D:$D,T_BS!D113,'2.0'!$V:$V)</f>
        <v>0</v>
      </c>
      <c r="P113" s="509">
        <f>ROUND(SUMIF('3.0'!$D:$D,T_BS!D113,'3.0'!$H:$H),0)</f>
        <v>0</v>
      </c>
      <c r="Q113" s="720">
        <f>ROUND(SUMIF('4.0'!$D:$D,T_BS!D113,'4.0'!$V:$V),0)</f>
        <v>0</v>
      </c>
      <c r="R113" s="509">
        <f>ROUND(SUMIF('5.0'!$D:$D,T_BS!D113,'5.0'!$V:$V),0)</f>
        <v>0</v>
      </c>
      <c r="S113" s="720">
        <f>ROUND(SUMIF('6.0'!$D:$D,T_BS!D113,'6.0'!$V:$V),0)</f>
        <v>0</v>
      </c>
      <c r="T113" s="720">
        <f>ROUND(SUMIF('7.0'!$D:$D,T_BS!D113,'7.0'!$V:$V),0)</f>
        <v>0</v>
      </c>
      <c r="U113" s="720">
        <f>ROUND(SUMIF('8.0'!$D:$D,T_BS!D113,'8.0'!$H:$H),0)</f>
        <v>0</v>
      </c>
      <c r="V113" s="510">
        <f t="shared" si="33"/>
        <v>0</v>
      </c>
      <c r="X113" s="1641">
        <f t="shared" si="34"/>
        <v>-8637566662</v>
      </c>
      <c r="Z113" s="1616">
        <f t="shared" si="35"/>
        <v>-2327975564</v>
      </c>
      <c r="AB113" s="1616">
        <v>-8303210268</v>
      </c>
      <c r="AC113" s="1616">
        <v>-8085785884</v>
      </c>
      <c r="AD113" s="1616">
        <v>-7874968911</v>
      </c>
      <c r="AE113" s="1616">
        <v>-7641505748</v>
      </c>
      <c r="AF113" s="1616">
        <v>-7419928287</v>
      </c>
      <c r="AG113" s="1616">
        <v>-7190628070</v>
      </c>
      <c r="AH113" s="1616">
        <v>-6965169771</v>
      </c>
      <c r="AI113" s="1616">
        <v>-6309591098</v>
      </c>
      <c r="AJ113" s="1616">
        <v>-5845494443</v>
      </c>
      <c r="AK113" s="1616">
        <v>-5624015720</v>
      </c>
      <c r="AL113" s="1616">
        <v>-5406719306</v>
      </c>
      <c r="AM113" s="1616">
        <v>-4800322119</v>
      </c>
      <c r="AN113" s="1616">
        <v>-4167328017</v>
      </c>
      <c r="AP113" s="498"/>
    </row>
    <row r="114" spans="1:42" ht="18" customHeight="1">
      <c r="A114" s="498"/>
      <c r="D114" s="1593">
        <v>126200</v>
      </c>
      <c r="E114" s="1359" t="s">
        <v>5</v>
      </c>
      <c r="F114" s="1361">
        <v>2801</v>
      </c>
      <c r="G114" s="1359" t="s">
        <v>103</v>
      </c>
      <c r="H114" s="498">
        <v>154590759</v>
      </c>
      <c r="I114" s="498">
        <v>0</v>
      </c>
      <c r="J114" s="710">
        <v>0</v>
      </c>
      <c r="K114" s="710">
        <v>0</v>
      </c>
      <c r="L114" s="510">
        <f t="shared" si="32"/>
        <v>154590759</v>
      </c>
      <c r="N114" s="1667">
        <f>SUMIF('1.0'!$D:$D,T_BS!D114,'1.0'!$V:$V)</f>
        <v>0</v>
      </c>
      <c r="O114" s="710">
        <f>SUMIF('2.0'!$D:$D,T_BS!D114,'2.0'!$V:$V)</f>
        <v>0</v>
      </c>
      <c r="P114" s="509">
        <f>ROUND(SUMIF('3.0'!$D:$D,T_BS!D114,'3.0'!$H:$H),0)</f>
        <v>0</v>
      </c>
      <c r="Q114" s="720">
        <f>ROUND(SUMIF('4.0'!$D:$D,T_BS!D114,'4.0'!$V:$V),0)</f>
        <v>0</v>
      </c>
      <c r="R114" s="509">
        <f>ROUND(SUMIF('5.0'!$D:$D,T_BS!D114,'5.0'!$V:$V),0)</f>
        <v>0</v>
      </c>
      <c r="S114" s="720">
        <f>ROUND(SUMIF('6.0'!$D:$D,T_BS!D114,'6.0'!$V:$V),0)</f>
        <v>0</v>
      </c>
      <c r="T114" s="720">
        <f>ROUND(SUMIF('7.0'!$D:$D,T_BS!D114,'7.0'!$V:$V),0)</f>
        <v>0</v>
      </c>
      <c r="U114" s="720">
        <f>ROUND(SUMIF('8.0'!$D:$D,T_BS!D114,'8.0'!$H:$H),0)</f>
        <v>0</v>
      </c>
      <c r="V114" s="510">
        <f t="shared" si="33"/>
        <v>0</v>
      </c>
      <c r="X114" s="1641">
        <f t="shared" si="34"/>
        <v>154590759</v>
      </c>
      <c r="Z114" s="1616">
        <f t="shared" si="35"/>
        <v>28074477</v>
      </c>
      <c r="AB114" s="1616">
        <v>154590759</v>
      </c>
      <c r="AC114" s="1616">
        <v>154590759</v>
      </c>
      <c r="AD114" s="1616">
        <v>154590759</v>
      </c>
      <c r="AE114" s="1616">
        <v>154590759</v>
      </c>
      <c r="AF114" s="1616">
        <v>154590759</v>
      </c>
      <c r="AG114" s="1616">
        <v>154590759</v>
      </c>
      <c r="AH114" s="1616">
        <v>154590759</v>
      </c>
      <c r="AI114" s="1616">
        <v>126516282</v>
      </c>
      <c r="AJ114" s="1616">
        <v>126516282</v>
      </c>
      <c r="AK114" s="1616">
        <v>126516282</v>
      </c>
      <c r="AL114" s="1616">
        <v>123786794</v>
      </c>
      <c r="AM114" s="1616">
        <v>123786794</v>
      </c>
      <c r="AN114" s="1616">
        <v>96167436</v>
      </c>
      <c r="AP114" s="498"/>
    </row>
    <row r="115" spans="1:42" ht="18" customHeight="1">
      <c r="A115" s="498"/>
      <c r="D115" s="1593">
        <v>126210</v>
      </c>
      <c r="E115" s="1359" t="s">
        <v>5</v>
      </c>
      <c r="F115" s="1361">
        <v>2802</v>
      </c>
      <c r="G115" s="1359" t="s">
        <v>104</v>
      </c>
      <c r="H115" s="498">
        <v>-68557268</v>
      </c>
      <c r="I115" s="498">
        <v>0</v>
      </c>
      <c r="J115" s="710">
        <v>0</v>
      </c>
      <c r="K115" s="710">
        <v>0</v>
      </c>
      <c r="L115" s="510">
        <f t="shared" si="32"/>
        <v>-68557268</v>
      </c>
      <c r="N115" s="1667">
        <f>SUMIF('1.0'!$D:$D,T_BS!D115,'1.0'!$V:$V)</f>
        <v>0</v>
      </c>
      <c r="O115" s="710">
        <f>SUMIF('2.0'!$D:$D,T_BS!D115,'2.0'!$V:$V)</f>
        <v>0</v>
      </c>
      <c r="P115" s="509">
        <f>ROUND(SUMIF('3.0'!$D:$D,T_BS!D115,'3.0'!$H:$H),0)</f>
        <v>0</v>
      </c>
      <c r="Q115" s="720">
        <f>ROUND(SUMIF('4.0'!$D:$D,T_BS!D115,'4.0'!$V:$V),0)</f>
        <v>0</v>
      </c>
      <c r="R115" s="509">
        <f>ROUND(SUMIF('5.0'!$D:$D,T_BS!D115,'5.0'!$V:$V),0)</f>
        <v>0</v>
      </c>
      <c r="S115" s="720">
        <f>ROUND(SUMIF('6.0'!$D:$D,T_BS!D115,'6.0'!$V:$V),0)</f>
        <v>0</v>
      </c>
      <c r="T115" s="720">
        <f>ROUND(SUMIF('7.0'!$D:$D,T_BS!D115,'7.0'!$V:$V),0)</f>
        <v>0</v>
      </c>
      <c r="U115" s="720">
        <f>ROUND(SUMIF('8.0'!$D:$D,T_BS!D115,'8.0'!$H:$H),0)</f>
        <v>0</v>
      </c>
      <c r="V115" s="510">
        <f t="shared" si="33"/>
        <v>0</v>
      </c>
      <c r="X115" s="1641">
        <f t="shared" si="34"/>
        <v>-68557268</v>
      </c>
      <c r="Z115" s="1616">
        <f t="shared" si="35"/>
        <v>-383138</v>
      </c>
      <c r="AB115" s="1616">
        <v>-64379138</v>
      </c>
      <c r="AC115" s="1616">
        <v>-60201010</v>
      </c>
      <c r="AD115" s="1616">
        <v>-56022880</v>
      </c>
      <c r="AE115" s="1616">
        <v>-51844752</v>
      </c>
      <c r="AF115" s="1616">
        <v>-47666622</v>
      </c>
      <c r="AG115" s="1616">
        <v>-43488494</v>
      </c>
      <c r="AH115" s="1616">
        <v>-30954106</v>
      </c>
      <c r="AI115" s="1616">
        <v>-68174130</v>
      </c>
      <c r="AJ115" s="1616">
        <v>-61101169</v>
      </c>
      <c r="AK115" s="1616">
        <v>-57564688</v>
      </c>
      <c r="AL115" s="1616">
        <v>-59265927</v>
      </c>
      <c r="AM115" s="1616">
        <v>-50122656</v>
      </c>
      <c r="AN115" s="1616">
        <v>-69983529</v>
      </c>
      <c r="AO115" s="1427"/>
      <c r="AP115" s="498"/>
    </row>
    <row r="116" spans="1:42" ht="18" customHeight="1">
      <c r="A116" s="498"/>
      <c r="D116" s="1673">
        <v>126300</v>
      </c>
      <c r="E116" s="1359" t="s">
        <v>5</v>
      </c>
      <c r="F116" s="1361">
        <v>2811</v>
      </c>
      <c r="G116" s="1360" t="s">
        <v>2621</v>
      </c>
      <c r="H116" s="498">
        <v>401358265</v>
      </c>
      <c r="I116" s="498">
        <v>0</v>
      </c>
      <c r="J116" s="710">
        <v>0</v>
      </c>
      <c r="K116" s="710">
        <v>0</v>
      </c>
      <c r="L116" s="510">
        <f t="shared" si="32"/>
        <v>401358265</v>
      </c>
      <c r="N116" s="1667">
        <f>SUMIF('1.0'!$D:$D,T_BS!D116,'1.0'!$V:$V)</f>
        <v>0</v>
      </c>
      <c r="O116" s="710">
        <f>SUMIF('2.0'!$D:$D,T_BS!D116,'2.0'!$V:$V)</f>
        <v>0</v>
      </c>
      <c r="P116" s="509">
        <f>ROUND(SUMIF('3.0'!$D:$D,T_BS!D116,'3.0'!$H:$H),0)</f>
        <v>0</v>
      </c>
      <c r="Q116" s="720">
        <f>ROUND(SUMIF('4.0'!$D:$D,T_BS!D116,'4.0'!$V:$V),0)</f>
        <v>0</v>
      </c>
      <c r="R116" s="509">
        <f>ROUND(SUMIF('5.0'!$D:$D,T_BS!D116,'5.0'!$V:$V),0)</f>
        <v>0</v>
      </c>
      <c r="S116" s="720">
        <f>ROUND(SUMIF('6.0'!$D:$D,T_BS!D116,'6.0'!$V:$V),0)</f>
        <v>0</v>
      </c>
      <c r="T116" s="720">
        <f>ROUND(SUMIF('7.0'!$D:$D,T_BS!D116,'7.0'!$V:$V),0)</f>
        <v>0</v>
      </c>
      <c r="U116" s="720">
        <f>ROUND(SUMIF('8.0'!$D:$D,T_BS!D116,'8.0'!$H:$H),0)</f>
        <v>0</v>
      </c>
      <c r="V116" s="510">
        <f>SUM(N116:U116)</f>
        <v>0</v>
      </c>
      <c r="X116" s="1641">
        <f t="shared" si="34"/>
        <v>401358265</v>
      </c>
      <c r="Z116" s="1616">
        <f t="shared" si="35"/>
        <v>156460493</v>
      </c>
      <c r="AB116" s="1616">
        <v>401358265</v>
      </c>
      <c r="AC116" s="1616">
        <v>244897772</v>
      </c>
      <c r="AD116" s="1616">
        <v>244897772</v>
      </c>
      <c r="AE116" s="1616">
        <v>244897772</v>
      </c>
      <c r="AF116" s="1616">
        <v>244897772</v>
      </c>
      <c r="AG116" s="1616">
        <v>244897772</v>
      </c>
      <c r="AH116" s="1616">
        <v>244897772</v>
      </c>
      <c r="AI116" s="1616">
        <v>244897772</v>
      </c>
      <c r="AJ116" s="1616">
        <v>244897772</v>
      </c>
      <c r="AK116" s="1616">
        <v>244897772</v>
      </c>
      <c r="AL116" s="1616">
        <v>244897772</v>
      </c>
      <c r="AM116" s="1616">
        <v>244897772</v>
      </c>
      <c r="AN116" s="1616">
        <v>244897772</v>
      </c>
      <c r="AO116" s="1427"/>
      <c r="AP116" s="498"/>
    </row>
    <row r="117" spans="1:42" ht="18" customHeight="1">
      <c r="A117" s="498"/>
      <c r="D117" s="1673">
        <v>126310</v>
      </c>
      <c r="E117" s="1359" t="s">
        <v>5</v>
      </c>
      <c r="F117" s="1361">
        <v>2812</v>
      </c>
      <c r="G117" s="1360" t="s">
        <v>2622</v>
      </c>
      <c r="H117" s="498">
        <v>-102639165</v>
      </c>
      <c r="I117" s="498">
        <v>0</v>
      </c>
      <c r="J117" s="710">
        <v>0</v>
      </c>
      <c r="K117" s="710">
        <v>0</v>
      </c>
      <c r="L117" s="510">
        <f t="shared" si="32"/>
        <v>-102639165</v>
      </c>
      <c r="N117" s="1667">
        <f>SUMIF('1.0'!$D:$D,T_BS!D117,'1.0'!$V:$V)</f>
        <v>0</v>
      </c>
      <c r="O117" s="710">
        <f>SUMIF('2.0'!$D:$D,T_BS!D117,'2.0'!$V:$V)</f>
        <v>0</v>
      </c>
      <c r="P117" s="509">
        <f>ROUND(SUMIF('3.0'!$D:$D,T_BS!D117,'3.0'!$H:$H),0)</f>
        <v>0</v>
      </c>
      <c r="Q117" s="720">
        <f>ROUND(SUMIF('4.0'!$D:$D,T_BS!D117,'4.0'!$V:$V),0)</f>
        <v>0</v>
      </c>
      <c r="R117" s="509">
        <f>ROUND(SUMIF('5.0'!$D:$D,T_BS!D117,'5.0'!$V:$V),0)</f>
        <v>0</v>
      </c>
      <c r="S117" s="720">
        <f>ROUND(SUMIF('6.0'!$D:$D,T_BS!D117,'6.0'!$V:$V),0)</f>
        <v>0</v>
      </c>
      <c r="T117" s="720">
        <f>ROUND(SUMIF('7.0'!$D:$D,T_BS!D117,'7.0'!$V:$V),0)</f>
        <v>0</v>
      </c>
      <c r="U117" s="720">
        <f>ROUND(SUMIF('8.0'!$D:$D,T_BS!D117,'8.0'!$H:$H),0)</f>
        <v>0</v>
      </c>
      <c r="V117" s="510">
        <f>SUM(N117:U117)</f>
        <v>0</v>
      </c>
      <c r="X117" s="1641">
        <f t="shared" si="34"/>
        <v>-102639165</v>
      </c>
      <c r="Z117" s="1616">
        <f t="shared" si="35"/>
        <v>-50447833</v>
      </c>
      <c r="AB117" s="1616">
        <v>-97488836</v>
      </c>
      <c r="AC117" s="1616">
        <v>-92338507</v>
      </c>
      <c r="AD117" s="1616">
        <v>-88323790</v>
      </c>
      <c r="AE117" s="1616">
        <v>-84309072</v>
      </c>
      <c r="AF117" s="1616">
        <v>-80294355</v>
      </c>
      <c r="AG117" s="1616">
        <v>-76279637</v>
      </c>
      <c r="AH117" s="1616">
        <v>-64235485</v>
      </c>
      <c r="AI117" s="1616">
        <v>-52191332</v>
      </c>
      <c r="AJ117" s="1616">
        <v>-44161897</v>
      </c>
      <c r="AK117" s="1616">
        <v>-40147180</v>
      </c>
      <c r="AL117" s="1616">
        <v>-28103026</v>
      </c>
      <c r="AM117" s="1616">
        <v>-16058872</v>
      </c>
      <c r="AN117" s="1616">
        <v>-4014718</v>
      </c>
      <c r="AP117" s="498"/>
    </row>
    <row r="118" spans="1:42" ht="18" customHeight="1">
      <c r="A118" s="498"/>
      <c r="D118" s="1633" t="s">
        <v>1345</v>
      </c>
      <c r="E118" s="1359" t="s">
        <v>5</v>
      </c>
      <c r="F118" s="1361">
        <v>2419</v>
      </c>
      <c r="G118" s="1359" t="s">
        <v>533</v>
      </c>
      <c r="H118" s="498">
        <v>179248982</v>
      </c>
      <c r="I118" s="498">
        <v>0</v>
      </c>
      <c r="J118" s="710">
        <v>0</v>
      </c>
      <c r="K118" s="710">
        <v>0</v>
      </c>
      <c r="L118" s="510">
        <f t="shared" si="32"/>
        <v>179248982</v>
      </c>
      <c r="N118" s="1667">
        <f>SUMIF('1.0'!$D:$D,T_BS!D118,'1.0'!$V:$V)</f>
        <v>0</v>
      </c>
      <c r="O118" s="710">
        <f>SUMIF('2.0'!$D:$D,T_BS!D118,'2.0'!$V:$V)</f>
        <v>0</v>
      </c>
      <c r="P118" s="509">
        <f>ROUND(SUMIF('3.0'!$D:$D,T_BS!D118,'3.0'!$H:$H),0)</f>
        <v>0</v>
      </c>
      <c r="Q118" s="720">
        <f>ROUND(SUMIF('4.0'!$D:$D,T_BS!D118,'4.0'!$V:$V),0)</f>
        <v>0</v>
      </c>
      <c r="R118" s="509">
        <f>ROUND(SUMIF('5.0'!$D:$D,T_BS!D118,'5.0'!$V:$V),0)</f>
        <v>0</v>
      </c>
      <c r="S118" s="720">
        <f>ROUND(SUMIF('6.0'!$D:$D,T_BS!D118,'6.0'!$V:$V),0)</f>
        <v>0</v>
      </c>
      <c r="T118" s="720">
        <f>ROUND(SUMIF('7.0'!$D:$D,T_BS!D118,'7.0'!$V:$V),0)</f>
        <v>0</v>
      </c>
      <c r="U118" s="720">
        <f>ROUND(SUMIF('8.0'!$D:$D,T_BS!D118,'8.0'!$H:$H),0)</f>
        <v>0</v>
      </c>
      <c r="V118" s="510">
        <f t="shared" si="33"/>
        <v>0</v>
      </c>
      <c r="X118" s="1641">
        <f t="shared" si="34"/>
        <v>179248982</v>
      </c>
      <c r="Z118" s="1616">
        <f t="shared" si="35"/>
        <v>118109010</v>
      </c>
      <c r="AB118" s="1616">
        <v>201528982</v>
      </c>
      <c r="AC118" s="1616">
        <v>132828982</v>
      </c>
      <c r="AD118" s="1616">
        <v>83050582</v>
      </c>
      <c r="AE118" s="1616">
        <v>90299993</v>
      </c>
      <c r="AF118" s="1616">
        <v>81649411</v>
      </c>
      <c r="AG118" s="1616">
        <v>52569411</v>
      </c>
      <c r="AH118" s="1616">
        <v>70306780</v>
      </c>
      <c r="AI118" s="1616">
        <v>61139972</v>
      </c>
      <c r="AJ118" s="1616">
        <v>60483192</v>
      </c>
      <c r="AK118" s="1616">
        <v>60483192</v>
      </c>
      <c r="AL118" s="1616">
        <v>127680000</v>
      </c>
      <c r="AM118" s="1616">
        <v>141450000</v>
      </c>
      <c r="AN118" s="1616">
        <v>102390000</v>
      </c>
      <c r="AP118" s="498"/>
    </row>
    <row r="119" spans="1:42" ht="18" customHeight="1">
      <c r="A119" s="498"/>
      <c r="D119" s="1588"/>
      <c r="E119" s="1589"/>
      <c r="F119" s="1590"/>
      <c r="G119" s="1589" t="s">
        <v>6</v>
      </c>
      <c r="H119" s="520">
        <f t="shared" ref="H119:K119" si="36">SUM(H120:H143)</f>
        <v>10003265424</v>
      </c>
      <c r="I119" s="506">
        <f t="shared" si="36"/>
        <v>6947516</v>
      </c>
      <c r="J119" s="506">
        <f t="shared" si="36"/>
        <v>0</v>
      </c>
      <c r="K119" s="506">
        <f t="shared" si="36"/>
        <v>975494</v>
      </c>
      <c r="L119" s="507">
        <f>SUM(L120:L143)</f>
        <v>10011188434</v>
      </c>
      <c r="N119" s="1631">
        <f t="shared" ref="N119:V119" si="37">SUM(N120:N143)</f>
        <v>19842800</v>
      </c>
      <c r="O119" s="506">
        <f t="shared" si="37"/>
        <v>0</v>
      </c>
      <c r="P119" s="506">
        <f t="shared" si="37"/>
        <v>0</v>
      </c>
      <c r="Q119" s="506">
        <f t="shared" si="37"/>
        <v>0</v>
      </c>
      <c r="R119" s="506">
        <f t="shared" si="37"/>
        <v>1787221215</v>
      </c>
      <c r="S119" s="506">
        <f t="shared" si="37"/>
        <v>0</v>
      </c>
      <c r="T119" s="506">
        <f t="shared" si="37"/>
        <v>0</v>
      </c>
      <c r="U119" s="506">
        <f t="shared" si="37"/>
        <v>1464530117</v>
      </c>
      <c r="V119" s="507">
        <f t="shared" si="37"/>
        <v>3271594132</v>
      </c>
      <c r="X119" s="1630">
        <f>SUM(X120:X143)</f>
        <v>13282782566</v>
      </c>
      <c r="Z119" s="1630">
        <f>SUM(Z120:Z143)</f>
        <v>-2484527571</v>
      </c>
      <c r="AB119" s="1630">
        <v>14195276344</v>
      </c>
      <c r="AC119" s="1630">
        <v>14641930978</v>
      </c>
      <c r="AD119" s="1630">
        <v>14947089436</v>
      </c>
      <c r="AE119" s="1630">
        <v>14145297026</v>
      </c>
      <c r="AF119" s="1630">
        <v>14282957622</v>
      </c>
      <c r="AG119" s="1630">
        <v>14426570378</v>
      </c>
      <c r="AH119" s="1630">
        <v>15102081002</v>
      </c>
      <c r="AI119" s="1630">
        <v>15767310137</v>
      </c>
      <c r="AJ119" s="1630">
        <v>16561404196</v>
      </c>
      <c r="AK119" s="1630">
        <v>16781792494</v>
      </c>
      <c r="AL119" s="1630">
        <v>16933932183</v>
      </c>
      <c r="AM119" s="1630">
        <f>SUM(AM120:AM143)</f>
        <v>15860211061</v>
      </c>
      <c r="AN119" s="1630">
        <v>16860524553</v>
      </c>
      <c r="AP119" s="498"/>
    </row>
    <row r="120" spans="1:42" ht="18" customHeight="1">
      <c r="A120" s="498"/>
      <c r="D120" s="1593" t="s">
        <v>105</v>
      </c>
      <c r="E120" s="1359" t="s">
        <v>6</v>
      </c>
      <c r="F120" s="1361">
        <v>2501</v>
      </c>
      <c r="G120" s="1359" t="s">
        <v>106</v>
      </c>
      <c r="H120" s="498">
        <v>200631248</v>
      </c>
      <c r="I120" s="498">
        <v>0</v>
      </c>
      <c r="J120" s="710">
        <v>0</v>
      </c>
      <c r="K120" s="710">
        <v>0</v>
      </c>
      <c r="L120" s="510">
        <f t="shared" ref="L120:L143" si="38">SUM(H120:K120)</f>
        <v>200631248</v>
      </c>
      <c r="N120" s="1667">
        <f>SUMIF('1.0'!$D:$D,T_BS!D120,'1.0'!$V:$V)</f>
        <v>0</v>
      </c>
      <c r="O120" s="710">
        <f>SUMIF('2.0'!$D:$D,T_BS!D120,'2.0'!$V:$V)</f>
        <v>0</v>
      </c>
      <c r="P120" s="509">
        <f>ROUND(SUMIF('3.0'!$D:$D,T_BS!D120,'3.0'!$H:$H),0)</f>
        <v>0</v>
      </c>
      <c r="Q120" s="720">
        <f>ROUND(SUMIF('4.0'!$D:$D,T_BS!D120,'4.0'!$V:$V),0)</f>
        <v>0</v>
      </c>
      <c r="R120" s="509">
        <f>ROUND(SUMIF('5.0'!$D:$D,T_BS!D120,'5.0'!$V:$V),0)</f>
        <v>0</v>
      </c>
      <c r="S120" s="720">
        <f>ROUND(SUMIF('6.0'!$D:$D,T_BS!D120,'6.0'!$V:$V),0)</f>
        <v>0</v>
      </c>
      <c r="T120" s="720">
        <f>ROUND(SUMIF('7.0'!$D:$D,T_BS!D120,'7.0'!$V:$V),0)</f>
        <v>0</v>
      </c>
      <c r="U120" s="720">
        <f>ROUND(SUMIF('8.0'!$D:$D,T_BS!D120,'8.0'!$H:$H),0)</f>
        <v>0</v>
      </c>
      <c r="V120" s="510">
        <f t="shared" ref="V120:V145" si="39">SUM(N120:U120)</f>
        <v>0</v>
      </c>
      <c r="X120" s="1641">
        <f t="shared" ref="X120:X143" si="40">V120+L120</f>
        <v>200631248</v>
      </c>
      <c r="Z120" s="1616">
        <f t="shared" ref="Z120:Z143" si="41">X120-AI120</f>
        <v>-391141667</v>
      </c>
      <c r="AB120" s="1616">
        <v>633044043</v>
      </c>
      <c r="AC120" s="1616">
        <v>621424205</v>
      </c>
      <c r="AD120" s="1616">
        <v>615453203</v>
      </c>
      <c r="AE120" s="1616">
        <v>607459539</v>
      </c>
      <c r="AF120" s="1616">
        <v>607459539</v>
      </c>
      <c r="AG120" s="1616">
        <v>607459539</v>
      </c>
      <c r="AH120" s="1616">
        <v>605371064</v>
      </c>
      <c r="AI120" s="1616">
        <v>591772915</v>
      </c>
      <c r="AJ120" s="1616">
        <v>611556203</v>
      </c>
      <c r="AK120" s="1616">
        <v>611556203</v>
      </c>
      <c r="AL120" s="1616">
        <v>604642472</v>
      </c>
      <c r="AM120" s="1616">
        <v>600237508</v>
      </c>
      <c r="AN120" s="1616">
        <v>582607415</v>
      </c>
      <c r="AP120" s="498"/>
    </row>
    <row r="121" spans="1:42" ht="18" customHeight="1">
      <c r="A121" s="498"/>
      <c r="D121" s="1593" t="s">
        <v>107</v>
      </c>
      <c r="E121" s="1359" t="s">
        <v>6</v>
      </c>
      <c r="F121" s="1361">
        <v>2501</v>
      </c>
      <c r="G121" s="1359" t="s">
        <v>108</v>
      </c>
      <c r="H121" s="498">
        <v>-124955473</v>
      </c>
      <c r="I121" s="498">
        <v>0</v>
      </c>
      <c r="J121" s="710">
        <v>0</v>
      </c>
      <c r="K121" s="710">
        <v>0</v>
      </c>
      <c r="L121" s="510">
        <f t="shared" si="38"/>
        <v>-124955473</v>
      </c>
      <c r="N121" s="1667">
        <f>SUMIF('1.0'!$D:$D,T_BS!D121,'1.0'!$V:$V)</f>
        <v>0</v>
      </c>
      <c r="O121" s="710">
        <f>SUMIF('2.0'!$D:$D,T_BS!D121,'2.0'!$V:$V)</f>
        <v>0</v>
      </c>
      <c r="P121" s="509">
        <f>ROUND(SUMIF('3.0'!$D:$D,T_BS!D121,'3.0'!$H:$H),0)</f>
        <v>0</v>
      </c>
      <c r="Q121" s="720">
        <f>ROUND(SUMIF('4.0'!$D:$D,T_BS!D121,'4.0'!$V:$V),0)</f>
        <v>0</v>
      </c>
      <c r="R121" s="509">
        <f>ROUND(SUMIF('5.0'!$D:$D,T_BS!D121,'5.0'!$V:$V),0)</f>
        <v>0</v>
      </c>
      <c r="S121" s="720">
        <f>ROUND(SUMIF('6.0'!$D:$D,T_BS!D121,'6.0'!$V:$V),0)</f>
        <v>0</v>
      </c>
      <c r="T121" s="720">
        <f>ROUND(SUMIF('7.0'!$D:$D,T_BS!D121,'7.0'!$V:$V),0)</f>
        <v>0</v>
      </c>
      <c r="U121" s="720">
        <f>ROUND(SUMIF('8.0'!$D:$D,T_BS!D121,'8.0'!$H:$H),0)</f>
        <v>0</v>
      </c>
      <c r="V121" s="510">
        <f t="shared" si="39"/>
        <v>0</v>
      </c>
      <c r="X121" s="1641">
        <f t="shared" si="40"/>
        <v>-124955473</v>
      </c>
      <c r="Z121" s="1616">
        <f t="shared" si="41"/>
        <v>370914501</v>
      </c>
      <c r="AB121" s="1616">
        <v>-531493490</v>
      </c>
      <c r="AC121" s="1616">
        <v>-528095941</v>
      </c>
      <c r="AD121" s="1616">
        <v>-524892097</v>
      </c>
      <c r="AE121" s="1616">
        <v>-521787768</v>
      </c>
      <c r="AF121" s="1616">
        <v>-518676953</v>
      </c>
      <c r="AG121" s="1616">
        <v>-515566148</v>
      </c>
      <c r="AH121" s="1616">
        <v>-505863256</v>
      </c>
      <c r="AI121" s="1616">
        <v>-495869974</v>
      </c>
      <c r="AJ121" s="1616">
        <v>-518816190</v>
      </c>
      <c r="AK121" s="1616">
        <v>-515222810</v>
      </c>
      <c r="AL121" s="1616">
        <v>-504351705</v>
      </c>
      <c r="AM121" s="1616">
        <v>-493217439</v>
      </c>
      <c r="AN121" s="1616">
        <v>-481839721</v>
      </c>
      <c r="AP121" s="498"/>
    </row>
    <row r="122" spans="1:42" ht="18" customHeight="1">
      <c r="A122" s="498"/>
      <c r="D122" s="1593" t="s">
        <v>109</v>
      </c>
      <c r="E122" s="1359" t="s">
        <v>6</v>
      </c>
      <c r="F122" s="1361">
        <v>2503</v>
      </c>
      <c r="G122" s="1359" t="s">
        <v>110</v>
      </c>
      <c r="H122" s="498">
        <v>2318847315</v>
      </c>
      <c r="I122" s="498">
        <v>0</v>
      </c>
      <c r="J122" s="710">
        <v>0</v>
      </c>
      <c r="K122" s="710">
        <v>0</v>
      </c>
      <c r="L122" s="510">
        <f t="shared" si="38"/>
        <v>2318847315</v>
      </c>
      <c r="N122" s="1667">
        <f>SUMIF('1.0'!$D:$D,T_BS!D122,'1.0'!$V:$V)</f>
        <v>0</v>
      </c>
      <c r="O122" s="710">
        <f>SUMIF('2.0'!$D:$D,T_BS!D122,'2.0'!$V:$V)</f>
        <v>0</v>
      </c>
      <c r="P122" s="509">
        <f>ROUND(SUMIF('3.0'!$D:$D,T_BS!D122,'3.0'!$H:$H),0)</f>
        <v>0</v>
      </c>
      <c r="Q122" s="720">
        <f>ROUND(SUMIF('4.0'!$D:$D,T_BS!D122,'4.0'!$V:$V),0)</f>
        <v>0</v>
      </c>
      <c r="R122" s="509">
        <f>ROUND(SUMIF('5.0'!$D:$D,T_BS!D122,'5.0'!$V:$V),0)</f>
        <v>0</v>
      </c>
      <c r="S122" s="720">
        <f>ROUND(SUMIF('6.0'!$D:$D,T_BS!D122,'6.0'!$V:$V),0)</f>
        <v>0</v>
      </c>
      <c r="T122" s="720">
        <f>ROUND(SUMIF('7.0'!$D:$D,T_BS!D122,'7.0'!$V:$V),0)</f>
        <v>0</v>
      </c>
      <c r="U122" s="720">
        <f>ROUND(SUMIF('8.0'!$D:$D,T_BS!D122,'8.0'!$H:$H),0)</f>
        <v>0</v>
      </c>
      <c r="V122" s="510">
        <f t="shared" si="39"/>
        <v>0</v>
      </c>
      <c r="X122" s="1641">
        <f t="shared" si="40"/>
        <v>2318847315</v>
      </c>
      <c r="Z122" s="1616">
        <f t="shared" si="41"/>
        <v>-11576795783</v>
      </c>
      <c r="AB122" s="1616">
        <v>15003517702</v>
      </c>
      <c r="AC122" s="1616">
        <v>14921439732</v>
      </c>
      <c r="AD122" s="1616">
        <v>14867504572</v>
      </c>
      <c r="AE122" s="1616">
        <v>14680800538</v>
      </c>
      <c r="AF122" s="1616">
        <v>14540488121</v>
      </c>
      <c r="AG122" s="1616">
        <v>14445517947</v>
      </c>
      <c r="AH122" s="1616">
        <v>14274588205</v>
      </c>
      <c r="AI122" s="1616">
        <v>13895643098</v>
      </c>
      <c r="AJ122" s="1616">
        <v>13665005542</v>
      </c>
      <c r="AK122" s="1616">
        <v>13521416149</v>
      </c>
      <c r="AL122" s="1616">
        <v>13029870939</v>
      </c>
      <c r="AM122" s="1616">
        <v>12726916295</v>
      </c>
      <c r="AN122" s="1616">
        <v>12669072980</v>
      </c>
      <c r="AP122" s="498"/>
    </row>
    <row r="123" spans="1:42" ht="18" customHeight="1">
      <c r="A123" s="498"/>
      <c r="D123" s="1593" t="s">
        <v>111</v>
      </c>
      <c r="E123" s="1359" t="s">
        <v>6</v>
      </c>
      <c r="F123" s="1361">
        <v>2503</v>
      </c>
      <c r="G123" s="1359" t="s">
        <v>112</v>
      </c>
      <c r="H123" s="498">
        <v>-769898548</v>
      </c>
      <c r="I123" s="498">
        <v>0</v>
      </c>
      <c r="J123" s="710">
        <v>0</v>
      </c>
      <c r="K123" s="710">
        <v>0</v>
      </c>
      <c r="L123" s="510">
        <f t="shared" si="38"/>
        <v>-769898548</v>
      </c>
      <c r="N123" s="1667">
        <f>SUMIF('1.0'!$D:$D,T_BS!D123,'1.0'!$V:$V)</f>
        <v>0</v>
      </c>
      <c r="O123" s="710">
        <f>SUMIF('2.0'!$D:$D,T_BS!D123,'2.0'!$V:$V)</f>
        <v>0</v>
      </c>
      <c r="P123" s="509">
        <f>ROUND(SUMIF('3.0'!$D:$D,T_BS!D123,'3.0'!$H:$H),0)</f>
        <v>0</v>
      </c>
      <c r="Q123" s="720">
        <f>ROUND(SUMIF('4.0'!$D:$D,T_BS!D123,'4.0'!$V:$V),0)</f>
        <v>0</v>
      </c>
      <c r="R123" s="509">
        <f>ROUND(SUMIF('5.0'!$D:$D,T_BS!D123,'5.0'!$V:$V),0)</f>
        <v>0</v>
      </c>
      <c r="S123" s="720">
        <f>ROUND(SUMIF('6.0'!$D:$D,T_BS!D123,'6.0'!$V:$V),0)</f>
        <v>0</v>
      </c>
      <c r="T123" s="720">
        <f>ROUND(SUMIF('7.0'!$D:$D,T_BS!D123,'7.0'!$V:$V),0)</f>
        <v>0</v>
      </c>
      <c r="U123" s="720">
        <f>ROUND(SUMIF('8.0'!$D:$D,T_BS!D123,'8.0'!$H:$H),0)</f>
        <v>0</v>
      </c>
      <c r="V123" s="510">
        <f t="shared" si="39"/>
        <v>0</v>
      </c>
      <c r="X123" s="1641">
        <f t="shared" si="40"/>
        <v>-769898548</v>
      </c>
      <c r="Z123" s="1616">
        <f t="shared" si="41"/>
        <v>8819536956</v>
      </c>
      <c r="AB123" s="1616">
        <v>-10275045947</v>
      </c>
      <c r="AC123" s="1616">
        <v>-9984544086</v>
      </c>
      <c r="AD123" s="1616">
        <v>-9938224869</v>
      </c>
      <c r="AE123" s="1616">
        <v>-9908082856</v>
      </c>
      <c r="AF123" s="1616">
        <v>-9864508743</v>
      </c>
      <c r="AG123" s="1616">
        <v>-9820934630</v>
      </c>
      <c r="AH123" s="1616">
        <v>-9690784537</v>
      </c>
      <c r="AI123" s="1616">
        <v>-9589435504</v>
      </c>
      <c r="AJ123" s="1616">
        <v>-9456295657</v>
      </c>
      <c r="AK123" s="1616">
        <v>-9397697464</v>
      </c>
      <c r="AL123" s="1616">
        <v>-9229301899</v>
      </c>
      <c r="AM123" s="1616">
        <v>-9117792121</v>
      </c>
      <c r="AN123" s="1616">
        <v>-9006282343</v>
      </c>
      <c r="AP123" s="498"/>
    </row>
    <row r="124" spans="1:42" ht="18" customHeight="1">
      <c r="A124" s="498"/>
      <c r="D124" s="1593" t="s">
        <v>113</v>
      </c>
      <c r="E124" s="1359" t="s">
        <v>6</v>
      </c>
      <c r="F124" s="1361">
        <v>2503</v>
      </c>
      <c r="G124" s="1359" t="s">
        <v>114</v>
      </c>
      <c r="H124" s="498">
        <v>-222628514</v>
      </c>
      <c r="I124" s="498">
        <v>0</v>
      </c>
      <c r="J124" s="710">
        <v>0</v>
      </c>
      <c r="K124" s="710">
        <v>0</v>
      </c>
      <c r="L124" s="510">
        <f t="shared" si="38"/>
        <v>-222628514</v>
      </c>
      <c r="N124" s="1667">
        <f>SUMIF('1.0'!$D:$D,T_BS!D124,'1.0'!$V:$V)</f>
        <v>0</v>
      </c>
      <c r="O124" s="710">
        <f>SUMIF('2.0'!$D:$D,T_BS!D124,'2.0'!$V:$V)</f>
        <v>0</v>
      </c>
      <c r="P124" s="509">
        <f>ROUND(SUMIF('3.0'!$D:$D,T_BS!D124,'3.0'!$H:$H),0)</f>
        <v>0</v>
      </c>
      <c r="Q124" s="720">
        <f>ROUND(SUMIF('4.0'!$D:$D,T_BS!D124,'4.0'!$V:$V),0)</f>
        <v>0</v>
      </c>
      <c r="R124" s="509">
        <f>ROUND(SUMIF('5.0'!$D:$D,T_BS!D124,'5.0'!$V:$V),0)</f>
        <v>0</v>
      </c>
      <c r="S124" s="720">
        <f>ROUND(SUMIF('6.0'!$D:$D,T_BS!D124,'6.0'!$V:$V),0)</f>
        <v>0</v>
      </c>
      <c r="T124" s="720">
        <f>ROUND(SUMIF('7.0'!$D:$D,T_BS!D124,'7.0'!$V:$V),0)</f>
        <v>0</v>
      </c>
      <c r="U124" s="720">
        <f>ROUND(SUMIF('8.0'!$D:$D,T_BS!D124,'8.0'!$H:$H),0)</f>
        <v>0</v>
      </c>
      <c r="V124" s="510">
        <f t="shared" si="39"/>
        <v>0</v>
      </c>
      <c r="X124" s="1641">
        <f t="shared" si="40"/>
        <v>-222628514</v>
      </c>
      <c r="Z124" s="1616">
        <f t="shared" si="41"/>
        <v>2945740841</v>
      </c>
      <c r="AB124" s="1616">
        <v>-3411056041</v>
      </c>
      <c r="AC124" s="1616">
        <v>-3411056041</v>
      </c>
      <c r="AD124" s="1616">
        <v>-3411056041</v>
      </c>
      <c r="AE124" s="1616">
        <v>-3168369355</v>
      </c>
      <c r="AF124" s="1616">
        <v>-3168369355</v>
      </c>
      <c r="AG124" s="1616">
        <v>-3168369355</v>
      </c>
      <c r="AH124" s="1616">
        <v>-3168369355</v>
      </c>
      <c r="AI124" s="1616">
        <v>-3168369355</v>
      </c>
      <c r="AJ124" s="1616">
        <v>-2614667381</v>
      </c>
      <c r="AK124" s="1616">
        <v>-2614667381</v>
      </c>
      <c r="AL124" s="1616">
        <v>-2614667381</v>
      </c>
      <c r="AM124" s="1616">
        <v>-2614667381</v>
      </c>
      <c r="AN124" s="1616">
        <v>-2614667381</v>
      </c>
      <c r="AP124" s="498"/>
    </row>
    <row r="125" spans="1:42" ht="18" customHeight="1">
      <c r="A125" s="498"/>
      <c r="D125" s="1593">
        <v>125300</v>
      </c>
      <c r="E125" s="1359" t="s">
        <v>6</v>
      </c>
      <c r="F125" s="1361">
        <v>2501</v>
      </c>
      <c r="G125" s="1359" t="s">
        <v>115</v>
      </c>
      <c r="H125" s="498">
        <v>236847381</v>
      </c>
      <c r="I125" s="498">
        <v>0</v>
      </c>
      <c r="J125" s="710">
        <v>0</v>
      </c>
      <c r="K125" s="710">
        <v>0</v>
      </c>
      <c r="L125" s="510">
        <f t="shared" si="38"/>
        <v>236847381</v>
      </c>
      <c r="N125" s="1667">
        <f>SUMIF('1.0'!$D:$D,T_BS!D125,'1.0'!$V:$V)</f>
        <v>0</v>
      </c>
      <c r="O125" s="710">
        <f>SUMIF('2.0'!$D:$D,T_BS!D125,'2.0'!$V:$V)</f>
        <v>0</v>
      </c>
      <c r="P125" s="509">
        <f>ROUND(SUMIF('3.0'!$D:$D,T_BS!D125,'3.0'!$H:$H),0)</f>
        <v>0</v>
      </c>
      <c r="Q125" s="720">
        <f>ROUND(SUMIF('4.0'!$D:$D,T_BS!D125,'4.0'!$V:$V),0)</f>
        <v>0</v>
      </c>
      <c r="R125" s="509">
        <f>ROUND(SUMIF('5.0'!$D:$D,T_BS!D125,'5.0'!$V:$V),0)</f>
        <v>0</v>
      </c>
      <c r="S125" s="720">
        <f>ROUND(SUMIF('6.0'!$D:$D,T_BS!D125,'6.0'!$V:$V),0)</f>
        <v>0</v>
      </c>
      <c r="T125" s="720">
        <f>ROUND(SUMIF('7.0'!$D:$D,T_BS!D125,'7.0'!$V:$V),0)</f>
        <v>0</v>
      </c>
      <c r="U125" s="720">
        <f>ROUND(SUMIF('8.0'!$D:$D,T_BS!D125,'8.0'!$H:$H),0)</f>
        <v>0</v>
      </c>
      <c r="V125" s="510">
        <f t="shared" si="39"/>
        <v>0</v>
      </c>
      <c r="X125" s="1641">
        <f t="shared" si="40"/>
        <v>236847381</v>
      </c>
      <c r="Z125" s="1616">
        <f t="shared" si="41"/>
        <v>-165695231</v>
      </c>
      <c r="AB125" s="1616">
        <v>430014952</v>
      </c>
      <c r="AC125" s="1616">
        <v>426325952</v>
      </c>
      <c r="AD125" s="1616">
        <v>426325952</v>
      </c>
      <c r="AE125" s="1616">
        <v>419257152</v>
      </c>
      <c r="AF125" s="1616">
        <v>419257152</v>
      </c>
      <c r="AG125" s="1616">
        <v>419257152</v>
      </c>
      <c r="AH125" s="1616">
        <v>405595612</v>
      </c>
      <c r="AI125" s="1616">
        <v>402542612</v>
      </c>
      <c r="AJ125" s="1616">
        <v>444001006</v>
      </c>
      <c r="AK125" s="1616">
        <v>444001006</v>
      </c>
      <c r="AL125" s="1616">
        <v>423091321</v>
      </c>
      <c r="AM125" s="1616">
        <v>382461829</v>
      </c>
      <c r="AN125" s="1616">
        <v>363487743</v>
      </c>
      <c r="AP125" s="498"/>
    </row>
    <row r="126" spans="1:42" ht="18" customHeight="1">
      <c r="A126" s="498"/>
      <c r="D126" s="1593">
        <v>125400</v>
      </c>
      <c r="E126" s="1359" t="s">
        <v>6</v>
      </c>
      <c r="F126" s="1361">
        <v>2501</v>
      </c>
      <c r="G126" s="1359" t="s">
        <v>116</v>
      </c>
      <c r="H126" s="498">
        <v>1382263154</v>
      </c>
      <c r="I126" s="498">
        <v>0</v>
      </c>
      <c r="J126" s="710">
        <v>0</v>
      </c>
      <c r="K126" s="710">
        <v>0</v>
      </c>
      <c r="L126" s="510">
        <f t="shared" si="38"/>
        <v>1382263154</v>
      </c>
      <c r="N126" s="1667">
        <f>SUMIF('1.0'!$D:$D,T_BS!D126,'1.0'!$V:$V)</f>
        <v>0</v>
      </c>
      <c r="O126" s="710">
        <f>SUMIF('2.0'!$D:$D,T_BS!D126,'2.0'!$V:$V)</f>
        <v>0</v>
      </c>
      <c r="P126" s="509">
        <f>ROUND(SUMIF('3.0'!$D:$D,T_BS!D126,'3.0'!$H:$H),0)</f>
        <v>0</v>
      </c>
      <c r="Q126" s="720">
        <f>ROUND(SUMIF('4.0'!$D:$D,T_BS!D126,'4.0'!$V:$V),0)</f>
        <v>0</v>
      </c>
      <c r="R126" s="509">
        <f>ROUND(SUMIF('5.0'!$D:$D,T_BS!D126,'5.0'!$V:$V),0)</f>
        <v>0</v>
      </c>
      <c r="S126" s="720">
        <f>ROUND(SUMIF('6.0'!$D:$D,T_BS!D126,'6.0'!$V:$V),0)</f>
        <v>0</v>
      </c>
      <c r="T126" s="720">
        <f>ROUND(SUMIF('7.0'!$D:$D,T_BS!D126,'7.0'!$V:$V),0)</f>
        <v>0</v>
      </c>
      <c r="U126" s="720">
        <f>ROUND(SUMIF('8.0'!$D:$D,T_BS!D126,'8.0'!$H:$H),0)</f>
        <v>0</v>
      </c>
      <c r="V126" s="510">
        <f t="shared" si="39"/>
        <v>0</v>
      </c>
      <c r="X126" s="1641">
        <f t="shared" si="40"/>
        <v>1382263154</v>
      </c>
      <c r="Z126" s="1616">
        <f t="shared" si="41"/>
        <v>943187323</v>
      </c>
      <c r="AB126" s="1616">
        <v>1498681173</v>
      </c>
      <c r="AC126" s="1616">
        <v>1498681173</v>
      </c>
      <c r="AD126" s="1616">
        <v>444193687</v>
      </c>
      <c r="AE126" s="1616">
        <v>444193687</v>
      </c>
      <c r="AF126" s="1616">
        <v>444193687</v>
      </c>
      <c r="AG126" s="1616">
        <v>444193687</v>
      </c>
      <c r="AH126" s="1616">
        <v>439075831</v>
      </c>
      <c r="AI126" s="1616">
        <v>439075831</v>
      </c>
      <c r="AJ126" s="1616">
        <v>435550338</v>
      </c>
      <c r="AK126" s="1616">
        <v>435550338</v>
      </c>
      <c r="AL126" s="1616">
        <v>434536813</v>
      </c>
      <c r="AM126" s="1616">
        <v>432749858</v>
      </c>
      <c r="AN126" s="1616">
        <v>432749858</v>
      </c>
      <c r="AP126" s="498"/>
    </row>
    <row r="127" spans="1:42" ht="18" customHeight="1">
      <c r="A127" s="498"/>
      <c r="D127" s="1593" t="s">
        <v>117</v>
      </c>
      <c r="E127" s="1359" t="s">
        <v>6</v>
      </c>
      <c r="F127" s="1361">
        <v>2501</v>
      </c>
      <c r="G127" s="1359" t="s">
        <v>118</v>
      </c>
      <c r="H127" s="498">
        <v>0</v>
      </c>
      <c r="I127" s="498">
        <v>0</v>
      </c>
      <c r="J127" s="710">
        <v>0</v>
      </c>
      <c r="K127" s="710">
        <v>0</v>
      </c>
      <c r="L127" s="510">
        <f t="shared" si="38"/>
        <v>0</v>
      </c>
      <c r="N127" s="1667">
        <f>SUMIF('1.0'!$D:$D,T_BS!D127,'1.0'!$V:$V)</f>
        <v>0</v>
      </c>
      <c r="O127" s="710">
        <f>SUMIF('2.0'!$D:$D,T_BS!D127,'2.0'!$V:$V)</f>
        <v>0</v>
      </c>
      <c r="P127" s="509">
        <f>ROUND(SUMIF('3.0'!$D:$D,T_BS!D127,'3.0'!$H:$H),0)</f>
        <v>0</v>
      </c>
      <c r="Q127" s="720">
        <f>ROUND(SUMIF('4.0'!$D:$D,T_BS!D127,'4.0'!$V:$V),0)</f>
        <v>0</v>
      </c>
      <c r="R127" s="509">
        <f>ROUND(SUMIF('5.0'!$D:$D,T_BS!D127,'5.0'!$V:$V),0)</f>
        <v>0</v>
      </c>
      <c r="S127" s="720">
        <f>ROUND(SUMIF('6.0'!$D:$D,T_BS!D127,'6.0'!$V:$V),0)</f>
        <v>0</v>
      </c>
      <c r="T127" s="720">
        <f>ROUND(SUMIF('7.0'!$D:$D,T_BS!D127,'7.0'!$V:$V),0)</f>
        <v>0</v>
      </c>
      <c r="U127" s="720">
        <f>ROUND(SUMIF('8.0'!$D:$D,T_BS!D127,'8.0'!$H:$H),0)</f>
        <v>0</v>
      </c>
      <c r="V127" s="510">
        <f t="shared" si="39"/>
        <v>0</v>
      </c>
      <c r="X127" s="1641">
        <f t="shared" si="40"/>
        <v>0</v>
      </c>
      <c r="Z127" s="1616">
        <f t="shared" si="41"/>
        <v>-10801432</v>
      </c>
      <c r="AB127" s="1616">
        <v>10801432</v>
      </c>
      <c r="AC127" s="1616">
        <v>10801432</v>
      </c>
      <c r="AD127" s="1616">
        <v>10801432</v>
      </c>
      <c r="AE127" s="1616">
        <v>10801432</v>
      </c>
      <c r="AF127" s="1616">
        <v>10801432</v>
      </c>
      <c r="AG127" s="1616">
        <v>10801432</v>
      </c>
      <c r="AH127" s="1616">
        <v>10801432</v>
      </c>
      <c r="AI127" s="1616">
        <v>10801432</v>
      </c>
      <c r="AJ127" s="1616">
        <v>10801432</v>
      </c>
      <c r="AK127" s="1616">
        <v>10801432</v>
      </c>
      <c r="AL127" s="1616">
        <v>10801432</v>
      </c>
      <c r="AM127" s="1616">
        <v>10801432</v>
      </c>
      <c r="AN127" s="1616">
        <v>10801432</v>
      </c>
      <c r="AP127" s="498"/>
    </row>
    <row r="128" spans="1:42" ht="18" customHeight="1">
      <c r="A128" s="498"/>
      <c r="D128" s="1593" t="s">
        <v>119</v>
      </c>
      <c r="E128" s="1359" t="s">
        <v>6</v>
      </c>
      <c r="F128" s="1361">
        <v>2501</v>
      </c>
      <c r="G128" s="1359" t="s">
        <v>120</v>
      </c>
      <c r="H128" s="498">
        <v>-65266094</v>
      </c>
      <c r="I128" s="498">
        <v>0</v>
      </c>
      <c r="J128" s="710">
        <v>0</v>
      </c>
      <c r="K128" s="710">
        <v>0</v>
      </c>
      <c r="L128" s="510">
        <f t="shared" si="38"/>
        <v>-65266094</v>
      </c>
      <c r="N128" s="1667">
        <f>SUMIF('1.0'!$D:$D,T_BS!D128,'1.0'!$V:$V)</f>
        <v>0</v>
      </c>
      <c r="O128" s="710">
        <f>SUMIF('2.0'!$D:$D,T_BS!D128,'2.0'!$V:$V)</f>
        <v>0</v>
      </c>
      <c r="P128" s="509">
        <f>ROUND(SUMIF('3.0'!$D:$D,T_BS!D128,'3.0'!$H:$H),0)</f>
        <v>0</v>
      </c>
      <c r="Q128" s="720">
        <f>ROUND(SUMIF('4.0'!$D:$D,T_BS!D128,'4.0'!$V:$V),0)</f>
        <v>0</v>
      </c>
      <c r="R128" s="509">
        <f>ROUND(SUMIF('5.0'!$D:$D,T_BS!D128,'5.0'!$V:$V),0)</f>
        <v>0</v>
      </c>
      <c r="S128" s="720">
        <f>ROUND(SUMIF('6.0'!$D:$D,T_BS!D128,'6.0'!$V:$V),0)</f>
        <v>0</v>
      </c>
      <c r="T128" s="720">
        <f>ROUND(SUMIF('7.0'!$D:$D,T_BS!D128,'7.0'!$V:$V),0)</f>
        <v>0</v>
      </c>
      <c r="U128" s="720">
        <f>ROUND(SUMIF('8.0'!$D:$D,T_BS!D128,'8.0'!$H:$H),0)</f>
        <v>0</v>
      </c>
      <c r="V128" s="510">
        <f t="shared" si="39"/>
        <v>0</v>
      </c>
      <c r="X128" s="1641">
        <f t="shared" si="40"/>
        <v>-65266094</v>
      </c>
      <c r="Z128" s="1616">
        <f t="shared" si="41"/>
        <v>165783954</v>
      </c>
      <c r="AB128" s="1616">
        <v>-253397105</v>
      </c>
      <c r="AC128" s="1616">
        <v>-251255666</v>
      </c>
      <c r="AD128" s="1616">
        <v>-249144976</v>
      </c>
      <c r="AE128" s="1616">
        <v>-247034286</v>
      </c>
      <c r="AF128" s="1616">
        <v>-244982502</v>
      </c>
      <c r="AG128" s="1616">
        <v>-242930718</v>
      </c>
      <c r="AH128" s="1616">
        <v>-236899850</v>
      </c>
      <c r="AI128" s="1616">
        <v>-231050048</v>
      </c>
      <c r="AJ128" s="1616">
        <v>-245616385</v>
      </c>
      <c r="AK128" s="1616">
        <v>-243454378</v>
      </c>
      <c r="AL128" s="1616">
        <v>-236948516</v>
      </c>
      <c r="AM128" s="1616">
        <v>-230981721</v>
      </c>
      <c r="AN128" s="1616">
        <v>-225883068</v>
      </c>
      <c r="AP128" s="498"/>
    </row>
    <row r="129" spans="1:42" ht="18" customHeight="1">
      <c r="A129" s="498"/>
      <c r="D129" s="1593" t="s">
        <v>121</v>
      </c>
      <c r="E129" s="1359" t="s">
        <v>6</v>
      </c>
      <c r="F129" s="1361">
        <v>2501</v>
      </c>
      <c r="G129" s="1359" t="s">
        <v>122</v>
      </c>
      <c r="H129" s="498">
        <v>0</v>
      </c>
      <c r="I129" s="498">
        <v>0</v>
      </c>
      <c r="J129" s="710">
        <v>0</v>
      </c>
      <c r="K129" s="710">
        <v>0</v>
      </c>
      <c r="L129" s="510">
        <f t="shared" si="38"/>
        <v>0</v>
      </c>
      <c r="N129" s="1667">
        <f>SUMIF('1.0'!$D:$D,T_BS!D129,'1.0'!$V:$V)</f>
        <v>0</v>
      </c>
      <c r="O129" s="710">
        <f>SUMIF('2.0'!$D:$D,T_BS!D129,'2.0'!$V:$V)</f>
        <v>0</v>
      </c>
      <c r="P129" s="509">
        <f>ROUND(SUMIF('3.0'!$D:$D,T_BS!D129,'3.0'!$H:$H),0)</f>
        <v>0</v>
      </c>
      <c r="Q129" s="720">
        <f>ROUND(SUMIF('4.0'!$D:$D,T_BS!D129,'4.0'!$V:$V),0)</f>
        <v>0</v>
      </c>
      <c r="R129" s="509">
        <f>ROUND(SUMIF('5.0'!$D:$D,T_BS!D129,'5.0'!$V:$V),0)</f>
        <v>0</v>
      </c>
      <c r="S129" s="720">
        <f>ROUND(SUMIF('6.0'!$D:$D,T_BS!D129,'6.0'!$V:$V),0)</f>
        <v>0</v>
      </c>
      <c r="T129" s="720">
        <f>ROUND(SUMIF('7.0'!$D:$D,T_BS!D129,'7.0'!$V:$V),0)</f>
        <v>0</v>
      </c>
      <c r="U129" s="720">
        <f>ROUND(SUMIF('8.0'!$D:$D,T_BS!D129,'8.0'!$H:$H),0)</f>
        <v>0</v>
      </c>
      <c r="V129" s="510">
        <f t="shared" si="39"/>
        <v>0</v>
      </c>
      <c r="X129" s="1641">
        <f t="shared" si="40"/>
        <v>0</v>
      </c>
      <c r="Z129" s="1616">
        <f t="shared" si="41"/>
        <v>10798432</v>
      </c>
      <c r="AB129" s="1616">
        <v>-10798432</v>
      </c>
      <c r="AC129" s="1616">
        <v>-10798432</v>
      </c>
      <c r="AD129" s="1616">
        <v>-10798432</v>
      </c>
      <c r="AE129" s="1616">
        <v>-10798432</v>
      </c>
      <c r="AF129" s="1616">
        <v>-10798432</v>
      </c>
      <c r="AG129" s="1616">
        <v>-10798432</v>
      </c>
      <c r="AH129" s="1616">
        <v>-10798432</v>
      </c>
      <c r="AI129" s="1616">
        <v>-10798432</v>
      </c>
      <c r="AJ129" s="1616">
        <v>-10798432</v>
      </c>
      <c r="AK129" s="1616">
        <v>-10798432</v>
      </c>
      <c r="AL129" s="1616">
        <v>-10798432</v>
      </c>
      <c r="AM129" s="1616">
        <v>-10798432</v>
      </c>
      <c r="AN129" s="1616">
        <v>-10798432</v>
      </c>
      <c r="AP129" s="498"/>
    </row>
    <row r="130" spans="1:42" ht="18" customHeight="1">
      <c r="A130" s="498"/>
      <c r="D130" s="1593">
        <v>125900</v>
      </c>
      <c r="E130" s="1359" t="s">
        <v>6</v>
      </c>
      <c r="F130" s="1361">
        <v>2505</v>
      </c>
      <c r="G130" s="1359" t="s">
        <v>123</v>
      </c>
      <c r="H130" s="498">
        <v>4151954573</v>
      </c>
      <c r="I130" s="498">
        <v>8983636</v>
      </c>
      <c r="J130" s="710">
        <v>0</v>
      </c>
      <c r="K130" s="710">
        <v>71291201</v>
      </c>
      <c r="L130" s="510">
        <f t="shared" si="38"/>
        <v>4232229410</v>
      </c>
      <c r="N130" s="1667">
        <f>SUMIF('1.0'!$D:$D,T_BS!D130,'1.0'!$V:$V)</f>
        <v>0</v>
      </c>
      <c r="O130" s="710">
        <f>SUMIF('2.0'!$D:$D,T_BS!D130,'2.0'!$V:$V)</f>
        <v>0</v>
      </c>
      <c r="P130" s="509">
        <f>ROUND(SUMIF('3.0'!$D:$D,T_BS!D130,'3.0'!$H:$H),0)</f>
        <v>0</v>
      </c>
      <c r="Q130" s="720">
        <f>ROUND(SUMIF('4.0'!$D:$D,T_BS!D130,'4.0'!$V:$V),0)</f>
        <v>0</v>
      </c>
      <c r="R130" s="509">
        <f>ROUND(SUMIF('5.0'!$D:$D,T_BS!D130,'5.0'!$V:$V),0)</f>
        <v>0</v>
      </c>
      <c r="S130" s="720">
        <f>ROUND(SUMIF('6.0'!$D:$D,T_BS!D130,'6.0'!$V:$V),0)</f>
        <v>0</v>
      </c>
      <c r="T130" s="720">
        <f>ROUND(SUMIF('7.0'!$D:$D,T_BS!D130,'7.0'!$V:$V),0)</f>
        <v>0</v>
      </c>
      <c r="U130" s="720">
        <f>ROUND(SUMIF('8.0'!$D:$D,T_BS!D130,'8.0'!$H:$H),0)</f>
        <v>0</v>
      </c>
      <c r="V130" s="510">
        <f t="shared" si="39"/>
        <v>0</v>
      </c>
      <c r="X130" s="1641">
        <f t="shared" si="40"/>
        <v>4232229410</v>
      </c>
      <c r="Z130" s="1616">
        <f t="shared" si="41"/>
        <v>-9326315034</v>
      </c>
      <c r="AB130" s="1616">
        <v>13675680214</v>
      </c>
      <c r="AC130" s="1616">
        <v>13675803622</v>
      </c>
      <c r="AD130" s="1616">
        <v>13678201486</v>
      </c>
      <c r="AE130" s="1616">
        <v>13651511164</v>
      </c>
      <c r="AF130" s="1616">
        <v>13651502189</v>
      </c>
      <c r="AG130" s="1616">
        <v>13649701173</v>
      </c>
      <c r="AH130" s="1616">
        <v>13557903342</v>
      </c>
      <c r="AI130" s="1616">
        <v>13558544444</v>
      </c>
      <c r="AJ130" s="1616">
        <v>13200099902</v>
      </c>
      <c r="AK130" s="1616">
        <v>13202084160</v>
      </c>
      <c r="AL130" s="1616">
        <v>13197487124</v>
      </c>
      <c r="AM130" s="1616">
        <v>13078176796</v>
      </c>
      <c r="AN130" s="1616">
        <v>13080190972</v>
      </c>
      <c r="AP130" s="498"/>
    </row>
    <row r="131" spans="1:42" ht="18" customHeight="1">
      <c r="A131" s="498"/>
      <c r="D131" s="1593" t="s">
        <v>126</v>
      </c>
      <c r="E131" s="1359" t="s">
        <v>6</v>
      </c>
      <c r="F131" s="1361">
        <v>2505</v>
      </c>
      <c r="G131" s="1359" t="s">
        <v>127</v>
      </c>
      <c r="H131" s="498">
        <v>-2778165403</v>
      </c>
      <c r="I131" s="498">
        <v>-2036120</v>
      </c>
      <c r="J131" s="710">
        <v>0</v>
      </c>
      <c r="K131" s="710">
        <v>-70315707</v>
      </c>
      <c r="L131" s="510">
        <f t="shared" si="38"/>
        <v>-2850517230</v>
      </c>
      <c r="N131" s="1667">
        <f>SUMIF('1.0'!$D:$D,T_BS!D131,'1.0'!$V:$V)</f>
        <v>0</v>
      </c>
      <c r="O131" s="710">
        <f>SUMIF('2.0'!$D:$D,T_BS!D131,'2.0'!$V:$V)</f>
        <v>0</v>
      </c>
      <c r="P131" s="509">
        <f>ROUND(SUMIF('3.0'!$D:$D,T_BS!D131,'3.0'!$H:$H),0)</f>
        <v>0</v>
      </c>
      <c r="Q131" s="720">
        <f>ROUND(SUMIF('4.0'!$D:$D,T_BS!D131,'4.0'!$V:$V),0)</f>
        <v>0</v>
      </c>
      <c r="R131" s="509">
        <f>ROUND(SUMIF('5.0'!$D:$D,T_BS!D131,'5.0'!$V:$V),0)</f>
        <v>0</v>
      </c>
      <c r="S131" s="720">
        <f>ROUND(SUMIF('6.0'!$D:$D,T_BS!D131,'6.0'!$V:$V),0)</f>
        <v>0</v>
      </c>
      <c r="T131" s="720">
        <f>ROUND(SUMIF('7.0'!$D:$D,T_BS!D131,'7.0'!$V:$V),0)</f>
        <v>0</v>
      </c>
      <c r="U131" s="720">
        <f>ROUND(SUMIF('8.0'!$D:$D,T_BS!D131,'8.0'!$H:$H),0)</f>
        <v>0</v>
      </c>
      <c r="V131" s="510">
        <f t="shared" si="39"/>
        <v>0</v>
      </c>
      <c r="X131" s="1641">
        <f t="shared" si="40"/>
        <v>-2850517230</v>
      </c>
      <c r="Z131" s="1616">
        <f t="shared" si="41"/>
        <v>2683365136</v>
      </c>
      <c r="AB131" s="1616">
        <v>-6554062165</v>
      </c>
      <c r="AC131" s="1616">
        <v>-6465828382</v>
      </c>
      <c r="AD131" s="1616">
        <v>-6379241748</v>
      </c>
      <c r="AE131" s="1616">
        <v>-6289675285</v>
      </c>
      <c r="AF131" s="1616">
        <v>-6201746449</v>
      </c>
      <c r="AG131" s="1616">
        <v>-6112606490</v>
      </c>
      <c r="AH131" s="1616">
        <v>-5825295628</v>
      </c>
      <c r="AI131" s="1616">
        <v>-5533882366</v>
      </c>
      <c r="AJ131" s="1616">
        <v>-5340753091</v>
      </c>
      <c r="AK131" s="1616">
        <v>-5248325855</v>
      </c>
      <c r="AL131" s="1616">
        <v>-4966593302</v>
      </c>
      <c r="AM131" s="1616">
        <v>-4686673394</v>
      </c>
      <c r="AN131" s="1616">
        <v>-4412863242</v>
      </c>
      <c r="AP131" s="498"/>
    </row>
    <row r="132" spans="1:42" ht="18" customHeight="1">
      <c r="A132" s="498"/>
      <c r="D132" s="1593" t="s">
        <v>124</v>
      </c>
      <c r="E132" s="1359" t="s">
        <v>6</v>
      </c>
      <c r="F132" s="1671">
        <v>2505</v>
      </c>
      <c r="G132" s="1359" t="s">
        <v>125</v>
      </c>
      <c r="H132" s="498">
        <v>0</v>
      </c>
      <c r="I132" s="498">
        <v>0</v>
      </c>
      <c r="J132" s="710">
        <v>0</v>
      </c>
      <c r="K132" s="710">
        <v>0</v>
      </c>
      <c r="L132" s="510">
        <f t="shared" si="38"/>
        <v>0</v>
      </c>
      <c r="N132" s="1667">
        <f>SUMIF('1.0'!$D:$D,T_BS!D132,'1.0'!$V:$V)</f>
        <v>0</v>
      </c>
      <c r="O132" s="710">
        <f>SUMIF('2.0'!$D:$D,T_BS!D132,'2.0'!$V:$V)</f>
        <v>0</v>
      </c>
      <c r="P132" s="509">
        <f>ROUND(SUMIF('3.0'!$D:$D,T_BS!D132,'3.0'!$H:$H),0)</f>
        <v>0</v>
      </c>
      <c r="Q132" s="720">
        <f>ROUND(SUMIF('4.0'!$D:$D,T_BS!D132,'4.0'!$V:$V),0)</f>
        <v>0</v>
      </c>
      <c r="R132" s="509">
        <f>ROUND(SUMIF('5.0'!$D:$D,T_BS!D132,'5.0'!$V:$V),0)</f>
        <v>0</v>
      </c>
      <c r="S132" s="720">
        <f>ROUND(SUMIF('6.0'!$D:$D,T_BS!D132,'6.0'!$V:$V),0)</f>
        <v>0</v>
      </c>
      <c r="T132" s="720">
        <f>ROUND(SUMIF('7.0'!$D:$D,T_BS!D132,'7.0'!$V:$V),0)</f>
        <v>0</v>
      </c>
      <c r="U132" s="720">
        <f>ROUND(SUMIF('8.0'!$D:$D,T_BS!D132,'8.0'!$H:$H),0)</f>
        <v>0</v>
      </c>
      <c r="V132" s="510">
        <f t="shared" si="39"/>
        <v>0</v>
      </c>
      <c r="X132" s="1641">
        <f t="shared" si="40"/>
        <v>0</v>
      </c>
      <c r="Z132" s="1616">
        <f t="shared" si="41"/>
        <v>5190041486</v>
      </c>
      <c r="AB132" s="1616">
        <v>-5171408152</v>
      </c>
      <c r="AC132" s="1616">
        <v>-5171408152</v>
      </c>
      <c r="AD132" s="1616">
        <v>-5171408152</v>
      </c>
      <c r="AE132" s="1616">
        <v>-5171408152</v>
      </c>
      <c r="AF132" s="1616">
        <v>-5171408152</v>
      </c>
      <c r="AG132" s="1616">
        <v>-5171408152</v>
      </c>
      <c r="AH132" s="1616">
        <v>-5190041486</v>
      </c>
      <c r="AI132" s="1616">
        <v>-5190041486</v>
      </c>
      <c r="AJ132" s="1616">
        <v>-5190041486</v>
      </c>
      <c r="AK132" s="1616">
        <v>-5190041486</v>
      </c>
      <c r="AL132" s="1616">
        <v>-5190041486</v>
      </c>
      <c r="AM132" s="1616">
        <v>-5190041486</v>
      </c>
      <c r="AN132" s="1616">
        <v>-5190041486</v>
      </c>
      <c r="AP132" s="498"/>
    </row>
    <row r="133" spans="1:42" ht="18" customHeight="1">
      <c r="A133" s="498"/>
      <c r="D133" s="1593">
        <v>121711</v>
      </c>
      <c r="E133" s="1359" t="s">
        <v>6</v>
      </c>
      <c r="F133" s="1671">
        <v>2509</v>
      </c>
      <c r="G133" s="1359" t="s">
        <v>1885</v>
      </c>
      <c r="H133" s="498">
        <v>462235490</v>
      </c>
      <c r="I133" s="498">
        <v>0</v>
      </c>
      <c r="J133" s="710">
        <v>0</v>
      </c>
      <c r="K133" s="710">
        <v>0</v>
      </c>
      <c r="L133" s="510">
        <f t="shared" si="38"/>
        <v>462235490</v>
      </c>
      <c r="N133" s="1667">
        <f>SUMIF('1.0'!$D:$D,T_BS!D133,'1.0'!$V:$V)</f>
        <v>0</v>
      </c>
      <c r="O133" s="710">
        <f>SUMIF('2.0'!$D:$D,T_BS!D133,'2.0'!$V:$V)</f>
        <v>0</v>
      </c>
      <c r="P133" s="509">
        <f>ROUND(SUMIF('3.0'!$D:$D,T_BS!D133,'3.0'!$H:$H),0)</f>
        <v>0</v>
      </c>
      <c r="Q133" s="720">
        <f>ROUND(SUMIF('4.0'!$D:$D,T_BS!D133,'4.0'!$V:$V),0)</f>
        <v>0</v>
      </c>
      <c r="R133" s="509">
        <f>ROUND(SUMIF('5.0'!$D:$D,T_BS!D133,'5.0'!$V:$V),0)</f>
        <v>0</v>
      </c>
      <c r="S133" s="720">
        <f>ROUND(SUMIF('6.0'!$D:$D,T_BS!D133,'6.0'!$V:$V),0)</f>
        <v>0</v>
      </c>
      <c r="T133" s="720">
        <f>ROUND(SUMIF('7.0'!$D:$D,T_BS!D133,'7.0'!$V:$V),0)</f>
        <v>0</v>
      </c>
      <c r="U133" s="720">
        <f>ROUND(SUMIF('8.0'!$D:$D,T_BS!D133,'8.0'!$H:$H),0)</f>
        <v>0</v>
      </c>
      <c r="V133" s="510">
        <f t="shared" si="39"/>
        <v>0</v>
      </c>
      <c r="X133" s="1641">
        <f t="shared" si="40"/>
        <v>462235490</v>
      </c>
      <c r="Z133" s="1616">
        <f t="shared" si="41"/>
        <v>0</v>
      </c>
      <c r="AB133" s="1616">
        <v>462235490</v>
      </c>
      <c r="AC133" s="1616">
        <v>462235490</v>
      </c>
      <c r="AD133" s="1616">
        <v>462235490</v>
      </c>
      <c r="AE133" s="1616">
        <v>462235490</v>
      </c>
      <c r="AF133" s="1616">
        <v>462235490</v>
      </c>
      <c r="AG133" s="1616">
        <v>462235490</v>
      </c>
      <c r="AH133" s="1616">
        <v>462235490</v>
      </c>
      <c r="AI133" s="1616">
        <v>462235490</v>
      </c>
      <c r="AJ133" s="1616">
        <v>462235490</v>
      </c>
      <c r="AK133" s="1616">
        <v>462235490</v>
      </c>
      <c r="AL133" s="1616">
        <v>462235490</v>
      </c>
      <c r="AM133" s="1616">
        <v>462235490</v>
      </c>
      <c r="AN133" s="1616">
        <v>462235490</v>
      </c>
      <c r="AP133" s="498"/>
    </row>
    <row r="134" spans="1:42" ht="18" customHeight="1">
      <c r="A134" s="498"/>
      <c r="D134" s="1593" t="s">
        <v>128</v>
      </c>
      <c r="E134" s="1359" t="s">
        <v>6</v>
      </c>
      <c r="F134" s="1671">
        <v>2508</v>
      </c>
      <c r="G134" s="1359" t="s">
        <v>129</v>
      </c>
      <c r="H134" s="498">
        <v>17757739327</v>
      </c>
      <c r="I134" s="498">
        <v>0</v>
      </c>
      <c r="J134" s="710">
        <v>0</v>
      </c>
      <c r="K134" s="710">
        <v>0</v>
      </c>
      <c r="L134" s="510">
        <f t="shared" si="38"/>
        <v>17757739327</v>
      </c>
      <c r="N134" s="1667">
        <f>SUMIF('1.0'!$D:$D,T_BS!D134,'1.0'!$V:$V)</f>
        <v>19842800</v>
      </c>
      <c r="O134" s="710">
        <f>SUMIF('2.0'!$D:$D,T_BS!D134,'2.0'!$V:$V)</f>
        <v>0</v>
      </c>
      <c r="P134" s="509">
        <f>ROUND(SUMIF('3.0'!$D:$D,T_BS!D134,'3.0'!$H:$H),0)</f>
        <v>0</v>
      </c>
      <c r="Q134" s="720">
        <f>ROUND(SUMIF('4.0'!$D:$D,T_BS!D134,'4.0'!$V:$V),0)</f>
        <v>0</v>
      </c>
      <c r="R134" s="509">
        <f>ROUND(SUMIF('5.0'!$D:$D,T_BS!D134,'5.0'!$V:$V),0)</f>
        <v>20562131160</v>
      </c>
      <c r="S134" s="720">
        <f>ROUND(SUMIF('6.0'!$D:$D,T_BS!D134,'6.0'!$V:$V),0)</f>
        <v>0</v>
      </c>
      <c r="T134" s="720">
        <f>ROUND(SUMIF('7.0'!$D:$D,T_BS!D134,'7.0'!$V:$V),0)</f>
        <v>0</v>
      </c>
      <c r="U134" s="710">
        <f>ROUND(SUMIF('8.0'!$D:$D,T_BS!D134,'8.0'!$H:$H),0)</f>
        <v>1464530117</v>
      </c>
      <c r="V134" s="510">
        <f t="shared" si="39"/>
        <v>22046504077</v>
      </c>
      <c r="W134" s="575"/>
      <c r="X134" s="1641">
        <f t="shared" si="40"/>
        <v>39804243404</v>
      </c>
      <c r="Y134" s="575"/>
      <c r="Z134" s="1616">
        <f t="shared" si="41"/>
        <v>-1638329642</v>
      </c>
      <c r="AA134" s="575"/>
      <c r="AB134" s="1616">
        <v>39939459814</v>
      </c>
      <c r="AC134" s="1616">
        <v>39974539543</v>
      </c>
      <c r="AD134" s="1616">
        <v>40656149305</v>
      </c>
      <c r="AE134" s="1616">
        <v>40175663322</v>
      </c>
      <c r="AF134" s="1616">
        <v>40173112069</v>
      </c>
      <c r="AG134" s="1616">
        <v>39661160631</v>
      </c>
      <c r="AH134" s="1616">
        <v>40645306480</v>
      </c>
      <c r="AI134" s="1616">
        <v>41442573046</v>
      </c>
      <c r="AJ134" s="1616">
        <v>41472550268</v>
      </c>
      <c r="AK134" s="1616">
        <v>42036589788</v>
      </c>
      <c r="AL134" s="1616">
        <v>41269938259</v>
      </c>
      <c r="AM134" s="1616">
        <v>39916175043</v>
      </c>
      <c r="AN134" s="1616">
        <v>40488718739</v>
      </c>
      <c r="AP134" s="498"/>
    </row>
    <row r="135" spans="1:42" ht="18" customHeight="1">
      <c r="A135" s="498"/>
      <c r="D135" s="1593" t="s">
        <v>130</v>
      </c>
      <c r="E135" s="1359" t="s">
        <v>6</v>
      </c>
      <c r="F135" s="1671">
        <v>2508</v>
      </c>
      <c r="G135" s="1359" t="s">
        <v>131</v>
      </c>
      <c r="H135" s="498">
        <v>-13660746110</v>
      </c>
      <c r="I135" s="498">
        <v>0</v>
      </c>
      <c r="J135" s="710">
        <v>0</v>
      </c>
      <c r="K135" s="710">
        <v>0</v>
      </c>
      <c r="L135" s="510">
        <f t="shared" si="38"/>
        <v>-13660746110</v>
      </c>
      <c r="N135" s="1667">
        <f>SUMIF('1.0'!$D:$D,T_BS!D135,'1.0'!$V:$V)</f>
        <v>0</v>
      </c>
      <c r="O135" s="710">
        <f>SUMIF('2.0'!$D:$D,T_BS!D135,'2.0'!$V:$V)</f>
        <v>0</v>
      </c>
      <c r="P135" s="509">
        <f>ROUND(SUMIF('3.0'!$D:$D,T_BS!D135,'3.0'!$H:$H),0)</f>
        <v>0</v>
      </c>
      <c r="Q135" s="720">
        <f>ROUND(SUMIF('4.0'!$D:$D,T_BS!D135,'4.0'!$V:$V),0)</f>
        <v>0</v>
      </c>
      <c r="R135" s="509">
        <f>ROUND(SUMIF('5.0'!$D:$D,T_BS!D135,'5.0'!$V:$V),0)</f>
        <v>-18774909945</v>
      </c>
      <c r="S135" s="720">
        <f>ROUND(SUMIF('6.0'!$D:$D,T_BS!D135,'6.0'!$V:$V),0)</f>
        <v>0</v>
      </c>
      <c r="T135" s="720">
        <f>ROUND(SUMIF('7.0'!$D:$D,T_BS!D135,'7.0'!$V:$V),0)</f>
        <v>0</v>
      </c>
      <c r="U135" s="720">
        <f>ROUND(SUMIF('8.0'!$D:$D,T_BS!D135,'8.0'!$H:$H),0)</f>
        <v>0</v>
      </c>
      <c r="V135" s="510">
        <f t="shared" si="39"/>
        <v>-18774909945</v>
      </c>
      <c r="X135" s="1641">
        <f t="shared" si="40"/>
        <v>-32435656055</v>
      </c>
      <c r="Z135" s="1616">
        <f t="shared" si="41"/>
        <v>1472394442</v>
      </c>
      <c r="AB135" s="1616">
        <v>-32538972207</v>
      </c>
      <c r="AC135" s="1616">
        <v>-32570923822</v>
      </c>
      <c r="AD135" s="1616">
        <v>-33191753383</v>
      </c>
      <c r="AE135" s="1616">
        <v>-32754113081</v>
      </c>
      <c r="AF135" s="1616">
        <v>-32751789328</v>
      </c>
      <c r="AG135" s="1616">
        <v>-32285489395</v>
      </c>
      <c r="AH135" s="1616">
        <v>-33181877430</v>
      </c>
      <c r="AI135" s="1616">
        <v>-33908050497</v>
      </c>
      <c r="AJ135" s="1616">
        <v>-33935354604</v>
      </c>
      <c r="AK135" s="1616">
        <v>-34449097844</v>
      </c>
      <c r="AL135" s="1616">
        <v>-33750809822</v>
      </c>
      <c r="AM135" s="1616">
        <v>-33851699467</v>
      </c>
      <c r="AN135" s="1616">
        <v>-34373188553</v>
      </c>
      <c r="AP135" s="498"/>
    </row>
    <row r="136" spans="1:42" ht="18" customHeight="1">
      <c r="A136" s="498"/>
      <c r="D136" s="1593">
        <v>125950</v>
      </c>
      <c r="E136" s="1359" t="s">
        <v>6</v>
      </c>
      <c r="F136" s="1361">
        <v>2507</v>
      </c>
      <c r="G136" s="1359" t="s">
        <v>132</v>
      </c>
      <c r="H136" s="498">
        <v>15600000000</v>
      </c>
      <c r="I136" s="498">
        <v>0</v>
      </c>
      <c r="J136" s="710">
        <v>0</v>
      </c>
      <c r="K136" s="710">
        <v>0</v>
      </c>
      <c r="L136" s="510">
        <f t="shared" si="38"/>
        <v>15600000000</v>
      </c>
      <c r="N136" s="1667">
        <f>SUMIF('1.0'!$D:$D,T_BS!D136,'1.0'!$V:$V)</f>
        <v>0</v>
      </c>
      <c r="O136" s="710">
        <f>SUMIF('2.0'!$D:$D,T_BS!D136,'2.0'!$V:$V)</f>
        <v>0</v>
      </c>
      <c r="P136" s="509">
        <f>ROUND(SUMIF('3.0'!$D:$D,T_BS!D136,'3.0'!$H:$H),0)</f>
        <v>0</v>
      </c>
      <c r="Q136" s="720">
        <f>ROUND(SUMIF('4.0'!$D:$D,T_BS!D136,'4.0'!$V:$V),0)</f>
        <v>0</v>
      </c>
      <c r="R136" s="509">
        <f>ROUND(SUMIF('5.0'!$D:$D,T_BS!D136,'5.0'!$V:$V),0)</f>
        <v>0</v>
      </c>
      <c r="S136" s="720">
        <f>ROUND(SUMIF('6.0'!$D:$D,T_BS!D136,'6.0'!$V:$V),0)</f>
        <v>0</v>
      </c>
      <c r="T136" s="720">
        <f>ROUND(SUMIF('7.0'!$D:$D,T_BS!D136,'7.0'!$V:$V),0)</f>
        <v>0</v>
      </c>
      <c r="U136" s="720">
        <f>ROUND(SUMIF('8.0'!$D:$D,T_BS!D136,'8.0'!$H:$H),0)</f>
        <v>0</v>
      </c>
      <c r="V136" s="510">
        <f t="shared" si="39"/>
        <v>0</v>
      </c>
      <c r="X136" s="1641">
        <f t="shared" si="40"/>
        <v>15600000000</v>
      </c>
      <c r="Z136" s="1616">
        <f t="shared" si="41"/>
        <v>0</v>
      </c>
      <c r="AB136" s="1616">
        <v>15600000000</v>
      </c>
      <c r="AC136" s="1616">
        <v>15600000000</v>
      </c>
      <c r="AD136" s="1616">
        <v>15600000000</v>
      </c>
      <c r="AE136" s="1616">
        <v>15600000000</v>
      </c>
      <c r="AF136" s="1616">
        <v>15600000000</v>
      </c>
      <c r="AG136" s="1616">
        <v>15600000000</v>
      </c>
      <c r="AH136" s="1616">
        <v>15600000000</v>
      </c>
      <c r="AI136" s="1616">
        <v>15600000000</v>
      </c>
      <c r="AJ136" s="1616">
        <v>15600000000</v>
      </c>
      <c r="AK136" s="1616">
        <v>15600000000</v>
      </c>
      <c r="AL136" s="1616">
        <v>15600000000</v>
      </c>
      <c r="AM136" s="1616">
        <v>15600000000</v>
      </c>
      <c r="AN136" s="1616">
        <v>15600000000</v>
      </c>
      <c r="AP136" s="498"/>
    </row>
    <row r="137" spans="1:42" ht="18" customHeight="1">
      <c r="A137" s="498"/>
      <c r="D137" s="1593">
        <v>125960</v>
      </c>
      <c r="E137" s="1359" t="s">
        <v>6</v>
      </c>
      <c r="F137" s="1361">
        <v>2507</v>
      </c>
      <c r="G137" s="1359" t="s">
        <v>133</v>
      </c>
      <c r="H137" s="498">
        <v>-15479098000</v>
      </c>
      <c r="I137" s="498">
        <v>0</v>
      </c>
      <c r="J137" s="710">
        <v>0</v>
      </c>
      <c r="K137" s="710">
        <v>0</v>
      </c>
      <c r="L137" s="510">
        <f t="shared" si="38"/>
        <v>-15479098000</v>
      </c>
      <c r="N137" s="1667">
        <f>SUMIF('1.0'!$D:$D,T_BS!D137,'1.0'!$V:$V)</f>
        <v>0</v>
      </c>
      <c r="O137" s="710">
        <f>SUMIF('2.0'!$D:$D,T_BS!D137,'2.0'!$V:$V)</f>
        <v>0</v>
      </c>
      <c r="P137" s="509">
        <f>ROUND(SUMIF('3.0'!$D:$D,T_BS!D137,'3.0'!$H:$H),0)</f>
        <v>0</v>
      </c>
      <c r="Q137" s="720">
        <f>ROUND(SUMIF('4.0'!$D:$D,T_BS!D137,'4.0'!$V:$V),0)</f>
        <v>0</v>
      </c>
      <c r="R137" s="509">
        <f>ROUND(SUMIF('5.0'!$D:$D,T_BS!D137,'5.0'!$V:$V),0)</f>
        <v>0</v>
      </c>
      <c r="S137" s="720">
        <f>ROUND(SUMIF('6.0'!$D:$D,T_BS!D137,'6.0'!$V:$V),0)</f>
        <v>0</v>
      </c>
      <c r="T137" s="720">
        <f>ROUND(SUMIF('7.0'!$D:$D,T_BS!D137,'7.0'!$V:$V),0)</f>
        <v>0</v>
      </c>
      <c r="U137" s="720">
        <f>ROUND(SUMIF('8.0'!$D:$D,T_BS!D137,'8.0'!$H:$H),0)</f>
        <v>0</v>
      </c>
      <c r="V137" s="510">
        <f t="shared" si="39"/>
        <v>0</v>
      </c>
      <c r="X137" s="1641">
        <f t="shared" si="40"/>
        <v>-15479098000</v>
      </c>
      <c r="Z137" s="1616">
        <f t="shared" si="41"/>
        <v>-1450800000</v>
      </c>
      <c r="AB137" s="1616">
        <v>-15358198000</v>
      </c>
      <c r="AC137" s="1616">
        <v>-15237298000</v>
      </c>
      <c r="AD137" s="1616">
        <v>-15116398000</v>
      </c>
      <c r="AE137" s="1616">
        <v>-14995498000</v>
      </c>
      <c r="AF137" s="1616">
        <v>-14874598000</v>
      </c>
      <c r="AG137" s="1616">
        <v>-14753698000</v>
      </c>
      <c r="AH137" s="1616">
        <v>-14390998000</v>
      </c>
      <c r="AI137" s="1616">
        <v>-14028298000</v>
      </c>
      <c r="AJ137" s="1616">
        <v>-13786498000</v>
      </c>
      <c r="AK137" s="1616">
        <v>-13665598000</v>
      </c>
      <c r="AL137" s="1616">
        <v>-13302898000</v>
      </c>
      <c r="AM137" s="1616">
        <v>-12940198000</v>
      </c>
      <c r="AN137" s="1616">
        <v>-12428887888</v>
      </c>
      <c r="AP137" s="498"/>
    </row>
    <row r="138" spans="1:42" ht="18" customHeight="1">
      <c r="A138" s="498"/>
      <c r="D138" s="1593">
        <v>125970</v>
      </c>
      <c r="E138" s="1359" t="s">
        <v>6</v>
      </c>
      <c r="F138" s="1361">
        <v>2507</v>
      </c>
      <c r="G138" s="1359" t="s">
        <v>134</v>
      </c>
      <c r="H138" s="498">
        <v>2505000000</v>
      </c>
      <c r="I138" s="498">
        <v>0</v>
      </c>
      <c r="J138" s="710">
        <v>0</v>
      </c>
      <c r="K138" s="710">
        <v>0</v>
      </c>
      <c r="L138" s="510">
        <f t="shared" si="38"/>
        <v>2505000000</v>
      </c>
      <c r="N138" s="1667">
        <f>SUMIF('1.0'!$D:$D,T_BS!D138,'1.0'!$V:$V)</f>
        <v>0</v>
      </c>
      <c r="O138" s="710">
        <f>SUMIF('2.0'!$D:$D,T_BS!D138,'2.0'!$V:$V)</f>
        <v>0</v>
      </c>
      <c r="P138" s="509">
        <f>ROUND(SUMIF('3.0'!$D:$D,T_BS!D138,'3.0'!$H:$H),0)</f>
        <v>0</v>
      </c>
      <c r="Q138" s="720">
        <f>ROUND(SUMIF('4.0'!$D:$D,T_BS!D138,'4.0'!$V:$V),0)</f>
        <v>0</v>
      </c>
      <c r="R138" s="509">
        <f>ROUND(SUMIF('5.0'!$D:$D,T_BS!D138,'5.0'!$V:$V),0)</f>
        <v>0</v>
      </c>
      <c r="S138" s="720">
        <f>ROUND(SUMIF('6.0'!$D:$D,T_BS!D138,'6.0'!$V:$V),0)</f>
        <v>0</v>
      </c>
      <c r="T138" s="720">
        <f>ROUND(SUMIF('7.0'!$D:$D,T_BS!D138,'7.0'!$V:$V),0)</f>
        <v>0</v>
      </c>
      <c r="U138" s="720">
        <f>ROUND(SUMIF('8.0'!$D:$D,T_BS!D138,'8.0'!$H:$H),0)</f>
        <v>0</v>
      </c>
      <c r="V138" s="510">
        <f t="shared" si="39"/>
        <v>0</v>
      </c>
      <c r="X138" s="1641">
        <f t="shared" si="40"/>
        <v>2505000000</v>
      </c>
      <c r="Z138" s="1616">
        <f t="shared" si="41"/>
        <v>0</v>
      </c>
      <c r="AB138" s="1616">
        <v>2505000000</v>
      </c>
      <c r="AC138" s="1616">
        <v>2505000000</v>
      </c>
      <c r="AD138" s="1616">
        <v>2505000000</v>
      </c>
      <c r="AE138" s="1616">
        <v>2505000000</v>
      </c>
      <c r="AF138" s="1616">
        <v>2505000000</v>
      </c>
      <c r="AG138" s="1616">
        <v>2505000000</v>
      </c>
      <c r="AH138" s="1616">
        <v>2505000000</v>
      </c>
      <c r="AI138" s="1616">
        <v>2505000000</v>
      </c>
      <c r="AJ138" s="1616">
        <v>2505000000</v>
      </c>
      <c r="AK138" s="1616">
        <v>2505000000</v>
      </c>
      <c r="AL138" s="1616">
        <v>2505000000</v>
      </c>
      <c r="AM138" s="1616">
        <v>2500000000</v>
      </c>
      <c r="AN138" s="1616">
        <v>2500000000</v>
      </c>
      <c r="AP138" s="498"/>
    </row>
    <row r="139" spans="1:42" ht="18" customHeight="1">
      <c r="A139" s="498"/>
      <c r="D139" s="1593">
        <v>125980</v>
      </c>
      <c r="E139" s="1359" t="s">
        <v>6</v>
      </c>
      <c r="F139" s="1361">
        <v>2507</v>
      </c>
      <c r="G139" s="1359" t="s">
        <v>135</v>
      </c>
      <c r="H139" s="498">
        <v>-1835416666</v>
      </c>
      <c r="I139" s="498">
        <v>0</v>
      </c>
      <c r="J139" s="710">
        <v>0</v>
      </c>
      <c r="K139" s="710">
        <v>0</v>
      </c>
      <c r="L139" s="510">
        <f t="shared" si="38"/>
        <v>-1835416666</v>
      </c>
      <c r="N139" s="1667">
        <f>SUMIF('1.0'!$D:$D,T_BS!D139,'1.0'!$V:$V)</f>
        <v>0</v>
      </c>
      <c r="O139" s="710">
        <f>SUMIF('2.0'!$D:$D,T_BS!D139,'2.0'!$V:$V)</f>
        <v>0</v>
      </c>
      <c r="P139" s="509">
        <f>ROUND(SUMIF('3.0'!$D:$D,T_BS!D139,'3.0'!$H:$H),0)</f>
        <v>0</v>
      </c>
      <c r="Q139" s="720">
        <f>ROUND(SUMIF('4.0'!$D:$D,T_BS!D139,'4.0'!$V:$V),0)</f>
        <v>0</v>
      </c>
      <c r="R139" s="509">
        <f>ROUND(SUMIF('5.0'!$D:$D,T_BS!D139,'5.0'!$V:$V),0)</f>
        <v>0</v>
      </c>
      <c r="S139" s="720">
        <f>ROUND(SUMIF('6.0'!$D:$D,T_BS!D139,'6.0'!$V:$V),0)</f>
        <v>0</v>
      </c>
      <c r="T139" s="720">
        <f>ROUND(SUMIF('7.0'!$D:$D,T_BS!D139,'7.0'!$V:$V),0)</f>
        <v>0</v>
      </c>
      <c r="U139" s="720">
        <f>ROUND(SUMIF('8.0'!$D:$D,T_BS!D139,'8.0'!$H:$H),0)</f>
        <v>0</v>
      </c>
      <c r="V139" s="510">
        <f t="shared" si="39"/>
        <v>0</v>
      </c>
      <c r="X139" s="1641">
        <f t="shared" si="40"/>
        <v>-1835416666</v>
      </c>
      <c r="Z139" s="1616">
        <f t="shared" si="41"/>
        <v>-501250000</v>
      </c>
      <c r="AB139" s="1616">
        <v>-1793645818</v>
      </c>
      <c r="AC139" s="1616">
        <v>-1751874986</v>
      </c>
      <c r="AD139" s="1616">
        <v>-1710104154</v>
      </c>
      <c r="AE139" s="1616">
        <v>-1668333322</v>
      </c>
      <c r="AF139" s="1616">
        <v>-1626562490</v>
      </c>
      <c r="AG139" s="1616">
        <v>-1584791658</v>
      </c>
      <c r="AH139" s="1616">
        <v>-1459479162</v>
      </c>
      <c r="AI139" s="1616">
        <v>-1334166666</v>
      </c>
      <c r="AJ139" s="1616">
        <v>-1250624989</v>
      </c>
      <c r="AK139" s="1616">
        <v>-1208854157</v>
      </c>
      <c r="AL139" s="1616">
        <v>-1083541661</v>
      </c>
      <c r="AM139" s="1616">
        <v>-958333331</v>
      </c>
      <c r="AN139" s="1616">
        <v>-833333333</v>
      </c>
      <c r="AP139" s="498"/>
    </row>
    <row r="140" spans="1:42" ht="18" customHeight="1">
      <c r="A140" s="498"/>
      <c r="D140" s="1633" t="s">
        <v>486</v>
      </c>
      <c r="E140" s="1359" t="s">
        <v>6</v>
      </c>
      <c r="F140" s="1361">
        <v>2507</v>
      </c>
      <c r="G140" s="1359" t="s">
        <v>1905</v>
      </c>
      <c r="H140" s="498">
        <v>0</v>
      </c>
      <c r="I140" s="498">
        <v>0</v>
      </c>
      <c r="J140" s="710">
        <v>0</v>
      </c>
      <c r="K140" s="710">
        <v>0</v>
      </c>
      <c r="L140" s="510">
        <f t="shared" si="38"/>
        <v>0</v>
      </c>
      <c r="N140" s="1667">
        <f>SUMIF('1.0'!$D:$D,T_BS!D140,'1.0'!$V:$V)</f>
        <v>0</v>
      </c>
      <c r="O140" s="710">
        <f>SUMIF('2.0'!$D:$D,T_BS!D140,'2.0'!$V:$V)</f>
        <v>0</v>
      </c>
      <c r="P140" s="509">
        <f>ROUND(SUMIF('3.0'!$D:$D,T_BS!D140,'3.0'!$H:$H),0)</f>
        <v>0</v>
      </c>
      <c r="Q140" s="720">
        <f>ROUND(SUMIF('4.0'!$D:$D,T_BS!D140,'4.0'!$V:$V),0)</f>
        <v>0</v>
      </c>
      <c r="R140" s="509">
        <f>ROUND(SUMIF('5.0'!$D:$D,T_BS!D140,'5.0'!$V:$V),0)</f>
        <v>6881418585</v>
      </c>
      <c r="S140" s="720">
        <f>ROUND(SUMIF('6.0'!$D:$D,T_BS!D140,'6.0'!$V:$V),0)</f>
        <v>0</v>
      </c>
      <c r="T140" s="720">
        <f>ROUND(SUMIF('7.0'!$D:$D,T_BS!D140,'7.0'!$V:$V),0)</f>
        <v>0</v>
      </c>
      <c r="U140" s="720">
        <f>ROUND(SUMIF('8.0'!$D:$D,T_BS!D140,'8.0'!$H:$H),0)</f>
        <v>0</v>
      </c>
      <c r="V140" s="510">
        <f t="shared" si="39"/>
        <v>6881418585</v>
      </c>
      <c r="X140" s="1641">
        <f t="shared" si="40"/>
        <v>6881418585</v>
      </c>
      <c r="Z140" s="1616">
        <f t="shared" si="41"/>
        <v>0</v>
      </c>
      <c r="AB140" s="1616">
        <v>6881418585</v>
      </c>
      <c r="AC140" s="1616">
        <v>6881418585</v>
      </c>
      <c r="AD140" s="1616">
        <v>6881418585</v>
      </c>
      <c r="AE140" s="1616">
        <v>6881418585</v>
      </c>
      <c r="AF140" s="1616">
        <v>6881418585</v>
      </c>
      <c r="AG140" s="1616">
        <v>6881418585</v>
      </c>
      <c r="AH140" s="1616">
        <v>6881418585</v>
      </c>
      <c r="AI140" s="1616">
        <v>6881418585</v>
      </c>
      <c r="AJ140" s="1616">
        <v>6881418585</v>
      </c>
      <c r="AK140" s="1616">
        <v>6881418585</v>
      </c>
      <c r="AL140" s="1616">
        <v>6705639743</v>
      </c>
      <c r="AM140" s="1616">
        <v>6705639743</v>
      </c>
      <c r="AN140" s="1616">
        <v>6881418585</v>
      </c>
      <c r="AP140" s="498"/>
    </row>
    <row r="141" spans="1:42" ht="18" customHeight="1">
      <c r="A141" s="498"/>
      <c r="D141" s="1633" t="s">
        <v>1907</v>
      </c>
      <c r="E141" s="1359" t="s">
        <v>6</v>
      </c>
      <c r="F141" s="1361">
        <v>2507</v>
      </c>
      <c r="G141" s="1359" t="s">
        <v>1909</v>
      </c>
      <c r="H141" s="498">
        <v>0</v>
      </c>
      <c r="I141" s="498">
        <v>0</v>
      </c>
      <c r="J141" s="710">
        <v>0</v>
      </c>
      <c r="K141" s="710">
        <v>0</v>
      </c>
      <c r="L141" s="510">
        <f t="shared" si="38"/>
        <v>0</v>
      </c>
      <c r="N141" s="1667">
        <f>SUMIF('1.0'!$D:$D,T_BS!D141,'1.0'!$V:$V)</f>
        <v>0</v>
      </c>
      <c r="O141" s="710">
        <f>SUMIF('2.0'!$D:$D,T_BS!D141,'2.0'!$V:$V)</f>
        <v>0</v>
      </c>
      <c r="P141" s="509">
        <f>ROUND(SUMIF('3.0'!$D:$D,T_BS!D141,'3.0'!$H:$H),0)</f>
        <v>0</v>
      </c>
      <c r="Q141" s="720">
        <f>ROUND(SUMIF('4.0'!$D:$D,T_BS!D141,'4.0'!$V:$V),0)</f>
        <v>0</v>
      </c>
      <c r="R141" s="509">
        <f>ROUND(SUMIF('5.0'!$D:$D,T_BS!D141,'5.0'!$V:$V),0)</f>
        <v>-2293806195</v>
      </c>
      <c r="S141" s="720">
        <f>ROUND(SUMIF('6.0'!$D:$D,T_BS!D141,'6.0'!$V:$V),0)</f>
        <v>0</v>
      </c>
      <c r="T141" s="720">
        <f>ROUND(SUMIF('7.0'!$D:$D,T_BS!D141,'7.0'!$V:$V),0)</f>
        <v>0</v>
      </c>
      <c r="U141" s="720">
        <f>ROUND(SUMIF('8.0'!$D:$D,T_BS!D141,'8.0'!$H:$H),0)</f>
        <v>0</v>
      </c>
      <c r="V141" s="510">
        <f>SUM(N141:U141)</f>
        <v>-2293806195</v>
      </c>
      <c r="X141" s="1641">
        <f t="shared" si="40"/>
        <v>-2293806195</v>
      </c>
      <c r="Z141" s="1616">
        <f t="shared" si="41"/>
        <v>0</v>
      </c>
      <c r="AB141" s="1616">
        <v>-2293806195</v>
      </c>
      <c r="AC141" s="1616">
        <v>-2293806195</v>
      </c>
      <c r="AD141" s="1616">
        <v>-2293806195</v>
      </c>
      <c r="AE141" s="1616">
        <v>-2293806195</v>
      </c>
      <c r="AF141" s="1616">
        <v>-2293806195</v>
      </c>
      <c r="AG141" s="1616">
        <v>-2293806195</v>
      </c>
      <c r="AH141" s="1616">
        <v>-2293806195</v>
      </c>
      <c r="AI141" s="1616">
        <v>-2293806195</v>
      </c>
      <c r="AJ141" s="1616">
        <v>-2293806195</v>
      </c>
      <c r="AK141" s="1616">
        <v>-2293806195</v>
      </c>
      <c r="AL141" s="1616">
        <v>-2235213248</v>
      </c>
      <c r="AM141" s="1616">
        <v>-2235213248</v>
      </c>
      <c r="AN141" s="1616">
        <v>-2293806195</v>
      </c>
      <c r="AP141" s="498"/>
    </row>
    <row r="142" spans="1:42" ht="18" customHeight="1">
      <c r="A142" s="498"/>
      <c r="D142" s="1633" t="s">
        <v>2035</v>
      </c>
      <c r="E142" s="1359" t="s">
        <v>6</v>
      </c>
      <c r="F142" s="1361">
        <v>2507</v>
      </c>
      <c r="G142" s="1359" t="s">
        <v>2034</v>
      </c>
      <c r="H142" s="498">
        <v>0</v>
      </c>
      <c r="I142" s="498">
        <v>0</v>
      </c>
      <c r="J142" s="710">
        <v>0</v>
      </c>
      <c r="K142" s="710">
        <v>0</v>
      </c>
      <c r="L142" s="510">
        <f t="shared" si="38"/>
        <v>0</v>
      </c>
      <c r="N142" s="1667">
        <f>SUMIF('1.0'!$D:$D,T_BS!D142,'1.0'!$V:$V)</f>
        <v>0</v>
      </c>
      <c r="O142" s="710">
        <f>SUMIF('2.0'!$D:$D,T_BS!D142,'2.0'!$V:$V)</f>
        <v>0</v>
      </c>
      <c r="P142" s="509">
        <f>ROUND(SUMIF('3.0'!$D:$D,T_BS!D142,'3.0'!$H:$H),0)</f>
        <v>0</v>
      </c>
      <c r="Q142" s="720">
        <f>ROUND(SUMIF('4.0'!$D:$D,T_BS!D142,'4.0'!$V:$V),0)</f>
        <v>0</v>
      </c>
      <c r="R142" s="509">
        <f>ROUND(SUMIF('5.0'!$D:$D,T_BS!D142,'5.0'!$V:$V),0)</f>
        <v>-4587612390</v>
      </c>
      <c r="S142" s="720">
        <f>ROUND(SUMIF('6.0'!$D:$D,T_BS!D142,'6.0'!$V:$V),0)</f>
        <v>0</v>
      </c>
      <c r="T142" s="720">
        <f>ROUND(SUMIF('7.0'!$D:$D,T_BS!D142,'7.0'!$V:$V),0)</f>
        <v>0</v>
      </c>
      <c r="U142" s="720">
        <f>ROUND(SUMIF('8.0'!$D:$D,T_BS!D142,'8.0'!$H:$H),0)</f>
        <v>0</v>
      </c>
      <c r="V142" s="510">
        <f>SUM(N142:U142)</f>
        <v>-4587612390</v>
      </c>
      <c r="X142" s="1641">
        <f t="shared" si="40"/>
        <v>-4587612390</v>
      </c>
      <c r="Z142" s="1616">
        <f t="shared" si="41"/>
        <v>0</v>
      </c>
      <c r="AB142" s="1616">
        <v>-4587612390</v>
      </c>
      <c r="AC142" s="1616">
        <v>-4587612390</v>
      </c>
      <c r="AD142" s="1616">
        <v>-4587612390</v>
      </c>
      <c r="AE142" s="1616">
        <v>-4587612390</v>
      </c>
      <c r="AF142" s="1616">
        <v>-4587612390</v>
      </c>
      <c r="AG142" s="1616">
        <v>-4587612390</v>
      </c>
      <c r="AH142" s="1616">
        <v>-4587612390</v>
      </c>
      <c r="AI142" s="1616">
        <v>-4587612390</v>
      </c>
      <c r="AJ142" s="1616">
        <v>-4587612390</v>
      </c>
      <c r="AK142" s="1616">
        <v>-4587612390</v>
      </c>
      <c r="AL142" s="1616">
        <v>-4470426495</v>
      </c>
      <c r="AM142" s="1616">
        <v>-4470426495</v>
      </c>
      <c r="AN142" s="1616">
        <v>-4587612390</v>
      </c>
      <c r="AP142" s="498"/>
    </row>
    <row r="143" spans="1:42" ht="18" customHeight="1">
      <c r="A143" s="498"/>
      <c r="D143" s="1633">
        <v>125930</v>
      </c>
      <c r="E143" s="1359" t="s">
        <v>6</v>
      </c>
      <c r="F143" s="1361">
        <v>2507</v>
      </c>
      <c r="G143" s="1359" t="s">
        <v>1839</v>
      </c>
      <c r="H143" s="498">
        <v>323921744</v>
      </c>
      <c r="I143" s="498">
        <v>0</v>
      </c>
      <c r="J143" s="710">
        <v>0</v>
      </c>
      <c r="K143" s="710">
        <v>0</v>
      </c>
      <c r="L143" s="510">
        <f t="shared" si="38"/>
        <v>323921744</v>
      </c>
      <c r="N143" s="1667">
        <f>SUMIF('1.0'!$D:$D,T_BS!D143,'1.0'!$V:$V)</f>
        <v>0</v>
      </c>
      <c r="O143" s="710">
        <f>SUMIF('2.0'!$D:$D,T_BS!D143,'2.0'!$V:$V)</f>
        <v>0</v>
      </c>
      <c r="P143" s="509">
        <f>ROUND(SUMIF('3.0'!$D:$D,T_BS!D143,'3.0'!$H:$H),0)</f>
        <v>0</v>
      </c>
      <c r="Q143" s="720">
        <f>ROUND(SUMIF('4.0'!$D:$D,T_BS!D143,'4.0'!$V:$V),0)</f>
        <v>0</v>
      </c>
      <c r="R143" s="509">
        <f>ROUND(SUMIF('5.0'!$D:$D,T_BS!D143,'5.0'!$V:$V),0)</f>
        <v>0</v>
      </c>
      <c r="S143" s="720">
        <f>ROUND(SUMIF('6.0'!$D:$D,T_BS!D143,'6.0'!$V:$V),0)</f>
        <v>0</v>
      </c>
      <c r="T143" s="720">
        <f>ROUND(SUMIF('7.0'!$D:$D,T_BS!D143,'7.0'!$V:$V),0)</f>
        <v>0</v>
      </c>
      <c r="U143" s="720">
        <f>ROUND(SUMIF('8.0'!$D:$D,T_BS!D143,'8.0'!$H:$H),0)</f>
        <v>0</v>
      </c>
      <c r="V143" s="510">
        <f>SUM(N143:U143)</f>
        <v>0</v>
      </c>
      <c r="X143" s="1641">
        <f t="shared" si="40"/>
        <v>323921744</v>
      </c>
      <c r="Z143" s="1616">
        <f t="shared" si="41"/>
        <v>-25161853</v>
      </c>
      <c r="AB143" s="1616">
        <v>334918881</v>
      </c>
      <c r="AC143" s="1616">
        <v>328763337</v>
      </c>
      <c r="AD143" s="1616">
        <v>1384246161</v>
      </c>
      <c r="AE143" s="1616">
        <v>323475239</v>
      </c>
      <c r="AF143" s="1616">
        <v>302348347</v>
      </c>
      <c r="AG143" s="1616">
        <v>287836305</v>
      </c>
      <c r="AH143" s="1616">
        <v>256610682</v>
      </c>
      <c r="AI143" s="1616">
        <v>349083597</v>
      </c>
      <c r="AJ143" s="1616">
        <v>504070230</v>
      </c>
      <c r="AK143" s="1616">
        <v>496315735</v>
      </c>
      <c r="AL143" s="1616">
        <v>286280537</v>
      </c>
      <c r="AM143" s="1616">
        <v>244859582</v>
      </c>
      <c r="AN143" s="1616">
        <v>248445371</v>
      </c>
      <c r="AP143" s="498"/>
    </row>
    <row r="144" spans="1:42" ht="18" customHeight="1">
      <c r="A144" s="498"/>
      <c r="D144" s="1588"/>
      <c r="E144" s="1589"/>
      <c r="F144" s="1590"/>
      <c r="G144" s="1589" t="s">
        <v>7</v>
      </c>
      <c r="H144" s="520">
        <f>H145+H146</f>
        <v>0</v>
      </c>
      <c r="I144" s="506">
        <f>I145+I146</f>
        <v>0</v>
      </c>
      <c r="J144" s="506">
        <f>J145+J146</f>
        <v>0</v>
      </c>
      <c r="K144" s="506">
        <f>K145+K146</f>
        <v>0</v>
      </c>
      <c r="L144" s="507">
        <f>L145+L146</f>
        <v>0</v>
      </c>
      <c r="N144" s="1631">
        <f t="shared" ref="N144:V144" si="42">N145+N146</f>
        <v>0</v>
      </c>
      <c r="O144" s="506">
        <f t="shared" si="42"/>
        <v>0</v>
      </c>
      <c r="P144" s="506">
        <f t="shared" si="42"/>
        <v>0</v>
      </c>
      <c r="Q144" s="506">
        <f t="shared" si="42"/>
        <v>0</v>
      </c>
      <c r="R144" s="506">
        <f t="shared" si="42"/>
        <v>0</v>
      </c>
      <c r="S144" s="506">
        <f t="shared" si="42"/>
        <v>0</v>
      </c>
      <c r="T144" s="506">
        <f t="shared" si="42"/>
        <v>0</v>
      </c>
      <c r="U144" s="506">
        <f t="shared" si="42"/>
        <v>0</v>
      </c>
      <c r="V144" s="507">
        <f t="shared" si="42"/>
        <v>0</v>
      </c>
      <c r="X144" s="1630">
        <f>X145+X146</f>
        <v>0</v>
      </c>
      <c r="Z144" s="1630">
        <f>Z145+Z146</f>
        <v>0</v>
      </c>
      <c r="AB144" s="1630">
        <v>0</v>
      </c>
      <c r="AC144" s="1630">
        <v>0</v>
      </c>
      <c r="AD144" s="1630">
        <v>0</v>
      </c>
      <c r="AE144" s="1630">
        <v>0</v>
      </c>
      <c r="AF144" s="1630">
        <v>0</v>
      </c>
      <c r="AG144" s="1630">
        <v>0</v>
      </c>
      <c r="AH144" s="1630">
        <v>0</v>
      </c>
      <c r="AI144" s="1630">
        <v>0</v>
      </c>
      <c r="AJ144" s="1630">
        <v>0</v>
      </c>
      <c r="AK144" s="1630">
        <v>0</v>
      </c>
      <c r="AL144" s="1630">
        <v>0</v>
      </c>
      <c r="AM144" s="1630">
        <f>AM145+AM146</f>
        <v>0</v>
      </c>
      <c r="AN144" s="1630">
        <v>0</v>
      </c>
      <c r="AP144" s="498"/>
    </row>
    <row r="145" spans="1:42" s="1668" customFormat="1" ht="18" customHeight="1">
      <c r="A145" s="543"/>
      <c r="B145" s="1359"/>
      <c r="C145" s="1359"/>
      <c r="D145" s="1593">
        <v>121850</v>
      </c>
      <c r="E145" s="1359" t="s">
        <v>7</v>
      </c>
      <c r="F145" s="1361">
        <v>2302</v>
      </c>
      <c r="G145" s="1359" t="s">
        <v>136</v>
      </c>
      <c r="H145" s="498">
        <v>0</v>
      </c>
      <c r="I145" s="498">
        <v>0</v>
      </c>
      <c r="J145" s="710">
        <v>0</v>
      </c>
      <c r="K145" s="710">
        <v>0</v>
      </c>
      <c r="L145" s="510">
        <f>SUM(H145:K145)</f>
        <v>0</v>
      </c>
      <c r="M145" s="1653"/>
      <c r="N145" s="1667">
        <f>SUMIF('1.0'!$D:$D,T_BS!D145,'1.0'!$V:$V)</f>
        <v>0</v>
      </c>
      <c r="O145" s="710">
        <f>SUMIF('2.0'!$D:$D,T_BS!D145,'2.0'!$V:$V)</f>
        <v>0</v>
      </c>
      <c r="P145" s="509">
        <f>ROUND(SUMIF('3.0'!$D:$D,T_BS!D145,'3.0'!$H:$H),0)</f>
        <v>0</v>
      </c>
      <c r="Q145" s="720">
        <f>ROUND(SUMIF('4.0'!$D:$D,T_BS!D145,'4.0'!$V:$V),0)</f>
        <v>0</v>
      </c>
      <c r="R145" s="509">
        <f>ROUND(SUMIF('5.0'!$D:$D,T_BS!D145,'5.0'!$V:$V),0)</f>
        <v>0</v>
      </c>
      <c r="S145" s="720">
        <f>ROUND(SUMIF('6.0'!$D:$D,T_BS!D145,'6.0'!$V:$V),0)</f>
        <v>0</v>
      </c>
      <c r="T145" s="720">
        <f>ROUND(SUMIF('7.0'!$D:$D,T_BS!D145,'7.0'!$V:$V),0)</f>
        <v>0</v>
      </c>
      <c r="U145" s="720">
        <f>ROUND(SUMIF('8.0'!$D:$D,T_BS!D145,'8.0'!$H:$H),0)</f>
        <v>0</v>
      </c>
      <c r="V145" s="510">
        <f t="shared" si="39"/>
        <v>0</v>
      </c>
      <c r="W145" s="1653"/>
      <c r="X145" s="1616">
        <f>V145+L145</f>
        <v>0</v>
      </c>
      <c r="Y145" s="1653"/>
      <c r="Z145" s="1616">
        <f>X145-AI145</f>
        <v>0</v>
      </c>
      <c r="AA145" s="1653"/>
      <c r="AB145" s="1616">
        <v>0</v>
      </c>
      <c r="AC145" s="1616">
        <v>0</v>
      </c>
      <c r="AD145" s="1616">
        <v>0</v>
      </c>
      <c r="AE145" s="1616">
        <v>0</v>
      </c>
      <c r="AF145" s="1616">
        <v>0</v>
      </c>
      <c r="AG145" s="1616">
        <v>0</v>
      </c>
      <c r="AH145" s="1616">
        <v>0</v>
      </c>
      <c r="AI145" s="1616">
        <v>0</v>
      </c>
      <c r="AJ145" s="1616">
        <v>0</v>
      </c>
      <c r="AK145" s="1616">
        <v>0</v>
      </c>
      <c r="AL145" s="1616">
        <v>0</v>
      </c>
      <c r="AM145" s="1616">
        <v>0</v>
      </c>
      <c r="AN145" s="1616">
        <v>0</v>
      </c>
      <c r="AP145" s="498"/>
    </row>
    <row r="146" spans="1:42" ht="18" customHeight="1">
      <c r="A146" s="498"/>
      <c r="B146" s="1547" t="s">
        <v>1825</v>
      </c>
      <c r="C146" s="1547"/>
      <c r="D146" s="1624">
        <v>121510</v>
      </c>
      <c r="E146" s="1547" t="s">
        <v>7</v>
      </c>
      <c r="F146" s="1625"/>
      <c r="G146" s="1547" t="s">
        <v>1785</v>
      </c>
      <c r="H146" s="498">
        <v>0</v>
      </c>
      <c r="I146" s="498">
        <v>0</v>
      </c>
      <c r="J146" s="710">
        <v>0</v>
      </c>
      <c r="K146" s="710">
        <v>0</v>
      </c>
      <c r="L146" s="1672">
        <f>SUM(H146:K146)</f>
        <v>0</v>
      </c>
      <c r="N146" s="1667">
        <f>SUMIF('1.0'!$D:$D,T_BS!D146,'1.0'!$V:$V)</f>
        <v>0</v>
      </c>
      <c r="O146" s="710">
        <f>SUMIF('2.0'!$D:$D,T_BS!D146,'2.0'!$V:$V)</f>
        <v>0</v>
      </c>
      <c r="P146" s="710">
        <f>ROUND(SUMIF('3.0'!$D:$D,T_BS!D146,'3.0'!$H:$H),0)</f>
        <v>0</v>
      </c>
      <c r="Q146" s="720">
        <f>ROUND(SUMIF('4.0'!$D:$D,T_BS!D146,'4.0'!$V:$V),0)</f>
        <v>0</v>
      </c>
      <c r="R146" s="710">
        <f>ROUND(SUMIF('5.0'!$D:$D,T_BS!D146,'5.0'!$V:$V),0)</f>
        <v>0</v>
      </c>
      <c r="S146" s="720">
        <f>ROUND(SUMIF('6.0'!$D:$D,T_BS!D146,'6.0'!$V:$V),0)</f>
        <v>0</v>
      </c>
      <c r="T146" s="720">
        <f>ROUND(SUMIF('7.0'!$D:$D,T_BS!D146,'7.0'!$V:$V),0)</f>
        <v>0</v>
      </c>
      <c r="U146" s="720">
        <f>ROUND(SUMIF('8.0'!$D:$D,T_BS!D146,'8.0'!$H:$H),0)</f>
        <v>0</v>
      </c>
      <c r="V146" s="1672">
        <f>SUM(N146:U146)</f>
        <v>0</v>
      </c>
      <c r="X146" s="852">
        <f>V146+L146</f>
        <v>0</v>
      </c>
      <c r="Z146" s="1616">
        <f>X146-AI146</f>
        <v>0</v>
      </c>
      <c r="AB146" s="1616">
        <v>0</v>
      </c>
      <c r="AC146" s="1616">
        <v>0</v>
      </c>
      <c r="AD146" s="1616">
        <v>0</v>
      </c>
      <c r="AE146" s="1616">
        <v>0</v>
      </c>
      <c r="AF146" s="1616">
        <v>0</v>
      </c>
      <c r="AG146" s="1616">
        <v>0</v>
      </c>
      <c r="AH146" s="1616">
        <v>0</v>
      </c>
      <c r="AI146" s="1616">
        <v>0</v>
      </c>
      <c r="AJ146" s="1616">
        <v>0</v>
      </c>
      <c r="AK146" s="1616">
        <v>0</v>
      </c>
      <c r="AL146" s="1616">
        <v>0</v>
      </c>
      <c r="AM146" s="1616">
        <v>0</v>
      </c>
      <c r="AN146" s="1616">
        <v>0</v>
      </c>
      <c r="AP146" s="498"/>
    </row>
    <row r="147" spans="1:42" ht="18" customHeight="1">
      <c r="A147" s="498"/>
      <c r="D147" s="1588"/>
      <c r="E147" s="1589"/>
      <c r="F147" s="1627"/>
      <c r="G147" s="1589" t="s">
        <v>2917</v>
      </c>
      <c r="H147" s="520">
        <f>H148+H149</f>
        <v>2350087998</v>
      </c>
      <c r="I147" s="506">
        <f>I148+I149</f>
        <v>0</v>
      </c>
      <c r="J147" s="506">
        <f>J148+J149</f>
        <v>0</v>
      </c>
      <c r="K147" s="506">
        <f>K148+K149</f>
        <v>0</v>
      </c>
      <c r="L147" s="507">
        <f>L148+L149</f>
        <v>2350087998</v>
      </c>
      <c r="N147" s="1631">
        <f t="shared" ref="N147:V147" si="43">N148+N149</f>
        <v>0</v>
      </c>
      <c r="O147" s="506">
        <f t="shared" si="43"/>
        <v>0</v>
      </c>
      <c r="P147" s="506">
        <f t="shared" si="43"/>
        <v>0</v>
      </c>
      <c r="Q147" s="506">
        <f t="shared" si="43"/>
        <v>0</v>
      </c>
      <c r="R147" s="506">
        <f t="shared" si="43"/>
        <v>0</v>
      </c>
      <c r="S147" s="506">
        <f t="shared" si="43"/>
        <v>0</v>
      </c>
      <c r="T147" s="506">
        <f t="shared" si="43"/>
        <v>0</v>
      </c>
      <c r="U147" s="506">
        <f t="shared" si="43"/>
        <v>0</v>
      </c>
      <c r="V147" s="507">
        <f t="shared" si="43"/>
        <v>0</v>
      </c>
      <c r="X147" s="1630">
        <f>X148+X149</f>
        <v>2350087998</v>
      </c>
      <c r="Z147" s="1630">
        <f>Z148+Z149</f>
        <v>2350087998</v>
      </c>
      <c r="AB147" s="1630">
        <v>0</v>
      </c>
      <c r="AC147" s="1630">
        <v>0</v>
      </c>
      <c r="AD147" s="1630">
        <v>0</v>
      </c>
      <c r="AE147" s="1630">
        <v>0</v>
      </c>
      <c r="AF147" s="1630">
        <v>0</v>
      </c>
      <c r="AG147" s="1630">
        <v>0</v>
      </c>
      <c r="AH147" s="1630">
        <v>0</v>
      </c>
      <c r="AI147" s="1630">
        <v>0</v>
      </c>
      <c r="AJ147" s="1630">
        <v>0</v>
      </c>
      <c r="AK147" s="1630">
        <v>0</v>
      </c>
      <c r="AL147" s="1630">
        <v>0</v>
      </c>
      <c r="AM147" s="1630">
        <v>0</v>
      </c>
      <c r="AN147" s="1630">
        <v>0</v>
      </c>
      <c r="AP147" s="498"/>
    </row>
    <row r="148" spans="1:42" s="1668" customFormat="1" ht="18" customHeight="1">
      <c r="A148" s="543"/>
      <c r="B148" s="1359"/>
      <c r="C148" s="1359"/>
      <c r="D148" s="2058">
        <v>230700</v>
      </c>
      <c r="E148" s="2059" t="s">
        <v>2917</v>
      </c>
      <c r="F148" s="2060">
        <v>4201</v>
      </c>
      <c r="G148" s="2059" t="s">
        <v>185</v>
      </c>
      <c r="H148" s="2061">
        <v>-6569105080</v>
      </c>
      <c r="I148" s="2061">
        <v>0</v>
      </c>
      <c r="J148" s="2062">
        <v>0</v>
      </c>
      <c r="K148" s="2062">
        <v>0</v>
      </c>
      <c r="L148" s="2063">
        <f>SUM(H148:K148)</f>
        <v>-6569105080</v>
      </c>
      <c r="M148" s="1653"/>
      <c r="N148" s="2064">
        <f>SUMIF('1.0'!$D:$D,T_BS!D148,'1.0'!$V:$V)</f>
        <v>0</v>
      </c>
      <c r="O148" s="2062">
        <f>SUMIF('2.0'!$D:$D,T_BS!D148,'2.0'!$V:$V)</f>
        <v>0</v>
      </c>
      <c r="P148" s="2062">
        <f>ROUND(SUMIF('3.0'!$D:$D,T_BS!D148,'3.0'!$H:$H),0)</f>
        <v>0</v>
      </c>
      <c r="Q148" s="2065">
        <f>ROUND(SUMIF('4.0'!$D:$D,T_BS!D148,'4.0'!$V:$V),0)</f>
        <v>0</v>
      </c>
      <c r="R148" s="2062">
        <f>ROUND(SUMIF('5.0'!$D:$D,T_BS!D148,'5.0'!$V:$V),0)</f>
        <v>0</v>
      </c>
      <c r="S148" s="2065">
        <f>ROUND(SUMIF('6.0'!$D:$D,T_BS!D148,'6.0'!$V:$V),0)</f>
        <v>0</v>
      </c>
      <c r="T148" s="2065">
        <f>ROUND(SUMIF('7.0'!$D:$D,T_BS!D148,'7.0'!$V:$V),0)</f>
        <v>0</v>
      </c>
      <c r="U148" s="2065">
        <f>ROUND(SUMIF('8.0'!$D:$D,T_BS!D148,'8.0'!$H:$H),0)</f>
        <v>0</v>
      </c>
      <c r="V148" s="2063">
        <f t="shared" ref="V148" si="44">SUM(N148:U148)</f>
        <v>0</v>
      </c>
      <c r="W148" s="1653"/>
      <c r="X148" s="2066">
        <f>V148+L148</f>
        <v>-6569105080</v>
      </c>
      <c r="Y148" s="1653"/>
      <c r="Z148" s="2066">
        <f>X148-AI148</f>
        <v>-6569105080</v>
      </c>
      <c r="AA148" s="1653"/>
      <c r="AB148" s="2066">
        <v>0</v>
      </c>
      <c r="AC148" s="2066">
        <v>0</v>
      </c>
      <c r="AD148" s="2066">
        <v>0</v>
      </c>
      <c r="AE148" s="2066">
        <v>0</v>
      </c>
      <c r="AF148" s="2066">
        <v>0</v>
      </c>
      <c r="AG148" s="2066">
        <v>0</v>
      </c>
      <c r="AH148" s="2066">
        <v>0</v>
      </c>
      <c r="AI148" s="2066">
        <v>0</v>
      </c>
      <c r="AJ148" s="2066">
        <v>0</v>
      </c>
      <c r="AK148" s="2066">
        <v>0</v>
      </c>
      <c r="AL148" s="2066">
        <v>0</v>
      </c>
      <c r="AM148" s="2066">
        <v>0</v>
      </c>
      <c r="AN148" s="2066">
        <v>0</v>
      </c>
      <c r="AP148" s="498"/>
    </row>
    <row r="149" spans="1:42" ht="18" customHeight="1">
      <c r="A149" s="498"/>
      <c r="B149" s="1547"/>
      <c r="C149" s="1547"/>
      <c r="D149" s="2058">
        <v>122110</v>
      </c>
      <c r="E149" s="2059" t="s">
        <v>2916</v>
      </c>
      <c r="F149" s="2060">
        <v>4202</v>
      </c>
      <c r="G149" s="2059" t="s">
        <v>186</v>
      </c>
      <c r="H149" s="2061">
        <v>8919193078</v>
      </c>
      <c r="I149" s="2061">
        <v>0</v>
      </c>
      <c r="J149" s="2062">
        <v>0</v>
      </c>
      <c r="K149" s="2062">
        <v>0</v>
      </c>
      <c r="L149" s="2063">
        <f>SUM(H149:K149)</f>
        <v>8919193078</v>
      </c>
      <c r="N149" s="2064">
        <f>SUMIF('1.0'!$D:$D,T_BS!D149,'1.0'!$V:$V)</f>
        <v>0</v>
      </c>
      <c r="O149" s="2062">
        <f>SUMIF('2.0'!$D:$D,T_BS!D149,'2.0'!$V:$V)</f>
        <v>0</v>
      </c>
      <c r="P149" s="2062">
        <f>ROUND(SUMIF('3.0'!$D:$D,T_BS!D149,'3.0'!$H:$H),0)</f>
        <v>0</v>
      </c>
      <c r="Q149" s="2065">
        <f>ROUND(SUMIF('4.0'!$D:$D,T_BS!D149,'4.0'!$V:$V),0)</f>
        <v>0</v>
      </c>
      <c r="R149" s="2062">
        <f>ROUND(SUMIF('5.0'!$D:$D,T_BS!D149,'5.0'!$V:$V),0)</f>
        <v>0</v>
      </c>
      <c r="S149" s="2065">
        <f>ROUND(SUMIF('6.0'!$D:$D,T_BS!D149,'6.0'!$V:$V),0)</f>
        <v>0</v>
      </c>
      <c r="T149" s="2065">
        <f>ROUND(SUMIF('7.0'!$D:$D,T_BS!D149,'7.0'!$V:$V),0)</f>
        <v>0</v>
      </c>
      <c r="U149" s="2065">
        <f>ROUND(SUMIF('8.0'!$D:$D,T_BS!D149,'8.0'!$H:$H),0)</f>
        <v>0</v>
      </c>
      <c r="V149" s="2063">
        <f>SUM(N149:U149)</f>
        <v>0</v>
      </c>
      <c r="X149" s="2066">
        <f>V149+L149</f>
        <v>8919193078</v>
      </c>
      <c r="Z149" s="2066">
        <f>X149-AI149</f>
        <v>8919193078</v>
      </c>
      <c r="AB149" s="2066">
        <v>0</v>
      </c>
      <c r="AC149" s="2066">
        <v>0</v>
      </c>
      <c r="AD149" s="2066">
        <v>0</v>
      </c>
      <c r="AE149" s="2066">
        <v>0</v>
      </c>
      <c r="AF149" s="2066">
        <v>0</v>
      </c>
      <c r="AG149" s="2066">
        <v>0</v>
      </c>
      <c r="AH149" s="2066">
        <v>0</v>
      </c>
      <c r="AI149" s="2066">
        <v>0</v>
      </c>
      <c r="AJ149" s="2066">
        <v>0</v>
      </c>
      <c r="AK149" s="2066">
        <v>0</v>
      </c>
      <c r="AL149" s="2066">
        <v>0</v>
      </c>
      <c r="AM149" s="2066">
        <v>0</v>
      </c>
      <c r="AN149" s="2066">
        <v>0</v>
      </c>
      <c r="AP149" s="498"/>
    </row>
    <row r="150" spans="1:42" ht="18" customHeight="1">
      <c r="A150" s="498"/>
      <c r="D150" s="1578"/>
      <c r="E150" s="1579"/>
      <c r="F150" s="1580"/>
      <c r="G150" s="1579" t="s">
        <v>8</v>
      </c>
      <c r="H150" s="1664">
        <f>H151+H216</f>
        <v>101492251249</v>
      </c>
      <c r="I150" s="500">
        <f>I151+I216</f>
        <v>433269063</v>
      </c>
      <c r="J150" s="500">
        <f>J151+J216</f>
        <v>736223518</v>
      </c>
      <c r="K150" s="500">
        <f>K151+K216</f>
        <v>3467691337</v>
      </c>
      <c r="L150" s="501">
        <f>L151+L216</f>
        <v>106129435167</v>
      </c>
      <c r="N150" s="1665">
        <f>N151+N216</f>
        <v>0</v>
      </c>
      <c r="O150" s="500">
        <f t="shared" ref="O150:V150" si="45">O151+O216</f>
        <v>0</v>
      </c>
      <c r="P150" s="500">
        <f t="shared" si="45"/>
        <v>-25735832</v>
      </c>
      <c r="Q150" s="500">
        <f t="shared" si="45"/>
        <v>0</v>
      </c>
      <c r="R150" s="500">
        <f t="shared" si="45"/>
        <v>0</v>
      </c>
      <c r="S150" s="500">
        <f t="shared" si="45"/>
        <v>-1512524639</v>
      </c>
      <c r="T150" s="500">
        <f t="shared" si="45"/>
        <v>0</v>
      </c>
      <c r="U150" s="500">
        <f t="shared" si="45"/>
        <v>0</v>
      </c>
      <c r="V150" s="501">
        <f t="shared" si="45"/>
        <v>-1538260471</v>
      </c>
      <c r="X150" s="1666">
        <f>X151+X216</f>
        <v>104591174696</v>
      </c>
      <c r="Z150" s="1666">
        <f>Z151+Z216</f>
        <v>-70674180006</v>
      </c>
      <c r="AB150" s="1666">
        <v>133147975791</v>
      </c>
      <c r="AC150" s="1666">
        <v>147498239009</v>
      </c>
      <c r="AD150" s="1666">
        <v>138536469267</v>
      </c>
      <c r="AE150" s="1666">
        <v>143408780700</v>
      </c>
      <c r="AF150" s="1666">
        <v>146558856885</v>
      </c>
      <c r="AG150" s="1666">
        <v>144342346654</v>
      </c>
      <c r="AH150" s="1666">
        <v>185728957721</v>
      </c>
      <c r="AI150" s="1666">
        <v>175265354702</v>
      </c>
      <c r="AJ150" s="1666">
        <v>148995411476</v>
      </c>
      <c r="AK150" s="1666">
        <v>159276256063</v>
      </c>
      <c r="AL150" s="1666">
        <v>177548052149</v>
      </c>
      <c r="AM150" s="1666">
        <f>AM151+AM216</f>
        <v>78124343179</v>
      </c>
      <c r="AN150" s="1666">
        <v>76642040389</v>
      </c>
      <c r="AP150" s="498"/>
    </row>
    <row r="151" spans="1:42" ht="18" customHeight="1">
      <c r="A151" s="498"/>
      <c r="D151" s="1583"/>
      <c r="E151" s="1584"/>
      <c r="F151" s="1585"/>
      <c r="G151" s="1584" t="s">
        <v>9</v>
      </c>
      <c r="H151" s="1619">
        <f>SUM(H152,H174,H182,H211,H213)</f>
        <v>97675597191</v>
      </c>
      <c r="I151" s="503">
        <f>SUM(I152,I174,I182,I211,I213)</f>
        <v>433269063</v>
      </c>
      <c r="J151" s="503">
        <f>SUM(J152,J174,J182,J211,J213)</f>
        <v>708100149</v>
      </c>
      <c r="K151" s="503">
        <f>SUM(K152,K174,K182,K211,K213)</f>
        <v>3375538228</v>
      </c>
      <c r="L151" s="504">
        <f>SUM(L152,L174,L182,L211,L213)</f>
        <v>102192504631</v>
      </c>
      <c r="N151" s="1623">
        <f t="shared" ref="N151:S151" si="46">SUM(N152,N174,N182,N211,N213)</f>
        <v>0</v>
      </c>
      <c r="O151" s="503">
        <f t="shared" si="46"/>
        <v>0</v>
      </c>
      <c r="P151" s="503">
        <f t="shared" si="46"/>
        <v>-25735832</v>
      </c>
      <c r="Q151" s="503">
        <f t="shared" si="46"/>
        <v>0</v>
      </c>
      <c r="R151" s="503">
        <f t="shared" si="46"/>
        <v>0</v>
      </c>
      <c r="S151" s="503">
        <f t="shared" si="46"/>
        <v>-1512524639</v>
      </c>
      <c r="T151" s="503">
        <f>SUM(T152,T174,T182,T211,T213)</f>
        <v>0</v>
      </c>
      <c r="U151" s="503">
        <f>SUM(U152,U174,U182,U211,U213)</f>
        <v>0</v>
      </c>
      <c r="V151" s="504">
        <f>SUM(V152,V174,V182,V211,V213)</f>
        <v>-1538260471</v>
      </c>
      <c r="X151" s="1622">
        <f>SUM(X152,X174,X182,X211,X213)</f>
        <v>100654244160</v>
      </c>
      <c r="Z151" s="1622">
        <f>SUM(Z152,Z174,Z182,Z211,Z213)</f>
        <v>-72144433622</v>
      </c>
      <c r="AB151" s="1622">
        <v>130767832760</v>
      </c>
      <c r="AC151" s="1622">
        <v>145452595432</v>
      </c>
      <c r="AD151" s="1622">
        <v>136335896373</v>
      </c>
      <c r="AE151" s="1622">
        <v>141207917254</v>
      </c>
      <c r="AF151" s="1622">
        <v>144423379475</v>
      </c>
      <c r="AG151" s="1622">
        <v>142366466603</v>
      </c>
      <c r="AH151" s="1622">
        <v>183565591300</v>
      </c>
      <c r="AI151" s="1622">
        <v>172798677782</v>
      </c>
      <c r="AJ151" s="1622">
        <v>145200934689</v>
      </c>
      <c r="AK151" s="1622">
        <v>155418718426</v>
      </c>
      <c r="AL151" s="1622">
        <v>173991750164</v>
      </c>
      <c r="AM151" s="1622">
        <f>SUM(AM152,AM174,AM182,AM211,AM213)</f>
        <v>74165547929</v>
      </c>
      <c r="AN151" s="1622">
        <v>72762462534</v>
      </c>
      <c r="AP151" s="498"/>
    </row>
    <row r="152" spans="1:42" ht="18" customHeight="1">
      <c r="A152" s="498"/>
      <c r="D152" s="1588">
        <v>211000</v>
      </c>
      <c r="E152" s="1589"/>
      <c r="F152" s="1590"/>
      <c r="G152" s="1589" t="s">
        <v>137</v>
      </c>
      <c r="H152" s="520">
        <f>SUM(H153:H173)</f>
        <v>84996066851</v>
      </c>
      <c r="I152" s="506">
        <f>SUM(I153:I173)</f>
        <v>167113583</v>
      </c>
      <c r="J152" s="506">
        <f>SUM(J153:J173)</f>
        <v>694042079</v>
      </c>
      <c r="K152" s="506">
        <f>SUM(K153:K173)</f>
        <v>1160630020</v>
      </c>
      <c r="L152" s="507">
        <f>SUM(L153:L173)</f>
        <v>87017852533</v>
      </c>
      <c r="N152" s="1631">
        <f t="shared" ref="N152:S152" si="47">SUM(N153:N173)</f>
        <v>0</v>
      </c>
      <c r="O152" s="506">
        <f t="shared" si="47"/>
        <v>0</v>
      </c>
      <c r="P152" s="506">
        <f t="shared" si="47"/>
        <v>-31682500</v>
      </c>
      <c r="Q152" s="506">
        <f t="shared" si="47"/>
        <v>0</v>
      </c>
      <c r="R152" s="506">
        <f t="shared" si="47"/>
        <v>0</v>
      </c>
      <c r="S152" s="506">
        <f t="shared" si="47"/>
        <v>0</v>
      </c>
      <c r="T152" s="506">
        <f>SUM(T153:T173)</f>
        <v>0</v>
      </c>
      <c r="U152" s="506">
        <f>SUM(U153:U173)</f>
        <v>0</v>
      </c>
      <c r="V152" s="507">
        <f>SUM(V153:V173)</f>
        <v>-31682500</v>
      </c>
      <c r="X152" s="1630">
        <f>SUM(X153:X173)</f>
        <v>86986170033</v>
      </c>
      <c r="Z152" s="1630">
        <f>SUM(Z153:Z173)</f>
        <v>21122768478</v>
      </c>
      <c r="AB152" s="1630">
        <v>67899315495</v>
      </c>
      <c r="AC152" s="1630">
        <v>83142317444</v>
      </c>
      <c r="AD152" s="1630">
        <v>73782340065</v>
      </c>
      <c r="AE152" s="1630">
        <v>69858437265</v>
      </c>
      <c r="AF152" s="1630">
        <v>73033269661</v>
      </c>
      <c r="AG152" s="1630">
        <v>68562662184</v>
      </c>
      <c r="AH152" s="1630">
        <v>86097038878</v>
      </c>
      <c r="AI152" s="1630">
        <v>65863401555</v>
      </c>
      <c r="AJ152" s="1630">
        <v>56406729794</v>
      </c>
      <c r="AK152" s="1630">
        <v>66760911635</v>
      </c>
      <c r="AL152" s="1630">
        <v>74222932441</v>
      </c>
      <c r="AM152" s="1630">
        <f>SUM(AM153:AM173)</f>
        <v>63785243194</v>
      </c>
      <c r="AN152" s="1630">
        <v>60933090739</v>
      </c>
      <c r="AP152" s="498"/>
    </row>
    <row r="153" spans="1:42" ht="18" customHeight="1">
      <c r="A153" s="498"/>
      <c r="D153" s="1593">
        <v>211111</v>
      </c>
      <c r="E153" s="1359" t="s">
        <v>137</v>
      </c>
      <c r="F153" s="1361">
        <v>3101</v>
      </c>
      <c r="G153" s="1359" t="s">
        <v>138</v>
      </c>
      <c r="H153" s="498">
        <v>5873353877</v>
      </c>
      <c r="I153" s="498">
        <v>96996920</v>
      </c>
      <c r="J153" s="710">
        <v>27714775</v>
      </c>
      <c r="K153" s="710">
        <v>118742704</v>
      </c>
      <c r="L153" s="510">
        <f t="shared" ref="L153:L173" si="48">SUM(H153:K153)</f>
        <v>6116808276</v>
      </c>
      <c r="N153" s="1667">
        <f>-SUMIF('1.0'!$D:$D,T_BS!D153,'1.0'!$V:$V)</f>
        <v>0</v>
      </c>
      <c r="O153" s="710">
        <f>-SUMIF('2.0'!$D:$D,T_BS!D153,'2.0'!$V:$V)</f>
        <v>0</v>
      </c>
      <c r="P153" s="509">
        <f>-ROUND(SUMIF('3.0'!$D:$D,T_BS!D153,'3.0'!$H:$H),0)</f>
        <v>-24078700</v>
      </c>
      <c r="Q153" s="720">
        <f>-ROUND(SUMIF('4.0'!$D:$D,T_BS!D153,'4.0'!$V:$V),0)</f>
        <v>0</v>
      </c>
      <c r="R153" s="509">
        <f>-ROUND(SUMIF('5.0'!$D:$D,T_BS!D153,'5.0'!$V:$V),0)</f>
        <v>0</v>
      </c>
      <c r="S153" s="720">
        <f>-ROUND(SUMIF('6.0'!$D:$D,T_BS!D153,'6.0'!$V:$V),0)</f>
        <v>0</v>
      </c>
      <c r="T153" s="720">
        <f>-ROUND(SUMIF('7.0'!$D:$D,T_BS!D153,'7.0'!$V:$V),0)</f>
        <v>0</v>
      </c>
      <c r="U153" s="720">
        <f>-ROUND(SUMIF('8.0'!$D:$D,T_BS!D153,'8.0'!$H:$H),0)</f>
        <v>0</v>
      </c>
      <c r="V153" s="510">
        <f t="shared" ref="V153:V173" si="49">SUM(N153:U153)</f>
        <v>-24078700</v>
      </c>
      <c r="X153" s="1616">
        <f t="shared" ref="X153:X173" si="50">V153+L153</f>
        <v>6092729576</v>
      </c>
      <c r="Z153" s="1616">
        <f t="shared" ref="Z153:Z173" si="51">X153-AI153</f>
        <v>2258630778</v>
      </c>
      <c r="AB153" s="1616">
        <v>4921968945</v>
      </c>
      <c r="AC153" s="1616">
        <v>2644218984</v>
      </c>
      <c r="AD153" s="1616">
        <v>4901224092</v>
      </c>
      <c r="AE153" s="1616">
        <v>6971303726</v>
      </c>
      <c r="AF153" s="1616">
        <v>5508211231</v>
      </c>
      <c r="AG153" s="1616">
        <v>3759761345</v>
      </c>
      <c r="AH153" s="1616">
        <v>5133759493</v>
      </c>
      <c r="AI153" s="1616">
        <v>3834098798</v>
      </c>
      <c r="AJ153" s="1616">
        <v>3378410467</v>
      </c>
      <c r="AK153" s="1616">
        <v>3469511607</v>
      </c>
      <c r="AL153" s="1616">
        <v>2874627795</v>
      </c>
      <c r="AM153" s="1616">
        <v>3370179145</v>
      </c>
      <c r="AN153" s="1616">
        <v>2258651007</v>
      </c>
      <c r="AP153" s="498"/>
    </row>
    <row r="154" spans="1:42" ht="18" customHeight="1">
      <c r="A154" s="498"/>
      <c r="D154" s="1593">
        <v>211121</v>
      </c>
      <c r="E154" s="1359" t="s">
        <v>137</v>
      </c>
      <c r="F154" s="1361">
        <v>3101</v>
      </c>
      <c r="G154" s="1359" t="s">
        <v>139</v>
      </c>
      <c r="H154" s="498">
        <v>375712642</v>
      </c>
      <c r="I154" s="498">
        <v>0</v>
      </c>
      <c r="J154" s="710">
        <v>0</v>
      </c>
      <c r="K154" s="710">
        <v>0</v>
      </c>
      <c r="L154" s="510">
        <f t="shared" si="48"/>
        <v>375712642</v>
      </c>
      <c r="N154" s="1667">
        <f>-SUMIF('1.0'!$D:$D,T_BS!D154,'1.0'!$V:$V)</f>
        <v>0</v>
      </c>
      <c r="O154" s="710">
        <f>-SUMIF('2.0'!$D:$D,T_BS!D154,'2.0'!$V:$V)</f>
        <v>0</v>
      </c>
      <c r="P154" s="509">
        <f>-ROUND(SUMIF('3.0'!$D:$D,T_BS!D154,'3.0'!$H:$H),0)</f>
        <v>0</v>
      </c>
      <c r="Q154" s="720">
        <f>-ROUND(SUMIF('4.0'!$D:$D,T_BS!D154,'4.0'!$V:$V),0)</f>
        <v>0</v>
      </c>
      <c r="R154" s="509">
        <f>-ROUND(SUMIF('5.0'!$D:$D,T_BS!D154,'5.0'!$V:$V),0)</f>
        <v>0</v>
      </c>
      <c r="S154" s="720">
        <f>-ROUND(SUMIF('6.0'!$D:$D,T_BS!D154,'6.0'!$V:$V),0)</f>
        <v>0</v>
      </c>
      <c r="T154" s="720">
        <f>-ROUND(SUMIF('7.0'!$D:$D,T_BS!D154,'7.0'!$V:$V),0)</f>
        <v>0</v>
      </c>
      <c r="U154" s="720">
        <f>-ROUND(SUMIF('8.0'!$D:$D,T_BS!D154,'8.0'!$H:$H),0)</f>
        <v>0</v>
      </c>
      <c r="V154" s="510">
        <f t="shared" si="49"/>
        <v>0</v>
      </c>
      <c r="X154" s="1616">
        <f t="shared" si="50"/>
        <v>375712642</v>
      </c>
      <c r="Z154" s="1616">
        <f t="shared" si="51"/>
        <v>275104556</v>
      </c>
      <c r="AB154" s="1616">
        <v>1100064064</v>
      </c>
      <c r="AC154" s="1616">
        <v>1123237345</v>
      </c>
      <c r="AD154" s="1616">
        <v>360778767</v>
      </c>
      <c r="AE154" s="1616">
        <v>213528822</v>
      </c>
      <c r="AF154" s="1616">
        <v>506645955</v>
      </c>
      <c r="AG154" s="1616">
        <v>562806787</v>
      </c>
      <c r="AH154" s="1616">
        <v>154478357</v>
      </c>
      <c r="AI154" s="1616">
        <v>100608086</v>
      </c>
      <c r="AJ154" s="1616">
        <v>392515885</v>
      </c>
      <c r="AK154" s="1616">
        <v>325435320</v>
      </c>
      <c r="AL154" s="1616">
        <v>433651631</v>
      </c>
      <c r="AM154" s="1616">
        <v>421584652</v>
      </c>
      <c r="AN154" s="1616">
        <v>237881370</v>
      </c>
      <c r="AP154" s="498"/>
    </row>
    <row r="155" spans="1:42" ht="18" customHeight="1">
      <c r="A155" s="498"/>
      <c r="D155" s="1593">
        <v>211131</v>
      </c>
      <c r="E155" s="1359" t="s">
        <v>137</v>
      </c>
      <c r="F155" s="1361">
        <v>3101</v>
      </c>
      <c r="G155" s="1359" t="s">
        <v>140</v>
      </c>
      <c r="H155" s="498">
        <v>9879077122</v>
      </c>
      <c r="I155" s="498">
        <v>0</v>
      </c>
      <c r="J155" s="710">
        <v>0</v>
      </c>
      <c r="K155" s="710">
        <v>0</v>
      </c>
      <c r="L155" s="510">
        <f t="shared" si="48"/>
        <v>9879077122</v>
      </c>
      <c r="N155" s="1667">
        <f>-SUMIF('1.0'!$D:$D,T_BS!D155,'1.0'!$V:$V)</f>
        <v>0</v>
      </c>
      <c r="O155" s="710">
        <f>-SUMIF('2.0'!$D:$D,T_BS!D155,'2.0'!$V:$V)</f>
        <v>0</v>
      </c>
      <c r="P155" s="509">
        <f>-ROUND(SUMIF('3.0'!$D:$D,T_BS!D155,'3.0'!$H:$H),0)</f>
        <v>0</v>
      </c>
      <c r="Q155" s="720">
        <f>-ROUND(SUMIF('4.0'!$D:$D,T_BS!D155,'4.0'!$V:$V),0)</f>
        <v>0</v>
      </c>
      <c r="R155" s="509">
        <f>-ROUND(SUMIF('5.0'!$D:$D,T_BS!D155,'5.0'!$V:$V),0)</f>
        <v>0</v>
      </c>
      <c r="S155" s="720">
        <f>-ROUND(SUMIF('6.0'!$D:$D,T_BS!D155,'6.0'!$V:$V),0)</f>
        <v>0</v>
      </c>
      <c r="T155" s="720">
        <f>-ROUND(SUMIF('7.0'!$D:$D,T_BS!D155,'7.0'!$V:$V),0)</f>
        <v>0</v>
      </c>
      <c r="U155" s="720">
        <f>-ROUND(SUMIF('8.0'!$D:$D,T_BS!D155,'8.0'!$H:$H),0)</f>
        <v>0</v>
      </c>
      <c r="V155" s="510">
        <f t="shared" si="49"/>
        <v>0</v>
      </c>
      <c r="X155" s="1616">
        <f t="shared" si="50"/>
        <v>9879077122</v>
      </c>
      <c r="Z155" s="1616">
        <f t="shared" si="51"/>
        <v>3848298558</v>
      </c>
      <c r="AB155" s="1616">
        <v>9838551994</v>
      </c>
      <c r="AC155" s="1616">
        <v>10119903822</v>
      </c>
      <c r="AD155" s="1616">
        <v>9699721956</v>
      </c>
      <c r="AE155" s="1616">
        <v>10078449753</v>
      </c>
      <c r="AF155" s="1616">
        <v>10267043280</v>
      </c>
      <c r="AG155" s="1616">
        <v>9866521341</v>
      </c>
      <c r="AH155" s="1616">
        <v>6120732973</v>
      </c>
      <c r="AI155" s="1616">
        <v>6030778564</v>
      </c>
      <c r="AJ155" s="1616">
        <v>7111247616</v>
      </c>
      <c r="AK155" s="1616">
        <v>6938530503</v>
      </c>
      <c r="AL155" s="1616">
        <v>7239661894</v>
      </c>
      <c r="AM155" s="1616">
        <v>7741860537</v>
      </c>
      <c r="AN155" s="1616">
        <v>9203085793</v>
      </c>
      <c r="AP155" s="498"/>
    </row>
    <row r="156" spans="1:42" ht="18" customHeight="1">
      <c r="A156" s="498"/>
      <c r="D156" s="1593">
        <v>211141</v>
      </c>
      <c r="E156" s="1359" t="s">
        <v>137</v>
      </c>
      <c r="F156" s="1361">
        <v>3101</v>
      </c>
      <c r="G156" s="1359" t="s">
        <v>141</v>
      </c>
      <c r="H156" s="498">
        <v>24891584363</v>
      </c>
      <c r="I156" s="498">
        <v>0</v>
      </c>
      <c r="J156" s="710">
        <v>0</v>
      </c>
      <c r="K156" s="710">
        <v>0</v>
      </c>
      <c r="L156" s="510">
        <f t="shared" si="48"/>
        <v>24891584363</v>
      </c>
      <c r="N156" s="1667">
        <f>-SUMIF('1.0'!$D:$D,T_BS!D156,'1.0'!$V:$V)</f>
        <v>0</v>
      </c>
      <c r="O156" s="710">
        <f>-SUMIF('2.0'!$D:$D,T_BS!D156,'2.0'!$V:$V)</f>
        <v>0</v>
      </c>
      <c r="P156" s="509">
        <f>-ROUND(SUMIF('3.0'!$D:$D,T_BS!D156,'3.0'!$H:$H),0)</f>
        <v>0</v>
      </c>
      <c r="Q156" s="720">
        <f>-ROUND(SUMIF('4.0'!$D:$D,T_BS!D156,'4.0'!$V:$V),0)</f>
        <v>0</v>
      </c>
      <c r="R156" s="509">
        <f>-ROUND(SUMIF('5.0'!$D:$D,T_BS!D156,'5.0'!$V:$V),0)</f>
        <v>0</v>
      </c>
      <c r="S156" s="720">
        <f>-ROUND(SUMIF('6.0'!$D:$D,T_BS!D156,'6.0'!$V:$V),0)</f>
        <v>0</v>
      </c>
      <c r="T156" s="720">
        <f>-ROUND(SUMIF('7.0'!$D:$D,T_BS!D156,'7.0'!$V:$V),0)</f>
        <v>0</v>
      </c>
      <c r="U156" s="720">
        <f>-ROUND(SUMIF('8.0'!$D:$D,T_BS!D156,'8.0'!$H:$H),0)</f>
        <v>0</v>
      </c>
      <c r="V156" s="510">
        <f t="shared" si="49"/>
        <v>0</v>
      </c>
      <c r="X156" s="1616">
        <f t="shared" si="50"/>
        <v>24891584363</v>
      </c>
      <c r="Z156" s="1616">
        <f t="shared" si="51"/>
        <v>-56762218</v>
      </c>
      <c r="AB156" s="1616">
        <v>25500151908</v>
      </c>
      <c r="AC156" s="1616">
        <v>25371757278</v>
      </c>
      <c r="AD156" s="1616">
        <v>25411497411</v>
      </c>
      <c r="AE156" s="1616">
        <v>25047606146</v>
      </c>
      <c r="AF156" s="1616">
        <v>24874143782</v>
      </c>
      <c r="AG156" s="1616">
        <v>24559343974</v>
      </c>
      <c r="AH156" s="1616">
        <v>25126060586</v>
      </c>
      <c r="AI156" s="1616">
        <v>24948346581</v>
      </c>
      <c r="AJ156" s="1616">
        <v>24209548324</v>
      </c>
      <c r="AK156" s="1616">
        <v>25364377532</v>
      </c>
      <c r="AL156" s="1616">
        <v>24125140285</v>
      </c>
      <c r="AM156" s="1616">
        <v>22378486974</v>
      </c>
      <c r="AN156" s="1616">
        <v>20968655431</v>
      </c>
      <c r="AP156" s="498"/>
    </row>
    <row r="157" spans="1:42" ht="18" customHeight="1">
      <c r="A157" s="498"/>
      <c r="D157" s="1593">
        <v>211151</v>
      </c>
      <c r="E157" s="1359" t="s">
        <v>137</v>
      </c>
      <c r="F157" s="1361">
        <v>3101</v>
      </c>
      <c r="G157" s="1359" t="s">
        <v>142</v>
      </c>
      <c r="H157" s="498">
        <v>255366</v>
      </c>
      <c r="I157" s="498">
        <v>0</v>
      </c>
      <c r="J157" s="710">
        <v>0</v>
      </c>
      <c r="K157" s="710">
        <v>0</v>
      </c>
      <c r="L157" s="510">
        <f t="shared" si="48"/>
        <v>255366</v>
      </c>
      <c r="N157" s="1667">
        <f>-SUMIF('1.0'!$D:$D,T_BS!D157,'1.0'!$V:$V)</f>
        <v>0</v>
      </c>
      <c r="O157" s="710">
        <f>-SUMIF('2.0'!$D:$D,T_BS!D157,'2.0'!$V:$V)</f>
        <v>0</v>
      </c>
      <c r="P157" s="509">
        <f>-ROUND(SUMIF('3.0'!$D:$D,T_BS!D157,'3.0'!$H:$H),0)</f>
        <v>0</v>
      </c>
      <c r="Q157" s="720">
        <f>-ROUND(SUMIF('4.0'!$D:$D,T_BS!D157,'4.0'!$V:$V),0)</f>
        <v>0</v>
      </c>
      <c r="R157" s="509">
        <f>-ROUND(SUMIF('5.0'!$D:$D,T_BS!D157,'5.0'!$V:$V),0)</f>
        <v>0</v>
      </c>
      <c r="S157" s="720">
        <f>-ROUND(SUMIF('6.0'!$D:$D,T_BS!D157,'6.0'!$V:$V),0)</f>
        <v>0</v>
      </c>
      <c r="T157" s="720">
        <f>-ROUND(SUMIF('7.0'!$D:$D,T_BS!D157,'7.0'!$V:$V),0)</f>
        <v>0</v>
      </c>
      <c r="U157" s="720">
        <f>-ROUND(SUMIF('8.0'!$D:$D,T_BS!D157,'8.0'!$H:$H),0)</f>
        <v>0</v>
      </c>
      <c r="V157" s="510">
        <f t="shared" si="49"/>
        <v>0</v>
      </c>
      <c r="X157" s="1616">
        <f t="shared" si="50"/>
        <v>255366</v>
      </c>
      <c r="Z157" s="1616">
        <f t="shared" si="51"/>
        <v>0</v>
      </c>
      <c r="AB157" s="1616">
        <v>255366</v>
      </c>
      <c r="AC157" s="1616">
        <v>255366</v>
      </c>
      <c r="AD157" s="1616">
        <v>255366</v>
      </c>
      <c r="AE157" s="1616">
        <v>255366</v>
      </c>
      <c r="AF157" s="1616">
        <v>255366</v>
      </c>
      <c r="AG157" s="1616">
        <v>255366</v>
      </c>
      <c r="AH157" s="1616">
        <v>255366</v>
      </c>
      <c r="AI157" s="1616">
        <v>255366</v>
      </c>
      <c r="AJ157" s="1616">
        <v>255366</v>
      </c>
      <c r="AK157" s="1616">
        <v>255366</v>
      </c>
      <c r="AL157" s="1616">
        <v>255366</v>
      </c>
      <c r="AM157" s="1616">
        <v>255366</v>
      </c>
      <c r="AN157" s="1616">
        <v>255366</v>
      </c>
      <c r="AP157" s="498"/>
    </row>
    <row r="158" spans="1:42" ht="18" customHeight="1">
      <c r="A158" s="498"/>
      <c r="D158" s="1593">
        <v>211161</v>
      </c>
      <c r="E158" s="1359" t="s">
        <v>137</v>
      </c>
      <c r="F158" s="1361">
        <v>3101</v>
      </c>
      <c r="G158" s="1359" t="s">
        <v>143</v>
      </c>
      <c r="H158" s="498">
        <v>0</v>
      </c>
      <c r="I158" s="498">
        <v>0</v>
      </c>
      <c r="J158" s="710">
        <v>0</v>
      </c>
      <c r="K158" s="710">
        <v>0</v>
      </c>
      <c r="L158" s="510">
        <f t="shared" si="48"/>
        <v>0</v>
      </c>
      <c r="N158" s="1667">
        <f>-SUMIF('1.0'!$D:$D,T_BS!D158,'1.0'!$V:$V)</f>
        <v>0</v>
      </c>
      <c r="O158" s="710">
        <f>-SUMIF('2.0'!$D:$D,T_BS!D158,'2.0'!$V:$V)</f>
        <v>0</v>
      </c>
      <c r="P158" s="509">
        <f>-ROUND(SUMIF('3.0'!$D:$D,T_BS!D158,'3.0'!$H:$H),0)</f>
        <v>0</v>
      </c>
      <c r="Q158" s="720">
        <f>-ROUND(SUMIF('4.0'!$D:$D,T_BS!D158,'4.0'!$V:$V),0)</f>
        <v>0</v>
      </c>
      <c r="R158" s="509">
        <f>-ROUND(SUMIF('5.0'!$D:$D,T_BS!D158,'5.0'!$V:$V),0)</f>
        <v>0</v>
      </c>
      <c r="S158" s="720">
        <f>-ROUND(SUMIF('6.0'!$D:$D,T_BS!D158,'6.0'!$V:$V),0)</f>
        <v>0</v>
      </c>
      <c r="T158" s="720">
        <f>-ROUND(SUMIF('7.0'!$D:$D,T_BS!D158,'7.0'!$V:$V),0)</f>
        <v>0</v>
      </c>
      <c r="U158" s="720">
        <f>-ROUND(SUMIF('8.0'!$D:$D,T_BS!D158,'8.0'!$H:$H),0)</f>
        <v>0</v>
      </c>
      <c r="V158" s="510">
        <f t="shared" si="49"/>
        <v>0</v>
      </c>
      <c r="X158" s="1616">
        <f t="shared" si="50"/>
        <v>0</v>
      </c>
      <c r="Z158" s="1616">
        <f t="shared" si="51"/>
        <v>0</v>
      </c>
      <c r="AB158" s="1616">
        <v>0</v>
      </c>
      <c r="AC158" s="1616">
        <v>0</v>
      </c>
      <c r="AD158" s="1616">
        <v>0</v>
      </c>
      <c r="AE158" s="1616">
        <v>0</v>
      </c>
      <c r="AF158" s="1616">
        <v>0</v>
      </c>
      <c r="AG158" s="1616">
        <v>0</v>
      </c>
      <c r="AH158" s="1616">
        <v>0</v>
      </c>
      <c r="AI158" s="1616">
        <v>0</v>
      </c>
      <c r="AJ158" s="1616">
        <v>0</v>
      </c>
      <c r="AK158" s="1616">
        <v>0</v>
      </c>
      <c r="AL158" s="1616">
        <v>0</v>
      </c>
      <c r="AM158" s="1616">
        <v>0</v>
      </c>
      <c r="AN158" s="1616">
        <v>0</v>
      </c>
      <c r="AP158" s="498"/>
    </row>
    <row r="159" spans="1:42" s="1668" customFormat="1" ht="18" customHeight="1">
      <c r="A159" s="543"/>
      <c r="B159" s="1359"/>
      <c r="C159" s="1359"/>
      <c r="D159" s="1593">
        <v>211171</v>
      </c>
      <c r="E159" s="1359" t="s">
        <v>137</v>
      </c>
      <c r="F159" s="1361">
        <v>3101</v>
      </c>
      <c r="G159" s="1359" t="s">
        <v>1840</v>
      </c>
      <c r="H159" s="498">
        <v>0</v>
      </c>
      <c r="I159" s="498">
        <v>0</v>
      </c>
      <c r="J159" s="710">
        <v>0</v>
      </c>
      <c r="K159" s="710">
        <v>0</v>
      </c>
      <c r="L159" s="510">
        <f t="shared" si="48"/>
        <v>0</v>
      </c>
      <c r="M159" s="1653"/>
      <c r="N159" s="1667">
        <f>-SUMIF('1.0'!$D:$D,T_BS!D159,'1.0'!$V:$V)</f>
        <v>0</v>
      </c>
      <c r="O159" s="710">
        <f>-SUMIF('2.0'!$D:$D,T_BS!D159,'2.0'!$V:$V)</f>
        <v>0</v>
      </c>
      <c r="P159" s="509">
        <f>-ROUND(SUMIF('3.0'!$D:$D,T_BS!D159,'3.0'!$H:$H),0)</f>
        <v>0</v>
      </c>
      <c r="Q159" s="720">
        <f>-ROUND(SUMIF('4.0'!$D:$D,T_BS!D159,'4.0'!$V:$V),0)</f>
        <v>0</v>
      </c>
      <c r="R159" s="509">
        <f>-ROUND(SUMIF('5.0'!$D:$D,T_BS!D159,'5.0'!$V:$V),0)</f>
        <v>0</v>
      </c>
      <c r="S159" s="720">
        <f>-ROUND(SUMIF('6.0'!$D:$D,T_BS!D159,'6.0'!$V:$V),0)</f>
        <v>0</v>
      </c>
      <c r="T159" s="720">
        <f>-ROUND(SUMIF('7.0'!$D:$D,T_BS!D159,'7.0'!$V:$V),0)</f>
        <v>0</v>
      </c>
      <c r="U159" s="720">
        <f>-ROUND(SUMIF('8.0'!$D:$D,T_BS!D159,'8.0'!$H:$H),0)</f>
        <v>0</v>
      </c>
      <c r="V159" s="510">
        <f>SUM(N159:U159)</f>
        <v>0</v>
      </c>
      <c r="W159" s="1653"/>
      <c r="X159" s="1616">
        <f t="shared" si="50"/>
        <v>0</v>
      </c>
      <c r="Y159" s="1653"/>
      <c r="Z159" s="1616">
        <f t="shared" si="51"/>
        <v>0</v>
      </c>
      <c r="AA159" s="1653"/>
      <c r="AB159" s="1616">
        <v>0</v>
      </c>
      <c r="AC159" s="1616">
        <v>0</v>
      </c>
      <c r="AD159" s="1616">
        <v>0</v>
      </c>
      <c r="AE159" s="1616">
        <v>0</v>
      </c>
      <c r="AF159" s="1616">
        <v>0</v>
      </c>
      <c r="AG159" s="1616">
        <v>0</v>
      </c>
      <c r="AH159" s="1616">
        <v>0</v>
      </c>
      <c r="AI159" s="1616">
        <v>0</v>
      </c>
      <c r="AJ159" s="1616">
        <v>0</v>
      </c>
      <c r="AK159" s="1616">
        <v>0</v>
      </c>
      <c r="AL159" s="1616">
        <v>0</v>
      </c>
      <c r="AM159" s="1616">
        <v>0</v>
      </c>
      <c r="AN159" s="1616">
        <v>0</v>
      </c>
      <c r="AP159" s="498"/>
    </row>
    <row r="160" spans="1:42" ht="18" customHeight="1">
      <c r="A160" s="498"/>
      <c r="B160" s="1547"/>
      <c r="C160" s="1547"/>
      <c r="D160" s="1624">
        <v>213100</v>
      </c>
      <c r="E160" s="1547" t="s">
        <v>137</v>
      </c>
      <c r="F160" s="1625">
        <v>3102</v>
      </c>
      <c r="G160" s="1547" t="s">
        <v>144</v>
      </c>
      <c r="H160" s="498">
        <v>38876166423</v>
      </c>
      <c r="I160" s="498">
        <v>42998335</v>
      </c>
      <c r="J160" s="710">
        <v>658973542</v>
      </c>
      <c r="K160" s="710">
        <v>1031717209</v>
      </c>
      <c r="L160" s="1672">
        <f t="shared" si="48"/>
        <v>40609855509</v>
      </c>
      <c r="N160" s="1667">
        <f>-SUMIF('1.0'!$D:$D,T_BS!D160,'1.0'!$V:$V)</f>
        <v>0</v>
      </c>
      <c r="O160" s="710">
        <f>-SUMIF('2.0'!$D:$D,T_BS!D160,'2.0'!$V:$V)</f>
        <v>0</v>
      </c>
      <c r="P160" s="710">
        <f>-ROUND(SUMIF('3.0'!$D:$D,T_BS!D160,'3.0'!$H:$H),0)</f>
        <v>0</v>
      </c>
      <c r="Q160" s="720">
        <f>-ROUND(SUMIF('4.0'!$D:$D,T_BS!D160,'4.0'!$V:$V),0)</f>
        <v>0</v>
      </c>
      <c r="R160" s="710">
        <f>-ROUND(SUMIF('5.0'!$D:$D,T_BS!D160,'5.0'!$V:$V),0)</f>
        <v>0</v>
      </c>
      <c r="S160" s="720">
        <f>-ROUND(SUMIF('6.0'!$D:$D,T_BS!D160,'6.0'!$V:$V),0)</f>
        <v>0</v>
      </c>
      <c r="T160" s="720">
        <f>-ROUND(SUMIF('7.0'!$D:$D,T_BS!D160,'7.0'!$V:$V),0)</f>
        <v>0</v>
      </c>
      <c r="U160" s="720">
        <f>-ROUND(SUMIF('8.0'!$D:$D,T_BS!D160,'8.0'!$H:$H),0)</f>
        <v>0</v>
      </c>
      <c r="V160" s="1672">
        <f t="shared" si="49"/>
        <v>0</v>
      </c>
      <c r="X160" s="852">
        <f t="shared" si="50"/>
        <v>40609855509</v>
      </c>
      <c r="Z160" s="1616">
        <f t="shared" si="51"/>
        <v>15386786466</v>
      </c>
      <c r="AB160" s="852">
        <v>22985289931</v>
      </c>
      <c r="AC160" s="852">
        <v>41563332394</v>
      </c>
      <c r="AD160" s="852">
        <v>31573727822</v>
      </c>
      <c r="AE160" s="852">
        <v>25484961160</v>
      </c>
      <c r="AF160" s="852">
        <v>28871781776</v>
      </c>
      <c r="AG160" s="852">
        <v>27712960836</v>
      </c>
      <c r="AH160" s="852">
        <v>46898154700</v>
      </c>
      <c r="AI160" s="852">
        <v>25223069043</v>
      </c>
      <c r="AJ160" s="852">
        <v>18310477156</v>
      </c>
      <c r="AK160" s="852">
        <v>27642267446</v>
      </c>
      <c r="AL160" s="852">
        <v>37055105672</v>
      </c>
      <c r="AM160" s="852">
        <v>27341589842</v>
      </c>
      <c r="AN160" s="852">
        <v>24602996218</v>
      </c>
      <c r="AP160" s="498"/>
    </row>
    <row r="161" spans="1:42" ht="18" customHeight="1">
      <c r="A161" s="498"/>
      <c r="D161" s="1593">
        <v>213150</v>
      </c>
      <c r="E161" s="1359" t="s">
        <v>137</v>
      </c>
      <c r="F161" s="1361">
        <v>3102</v>
      </c>
      <c r="G161" s="1359" t="s">
        <v>145</v>
      </c>
      <c r="H161" s="498">
        <v>118680376</v>
      </c>
      <c r="I161" s="498">
        <v>0</v>
      </c>
      <c r="J161" s="710">
        <v>0</v>
      </c>
      <c r="K161" s="710">
        <v>0</v>
      </c>
      <c r="L161" s="510">
        <f t="shared" si="48"/>
        <v>118680376</v>
      </c>
      <c r="N161" s="1667">
        <f>-SUMIF('1.0'!$D:$D,T_BS!D161,'1.0'!$V:$V)</f>
        <v>0</v>
      </c>
      <c r="O161" s="710">
        <f>-SUMIF('2.0'!$D:$D,T_BS!D161,'2.0'!$V:$V)</f>
        <v>0</v>
      </c>
      <c r="P161" s="509">
        <f>-ROUND(SUMIF('3.0'!$D:$D,T_BS!D161,'3.0'!$H:$H),0)</f>
        <v>-7603800</v>
      </c>
      <c r="Q161" s="720">
        <f>-ROUND(SUMIF('4.0'!$D:$D,T_BS!D161,'4.0'!$V:$V),0)</f>
        <v>0</v>
      </c>
      <c r="R161" s="509">
        <f>-ROUND(SUMIF('5.0'!$D:$D,T_BS!D161,'5.0'!$V:$V),0)</f>
        <v>0</v>
      </c>
      <c r="S161" s="720">
        <f>-ROUND(SUMIF('6.0'!$D:$D,T_BS!D161,'6.0'!$V:$V),0)</f>
        <v>0</v>
      </c>
      <c r="T161" s="720">
        <f>-ROUND(SUMIF('7.0'!$D:$D,T_BS!D161,'7.0'!$V:$V),0)</f>
        <v>0</v>
      </c>
      <c r="U161" s="720">
        <f>-ROUND(SUMIF('8.0'!$D:$D,T_BS!D161,'8.0'!$H:$H),0)</f>
        <v>0</v>
      </c>
      <c r="V161" s="510">
        <f t="shared" si="49"/>
        <v>-7603800</v>
      </c>
      <c r="X161" s="1616">
        <f t="shared" si="50"/>
        <v>111076576</v>
      </c>
      <c r="Z161" s="1616">
        <f t="shared" si="51"/>
        <v>-1266128405</v>
      </c>
      <c r="AB161" s="1616">
        <v>26972480</v>
      </c>
      <c r="AC161" s="1616">
        <v>67956745</v>
      </c>
      <c r="AD161" s="1616">
        <v>28488240</v>
      </c>
      <c r="AE161" s="1616">
        <v>28589080</v>
      </c>
      <c r="AF161" s="1616">
        <v>373047127</v>
      </c>
      <c r="AG161" s="1616">
        <v>26315200</v>
      </c>
      <c r="AH161" s="1616">
        <v>928070340</v>
      </c>
      <c r="AI161" s="1616">
        <v>1377204981</v>
      </c>
      <c r="AJ161" s="1616">
        <v>1288036796</v>
      </c>
      <c r="AK161" s="1616">
        <v>1379226802</v>
      </c>
      <c r="AL161" s="1616">
        <v>787451614</v>
      </c>
      <c r="AM161" s="1616">
        <v>838348238</v>
      </c>
      <c r="AN161" s="1616">
        <v>867129726</v>
      </c>
      <c r="AP161" s="498"/>
    </row>
    <row r="162" spans="1:42" ht="18" customHeight="1">
      <c r="A162" s="498"/>
      <c r="D162" s="1593">
        <v>213900</v>
      </c>
      <c r="E162" s="1359" t="s">
        <v>137</v>
      </c>
      <c r="F162" s="1361">
        <v>3102</v>
      </c>
      <c r="G162" s="1359" t="s">
        <v>146</v>
      </c>
      <c r="H162" s="498">
        <v>94638931</v>
      </c>
      <c r="I162" s="498">
        <v>0</v>
      </c>
      <c r="J162" s="710">
        <v>0</v>
      </c>
      <c r="K162" s="710">
        <v>0</v>
      </c>
      <c r="L162" s="510">
        <f t="shared" si="48"/>
        <v>94638931</v>
      </c>
      <c r="N162" s="1667">
        <f>-SUMIF('1.0'!$D:$D,T_BS!D162,'1.0'!$V:$V)</f>
        <v>0</v>
      </c>
      <c r="O162" s="710">
        <f>-SUMIF('2.0'!$D:$D,T_BS!D162,'2.0'!$V:$V)</f>
        <v>0</v>
      </c>
      <c r="P162" s="509">
        <f>-ROUND(SUMIF('3.0'!$D:$D,T_BS!D162,'3.0'!$H:$H),0)</f>
        <v>0</v>
      </c>
      <c r="Q162" s="720">
        <f>-ROUND(SUMIF('4.0'!$D:$D,T_BS!D162,'4.0'!$V:$V),0)</f>
        <v>0</v>
      </c>
      <c r="R162" s="509">
        <f>-ROUND(SUMIF('5.0'!$D:$D,T_BS!D162,'5.0'!$V:$V),0)</f>
        <v>0</v>
      </c>
      <c r="S162" s="720">
        <f>-ROUND(SUMIF('6.0'!$D:$D,T_BS!D162,'6.0'!$V:$V),0)</f>
        <v>0</v>
      </c>
      <c r="T162" s="720">
        <f>-ROUND(SUMIF('7.0'!$D:$D,T_BS!D162,'7.0'!$V:$V),0)</f>
        <v>0</v>
      </c>
      <c r="U162" s="720">
        <f>-ROUND(SUMIF('8.0'!$D:$D,T_BS!D162,'8.0'!$H:$H),0)</f>
        <v>0</v>
      </c>
      <c r="V162" s="510">
        <f t="shared" si="49"/>
        <v>0</v>
      </c>
      <c r="X162" s="1616">
        <f t="shared" si="50"/>
        <v>94638931</v>
      </c>
      <c r="Z162" s="1616">
        <f t="shared" si="51"/>
        <v>22686890</v>
      </c>
      <c r="AB162" s="1616">
        <v>60779085</v>
      </c>
      <c r="AC162" s="1616">
        <v>38537626</v>
      </c>
      <c r="AD162" s="1616">
        <v>23696797</v>
      </c>
      <c r="AE162" s="1616">
        <v>39629093</v>
      </c>
      <c r="AF162" s="1616">
        <v>53286854</v>
      </c>
      <c r="AG162" s="1616">
        <v>38612599</v>
      </c>
      <c r="AH162" s="1616">
        <v>87070728</v>
      </c>
      <c r="AI162" s="1616">
        <v>71952041</v>
      </c>
      <c r="AJ162" s="1616">
        <v>15972923</v>
      </c>
      <c r="AK162" s="1616">
        <v>30899530</v>
      </c>
      <c r="AL162" s="1616">
        <v>24897230</v>
      </c>
      <c r="AM162" s="1616">
        <v>41765437</v>
      </c>
      <c r="AN162" s="1616">
        <v>56690746</v>
      </c>
      <c r="AP162" s="498"/>
    </row>
    <row r="163" spans="1:42" ht="18" customHeight="1">
      <c r="A163" s="498"/>
      <c r="D163" s="1593">
        <v>213800</v>
      </c>
      <c r="E163" s="1359" t="s">
        <v>137</v>
      </c>
      <c r="F163" s="1361">
        <v>3102</v>
      </c>
      <c r="G163" s="1359" t="s">
        <v>147</v>
      </c>
      <c r="H163" s="498">
        <v>162860281</v>
      </c>
      <c r="I163" s="498">
        <v>0</v>
      </c>
      <c r="J163" s="710">
        <v>0</v>
      </c>
      <c r="K163" s="710">
        <v>0</v>
      </c>
      <c r="L163" s="510">
        <f t="shared" si="48"/>
        <v>162860281</v>
      </c>
      <c r="N163" s="1667">
        <f>-SUMIF('1.0'!$D:$D,T_BS!D163,'1.0'!$V:$V)</f>
        <v>0</v>
      </c>
      <c r="O163" s="710">
        <f>-SUMIF('2.0'!$D:$D,T_BS!D163,'2.0'!$V:$V)</f>
        <v>0</v>
      </c>
      <c r="P163" s="509">
        <f>-ROUND(SUMIF('3.0'!$D:$D,T_BS!D163,'3.0'!$H:$H),0)</f>
        <v>0</v>
      </c>
      <c r="Q163" s="720">
        <f>-ROUND(SUMIF('4.0'!$D:$D,T_BS!D163,'4.0'!$V:$V),0)</f>
        <v>0</v>
      </c>
      <c r="R163" s="509">
        <f>-ROUND(SUMIF('5.0'!$D:$D,T_BS!D163,'5.0'!$V:$V),0)</f>
        <v>0</v>
      </c>
      <c r="S163" s="720">
        <f>-ROUND(SUMIF('6.0'!$D:$D,T_BS!D163,'6.0'!$V:$V),0)</f>
        <v>0</v>
      </c>
      <c r="T163" s="720">
        <f>-ROUND(SUMIF('7.0'!$D:$D,T_BS!D163,'7.0'!$V:$V),0)</f>
        <v>0</v>
      </c>
      <c r="U163" s="720">
        <f>-ROUND(SUMIF('8.0'!$D:$D,T_BS!D163,'8.0'!$H:$H),0)</f>
        <v>0</v>
      </c>
      <c r="V163" s="510">
        <f t="shared" si="49"/>
        <v>0</v>
      </c>
      <c r="X163" s="1616">
        <f t="shared" si="50"/>
        <v>162860281</v>
      </c>
      <c r="Z163" s="1616">
        <f t="shared" si="51"/>
        <v>51507807</v>
      </c>
      <c r="AB163" s="1616">
        <v>69068650</v>
      </c>
      <c r="AC163" s="1616">
        <v>54510825</v>
      </c>
      <c r="AD163" s="1616">
        <v>50271839</v>
      </c>
      <c r="AE163" s="1616">
        <v>51046607</v>
      </c>
      <c r="AF163" s="1616">
        <v>52532993</v>
      </c>
      <c r="AG163" s="1616">
        <v>48915575</v>
      </c>
      <c r="AH163" s="1616">
        <v>40679962</v>
      </c>
      <c r="AI163" s="1616">
        <v>111352474</v>
      </c>
      <c r="AJ163" s="1616">
        <v>26742953</v>
      </c>
      <c r="AK163" s="1616">
        <v>25323485</v>
      </c>
      <c r="AL163" s="1616">
        <v>28363643</v>
      </c>
      <c r="AM163" s="1616">
        <v>24234431</v>
      </c>
      <c r="AN163" s="1616">
        <v>74509253</v>
      </c>
      <c r="AP163" s="498"/>
    </row>
    <row r="164" spans="1:42" ht="18" customHeight="1">
      <c r="A164" s="498"/>
      <c r="D164" s="1593">
        <v>213101</v>
      </c>
      <c r="E164" s="1359" t="s">
        <v>137</v>
      </c>
      <c r="F164" s="1361">
        <v>3102</v>
      </c>
      <c r="G164" s="1359" t="s">
        <v>148</v>
      </c>
      <c r="H164" s="498">
        <v>46770</v>
      </c>
      <c r="I164" s="498">
        <v>0</v>
      </c>
      <c r="J164" s="710">
        <v>0</v>
      </c>
      <c r="K164" s="710">
        <v>0</v>
      </c>
      <c r="L164" s="510">
        <f t="shared" si="48"/>
        <v>46770</v>
      </c>
      <c r="N164" s="1667">
        <f>-SUMIF('1.0'!$D:$D,T_BS!D164,'1.0'!$V:$V)</f>
        <v>0</v>
      </c>
      <c r="O164" s="710">
        <f>-SUMIF('2.0'!$D:$D,T_BS!D164,'2.0'!$V:$V)</f>
        <v>0</v>
      </c>
      <c r="P164" s="509">
        <f>-ROUND(SUMIF('3.0'!$D:$D,T_BS!D164,'3.0'!$H:$H),0)</f>
        <v>0</v>
      </c>
      <c r="Q164" s="720">
        <f>-ROUND(SUMIF('4.0'!$D:$D,T_BS!D164,'4.0'!$V:$V),0)</f>
        <v>0</v>
      </c>
      <c r="R164" s="509">
        <f>-ROUND(SUMIF('5.0'!$D:$D,T_BS!D164,'5.0'!$V:$V),0)</f>
        <v>0</v>
      </c>
      <c r="S164" s="720">
        <f>-ROUND(SUMIF('6.0'!$D:$D,T_BS!D164,'6.0'!$V:$V),0)</f>
        <v>0</v>
      </c>
      <c r="T164" s="720">
        <f>-ROUND(SUMIF('7.0'!$D:$D,T_BS!D164,'7.0'!$V:$V),0)</f>
        <v>0</v>
      </c>
      <c r="U164" s="720">
        <f>-ROUND(SUMIF('8.0'!$D:$D,T_BS!D164,'8.0'!$H:$H),0)</f>
        <v>0</v>
      </c>
      <c r="V164" s="510">
        <f t="shared" si="49"/>
        <v>0</v>
      </c>
      <c r="X164" s="1616">
        <f t="shared" si="50"/>
        <v>46770</v>
      </c>
      <c r="Z164" s="1616">
        <f t="shared" si="51"/>
        <v>-56035350</v>
      </c>
      <c r="AB164" s="1616">
        <v>3290780</v>
      </c>
      <c r="AC164" s="1616">
        <v>3269130</v>
      </c>
      <c r="AD164" s="1616">
        <v>0</v>
      </c>
      <c r="AE164" s="1616">
        <v>2217350</v>
      </c>
      <c r="AF164" s="1616">
        <v>747820</v>
      </c>
      <c r="AG164" s="1616">
        <v>3939840</v>
      </c>
      <c r="AH164" s="1616">
        <v>59207650</v>
      </c>
      <c r="AI164" s="1616">
        <v>56082120</v>
      </c>
      <c r="AJ164" s="1616">
        <v>28521920</v>
      </c>
      <c r="AK164" s="1616">
        <v>48220870</v>
      </c>
      <c r="AL164" s="1616">
        <v>2628600</v>
      </c>
      <c r="AM164" s="1616">
        <v>130500</v>
      </c>
      <c r="AN164" s="1616">
        <v>0</v>
      </c>
      <c r="AP164" s="498"/>
    </row>
    <row r="165" spans="1:42" ht="18" customHeight="1">
      <c r="A165" s="498"/>
      <c r="D165" s="1593">
        <v>213200</v>
      </c>
      <c r="E165" s="1359" t="s">
        <v>137</v>
      </c>
      <c r="F165" s="1361">
        <v>3102</v>
      </c>
      <c r="G165" s="1359" t="s">
        <v>149</v>
      </c>
      <c r="H165" s="498">
        <v>1161244320</v>
      </c>
      <c r="I165" s="498">
        <v>0</v>
      </c>
      <c r="J165" s="710">
        <v>0</v>
      </c>
      <c r="K165" s="710">
        <v>0</v>
      </c>
      <c r="L165" s="510">
        <f t="shared" si="48"/>
        <v>1161244320</v>
      </c>
      <c r="N165" s="1667">
        <f>-SUMIF('1.0'!$D:$D,T_BS!D165,'1.0'!$V:$V)</f>
        <v>0</v>
      </c>
      <c r="O165" s="710">
        <f>-SUMIF('2.0'!$D:$D,T_BS!D165,'2.0'!$V:$V)</f>
        <v>0</v>
      </c>
      <c r="P165" s="509">
        <f>-ROUND(SUMIF('3.0'!$D:$D,T_BS!D165,'3.0'!$H:$H),0)</f>
        <v>0</v>
      </c>
      <c r="Q165" s="720">
        <f>-ROUND(SUMIF('4.0'!$D:$D,T_BS!D165,'4.0'!$V:$V),0)</f>
        <v>0</v>
      </c>
      <c r="R165" s="509">
        <f>-ROUND(SUMIF('5.0'!$D:$D,T_BS!D165,'5.0'!$V:$V),0)</f>
        <v>0</v>
      </c>
      <c r="S165" s="720">
        <f>-ROUND(SUMIF('6.0'!$D:$D,T_BS!D165,'6.0'!$V:$V),0)</f>
        <v>0</v>
      </c>
      <c r="T165" s="720">
        <f>-ROUND(SUMIF('7.0'!$D:$D,T_BS!D165,'7.0'!$V:$V),0)</f>
        <v>0</v>
      </c>
      <c r="U165" s="720">
        <f>-ROUND(SUMIF('8.0'!$D:$D,T_BS!D165,'8.0'!$H:$H),0)</f>
        <v>0</v>
      </c>
      <c r="V165" s="510">
        <f t="shared" si="49"/>
        <v>0</v>
      </c>
      <c r="X165" s="1616">
        <f t="shared" si="50"/>
        <v>1161244320</v>
      </c>
      <c r="Z165" s="1616">
        <f t="shared" si="51"/>
        <v>636324714</v>
      </c>
      <c r="AB165" s="1616">
        <v>360151965</v>
      </c>
      <c r="AC165" s="1616">
        <v>171079443</v>
      </c>
      <c r="AD165" s="1616">
        <v>129370414</v>
      </c>
      <c r="AE165" s="1616">
        <v>207117590</v>
      </c>
      <c r="AF165" s="1616">
        <v>197883819</v>
      </c>
      <c r="AG165" s="1616">
        <v>211702195</v>
      </c>
      <c r="AH165" s="1616">
        <v>269133368</v>
      </c>
      <c r="AI165" s="1616">
        <v>524919606</v>
      </c>
      <c r="AJ165" s="1616">
        <v>325710648</v>
      </c>
      <c r="AK165" s="1616">
        <v>148304173</v>
      </c>
      <c r="AL165" s="1616">
        <v>102434738</v>
      </c>
      <c r="AM165" s="1616">
        <v>446249362</v>
      </c>
      <c r="AN165" s="1616">
        <v>80867767</v>
      </c>
      <c r="AP165" s="498"/>
    </row>
    <row r="166" spans="1:42" s="1668" customFormat="1" ht="18" customHeight="1">
      <c r="A166" s="543"/>
      <c r="B166" s="1359"/>
      <c r="C166" s="1359"/>
      <c r="D166" s="1593">
        <v>217900</v>
      </c>
      <c r="E166" s="1359" t="s">
        <v>137</v>
      </c>
      <c r="F166" s="1361">
        <v>3103</v>
      </c>
      <c r="G166" s="1359" t="s">
        <v>150</v>
      </c>
      <c r="H166" s="498">
        <v>1494752032</v>
      </c>
      <c r="I166" s="498">
        <v>5481616</v>
      </c>
      <c r="J166" s="710">
        <v>0</v>
      </c>
      <c r="K166" s="710">
        <v>0</v>
      </c>
      <c r="L166" s="510">
        <f t="shared" si="48"/>
        <v>1500233648</v>
      </c>
      <c r="M166" s="1653"/>
      <c r="N166" s="1667">
        <f>-SUMIF('1.0'!$D:$D,T_BS!D166,'1.0'!$V:$V)</f>
        <v>0</v>
      </c>
      <c r="O166" s="710">
        <f>-SUMIF('2.0'!$D:$D,T_BS!D166,'2.0'!$V:$V)</f>
        <v>0</v>
      </c>
      <c r="P166" s="509">
        <f>-ROUND(SUMIF('3.0'!$D:$D,T_BS!D166,'3.0'!$H:$H),0)</f>
        <v>0</v>
      </c>
      <c r="Q166" s="720">
        <f>-ROUND(SUMIF('4.0'!$D:$D,T_BS!D166,'4.0'!$V:$V),0)</f>
        <v>0</v>
      </c>
      <c r="R166" s="509">
        <f>-ROUND(SUMIF('5.0'!$D:$D,T_BS!D166,'5.0'!$V:$V),0)</f>
        <v>0</v>
      </c>
      <c r="S166" s="720">
        <f>-ROUND(SUMIF('6.0'!$D:$D,T_BS!D166,'6.0'!$V:$V),0)</f>
        <v>0</v>
      </c>
      <c r="T166" s="720">
        <f>-ROUND(SUMIF('7.0'!$D:$D,T_BS!D166,'7.0'!$V:$V),0)</f>
        <v>0</v>
      </c>
      <c r="U166" s="720">
        <f>-ROUND(SUMIF('8.0'!$D:$D,T_BS!D166,'8.0'!$H:$H),0)</f>
        <v>0</v>
      </c>
      <c r="V166" s="510">
        <f t="shared" si="49"/>
        <v>0</v>
      </c>
      <c r="W166" s="1653"/>
      <c r="X166" s="1616">
        <f t="shared" si="50"/>
        <v>1500233648</v>
      </c>
      <c r="Y166" s="1653"/>
      <c r="Z166" s="1616">
        <f t="shared" si="51"/>
        <v>-1128777874</v>
      </c>
      <c r="AA166" s="1653"/>
      <c r="AB166" s="1616">
        <v>1939581736</v>
      </c>
      <c r="AC166" s="1616">
        <v>799322260</v>
      </c>
      <c r="AD166" s="1616">
        <v>547586942</v>
      </c>
      <c r="AE166" s="1616">
        <v>449115142</v>
      </c>
      <c r="AF166" s="1616">
        <v>603348659</v>
      </c>
      <c r="AG166" s="1616">
        <v>433391357</v>
      </c>
      <c r="AH166" s="1616">
        <v>361779374</v>
      </c>
      <c r="AI166" s="1616">
        <v>2629011522</v>
      </c>
      <c r="AJ166" s="1616">
        <v>224797803</v>
      </c>
      <c r="AK166" s="1616">
        <v>263167901</v>
      </c>
      <c r="AL166" s="1616">
        <v>461650739</v>
      </c>
      <c r="AM166" s="1616">
        <v>212176830</v>
      </c>
      <c r="AN166" s="1616">
        <v>1588352954</v>
      </c>
      <c r="AO166" s="770"/>
      <c r="AP166" s="498"/>
    </row>
    <row r="167" spans="1:42" ht="18" customHeight="1">
      <c r="A167" s="498"/>
      <c r="B167" s="1547"/>
      <c r="C167" s="1547"/>
      <c r="D167" s="1624">
        <v>217100</v>
      </c>
      <c r="E167" s="1547" t="s">
        <v>137</v>
      </c>
      <c r="F167" s="1625">
        <v>3103</v>
      </c>
      <c r="G167" s="1547" t="s">
        <v>2272</v>
      </c>
      <c r="H167" s="498">
        <v>0</v>
      </c>
      <c r="I167" s="498">
        <v>0</v>
      </c>
      <c r="J167" s="710">
        <v>0</v>
      </c>
      <c r="K167" s="710">
        <v>0</v>
      </c>
      <c r="L167" s="510">
        <f t="shared" si="48"/>
        <v>0</v>
      </c>
      <c r="N167" s="1667">
        <f>-SUMIF('1.0'!$D:$D,T_BS!D167,'1.0'!$V:$V)</f>
        <v>0</v>
      </c>
      <c r="O167" s="710">
        <f>-SUMIF('2.0'!$D:$D,T_BS!D167,'2.0'!$V:$V)</f>
        <v>0</v>
      </c>
      <c r="P167" s="710">
        <f>-ROUND(SUMIF('3.0'!$D:$D,T_BS!D167,'3.0'!$H:$H),0)</f>
        <v>0</v>
      </c>
      <c r="Q167" s="720">
        <f>-ROUND(SUMIF('4.0'!$D:$D,T_BS!D167,'4.0'!$V:$V),0)</f>
        <v>0</v>
      </c>
      <c r="R167" s="710">
        <f>-ROUND(SUMIF('5.0'!$D:$D,T_BS!D167,'5.0'!$V:$V),0)</f>
        <v>0</v>
      </c>
      <c r="S167" s="720">
        <f>-ROUND(SUMIF('6.0'!$D:$D,T_BS!D167,'6.0'!$V:$V),0)</f>
        <v>0</v>
      </c>
      <c r="T167" s="720">
        <f>-ROUND(SUMIF('7.0'!$D:$D,T_BS!D167,'7.0'!$V:$V),0)</f>
        <v>0</v>
      </c>
      <c r="U167" s="720">
        <f>-ROUND(SUMIF('8.0'!$D:$D,T_BS!D167,'8.0'!$H:$H),0)</f>
        <v>0</v>
      </c>
      <c r="V167" s="1672">
        <f>SUM(N167:U167)</f>
        <v>0</v>
      </c>
      <c r="X167" s="852">
        <f t="shared" si="50"/>
        <v>0</v>
      </c>
      <c r="Z167" s="1616">
        <f t="shared" si="51"/>
        <v>0</v>
      </c>
      <c r="AB167" s="852">
        <v>0</v>
      </c>
      <c r="AC167" s="852">
        <v>0</v>
      </c>
      <c r="AD167" s="852">
        <v>0</v>
      </c>
      <c r="AE167" s="852">
        <v>0</v>
      </c>
      <c r="AF167" s="852">
        <v>0</v>
      </c>
      <c r="AG167" s="852">
        <v>0</v>
      </c>
      <c r="AH167" s="852">
        <v>0</v>
      </c>
      <c r="AI167" s="852">
        <v>0</v>
      </c>
      <c r="AJ167" s="852">
        <v>0</v>
      </c>
      <c r="AK167" s="852">
        <v>0</v>
      </c>
      <c r="AL167" s="852">
        <v>0</v>
      </c>
      <c r="AM167" s="852"/>
      <c r="AN167" s="852">
        <v>0</v>
      </c>
      <c r="AO167" s="1668"/>
      <c r="AP167" s="498"/>
    </row>
    <row r="168" spans="1:42" ht="18" customHeight="1">
      <c r="A168" s="498"/>
      <c r="D168" s="1593">
        <v>217200</v>
      </c>
      <c r="E168" s="1359" t="s">
        <v>137</v>
      </c>
      <c r="F168" s="1361">
        <v>3103</v>
      </c>
      <c r="G168" s="1359" t="s">
        <v>151</v>
      </c>
      <c r="H168" s="498">
        <v>0</v>
      </c>
      <c r="I168" s="498">
        <v>0</v>
      </c>
      <c r="J168" s="710">
        <v>7353762</v>
      </c>
      <c r="K168" s="710">
        <v>10170107</v>
      </c>
      <c r="L168" s="510">
        <f t="shared" si="48"/>
        <v>17523869</v>
      </c>
      <c r="N168" s="1667">
        <f>-SUMIF('1.0'!$D:$D,T_BS!D168,'1.0'!$V:$V)</f>
        <v>0</v>
      </c>
      <c r="O168" s="710">
        <f>-SUMIF('2.0'!$D:$D,T_BS!D168,'2.0'!$V:$V)</f>
        <v>0</v>
      </c>
      <c r="P168" s="509">
        <f>-ROUND(SUMIF('3.0'!$D:$D,T_BS!D168,'3.0'!$H:$H),0)</f>
        <v>0</v>
      </c>
      <c r="Q168" s="720">
        <f>-ROUND(SUMIF('4.0'!$D:$D,T_BS!D168,'4.0'!$V:$V),0)</f>
        <v>0</v>
      </c>
      <c r="R168" s="509">
        <f>-ROUND(SUMIF('5.0'!$D:$D,T_BS!D168,'5.0'!$V:$V),0)</f>
        <v>0</v>
      </c>
      <c r="S168" s="720">
        <f>-ROUND(SUMIF('6.0'!$D:$D,T_BS!D168,'6.0'!$V:$V),0)</f>
        <v>0</v>
      </c>
      <c r="T168" s="720">
        <f>-ROUND(SUMIF('7.0'!$D:$D,T_BS!D168,'7.0'!$V:$V),0)</f>
        <v>0</v>
      </c>
      <c r="U168" s="720">
        <f>-ROUND(SUMIF('8.0'!$D:$D,T_BS!D168,'8.0'!$H:$H),0)</f>
        <v>0</v>
      </c>
      <c r="V168" s="510">
        <f t="shared" si="49"/>
        <v>0</v>
      </c>
      <c r="X168" s="1616">
        <f t="shared" si="50"/>
        <v>17523869</v>
      </c>
      <c r="Z168" s="1616">
        <f t="shared" si="51"/>
        <v>-906309</v>
      </c>
      <c r="AB168" s="1616">
        <v>8254261</v>
      </c>
      <c r="AC168" s="1616">
        <v>10255570</v>
      </c>
      <c r="AD168" s="1616">
        <v>10597640</v>
      </c>
      <c r="AE168" s="1616">
        <v>10356505</v>
      </c>
      <c r="AF168" s="1616">
        <v>10355225</v>
      </c>
      <c r="AG168" s="1616">
        <v>0</v>
      </c>
      <c r="AH168" s="1616">
        <v>18218782</v>
      </c>
      <c r="AI168" s="1616">
        <v>18430178</v>
      </c>
      <c r="AJ168" s="1616">
        <v>11007355</v>
      </c>
      <c r="AK168" s="1616">
        <v>11290421</v>
      </c>
      <c r="AL168" s="1616">
        <v>9836414</v>
      </c>
      <c r="AM168" s="1616">
        <v>19202349</v>
      </c>
      <c r="AN168" s="1616">
        <v>194155208</v>
      </c>
      <c r="AP168" s="498"/>
    </row>
    <row r="169" spans="1:42" ht="18" customHeight="1">
      <c r="A169" s="498"/>
      <c r="D169" s="1593">
        <v>217300</v>
      </c>
      <c r="E169" s="1359" t="s">
        <v>137</v>
      </c>
      <c r="F169" s="1361">
        <v>3103</v>
      </c>
      <c r="G169" s="1359" t="s">
        <v>152</v>
      </c>
      <c r="H169" s="498">
        <v>1031246598</v>
      </c>
      <c r="I169" s="498">
        <v>0</v>
      </c>
      <c r="J169" s="710">
        <v>0</v>
      </c>
      <c r="K169" s="710">
        <v>0</v>
      </c>
      <c r="L169" s="510">
        <f t="shared" si="48"/>
        <v>1031246598</v>
      </c>
      <c r="N169" s="1667">
        <f>-SUMIF('1.0'!$D:$D,T_BS!D169,'1.0'!$V:$V)</f>
        <v>0</v>
      </c>
      <c r="O169" s="710">
        <f>-SUMIF('2.0'!$D:$D,T_BS!D169,'2.0'!$V:$V)</f>
        <v>0</v>
      </c>
      <c r="P169" s="509">
        <f>-ROUND(SUMIF('3.0'!$D:$D,T_BS!D169,'3.0'!$H:$H),0)</f>
        <v>0</v>
      </c>
      <c r="Q169" s="720">
        <f>-ROUND(SUMIF('4.0'!$D:$D,T_BS!D169,'4.0'!$V:$V),0)</f>
        <v>0</v>
      </c>
      <c r="R169" s="509">
        <f>-ROUND(SUMIF('5.0'!$D:$D,T_BS!D169,'5.0'!$V:$V),0)</f>
        <v>0</v>
      </c>
      <c r="S169" s="720">
        <f>-ROUND(SUMIF('6.0'!$D:$D,T_BS!D169,'6.0'!$V:$V),0)</f>
        <v>0</v>
      </c>
      <c r="T169" s="720">
        <f>-ROUND(SUMIF('7.0'!$D:$D,T_BS!D169,'7.0'!$V:$V),0)</f>
        <v>0</v>
      </c>
      <c r="U169" s="720">
        <f>-ROUND(SUMIF('8.0'!$D:$D,T_BS!D169,'8.0'!$H:$H),0)</f>
        <v>0</v>
      </c>
      <c r="V169" s="510">
        <f t="shared" si="49"/>
        <v>0</v>
      </c>
      <c r="X169" s="1616">
        <f t="shared" si="50"/>
        <v>1031246598</v>
      </c>
      <c r="Z169" s="1616">
        <f t="shared" si="51"/>
        <v>1031238061</v>
      </c>
      <c r="AB169" s="1616">
        <v>70842152</v>
      </c>
      <c r="AC169" s="1616">
        <v>167622653</v>
      </c>
      <c r="AD169" s="1616">
        <v>27230348</v>
      </c>
      <c r="AE169" s="1616">
        <v>328223761</v>
      </c>
      <c r="AF169" s="1616">
        <v>772700091</v>
      </c>
      <c r="AG169" s="1616">
        <v>385182360</v>
      </c>
      <c r="AH169" s="1616">
        <v>8537</v>
      </c>
      <c r="AI169" s="1616">
        <v>8537</v>
      </c>
      <c r="AJ169" s="1616">
        <v>4093</v>
      </c>
      <c r="AK169" s="1616">
        <v>37166723</v>
      </c>
      <c r="AL169" s="1616">
        <v>37154093</v>
      </c>
      <c r="AM169" s="1616">
        <v>21102298</v>
      </c>
      <c r="AN169" s="1616">
        <v>6429</v>
      </c>
      <c r="AP169" s="498"/>
    </row>
    <row r="170" spans="1:42" ht="18" customHeight="1">
      <c r="A170" s="498"/>
      <c r="D170" s="1593">
        <v>217400</v>
      </c>
      <c r="E170" s="1359" t="s">
        <v>137</v>
      </c>
      <c r="F170" s="1361">
        <v>3103</v>
      </c>
      <c r="G170" s="1359" t="s">
        <v>153</v>
      </c>
      <c r="H170" s="498">
        <v>23640270</v>
      </c>
      <c r="I170" s="498">
        <v>0</v>
      </c>
      <c r="J170" s="710">
        <v>0</v>
      </c>
      <c r="K170" s="710">
        <v>0</v>
      </c>
      <c r="L170" s="510">
        <f t="shared" si="48"/>
        <v>23640270</v>
      </c>
      <c r="N170" s="1667">
        <f>-SUMIF('1.0'!$D:$D,T_BS!D170,'1.0'!$V:$V)</f>
        <v>0</v>
      </c>
      <c r="O170" s="710">
        <f>-SUMIF('2.0'!$D:$D,T_BS!D170,'2.0'!$V:$V)</f>
        <v>0</v>
      </c>
      <c r="P170" s="509">
        <f>-ROUND(SUMIF('3.0'!$D:$D,T_BS!D170,'3.0'!$H:$H),0)</f>
        <v>0</v>
      </c>
      <c r="Q170" s="720">
        <f>-ROUND(SUMIF('4.0'!$D:$D,T_BS!D170,'4.0'!$V:$V),0)</f>
        <v>0</v>
      </c>
      <c r="R170" s="509">
        <f>-ROUND(SUMIF('5.0'!$D:$D,T_BS!D170,'5.0'!$V:$V),0)</f>
        <v>0</v>
      </c>
      <c r="S170" s="720">
        <f>-ROUND(SUMIF('6.0'!$D:$D,T_BS!D170,'6.0'!$V:$V),0)</f>
        <v>0</v>
      </c>
      <c r="T170" s="720">
        <f>-ROUND(SUMIF('7.0'!$D:$D,T_BS!D170,'7.0'!$V:$V),0)</f>
        <v>0</v>
      </c>
      <c r="U170" s="720">
        <f>-ROUND(SUMIF('8.0'!$D:$D,T_BS!D170,'8.0'!$H:$H),0)</f>
        <v>0</v>
      </c>
      <c r="V170" s="510">
        <f t="shared" si="49"/>
        <v>0</v>
      </c>
      <c r="X170" s="1616">
        <f t="shared" si="50"/>
        <v>23640270</v>
      </c>
      <c r="Z170" s="1616">
        <f t="shared" si="51"/>
        <v>-124448887</v>
      </c>
      <c r="AB170" s="1616">
        <v>19243378</v>
      </c>
      <c r="AC170" s="1616">
        <v>12209203</v>
      </c>
      <c r="AD170" s="1616">
        <v>23043631</v>
      </c>
      <c r="AE170" s="1616">
        <v>15011078</v>
      </c>
      <c r="AF170" s="1616">
        <v>10259597</v>
      </c>
      <c r="AG170" s="1616">
        <v>21927323</v>
      </c>
      <c r="AH170" s="1616">
        <v>26863363</v>
      </c>
      <c r="AI170" s="1616">
        <v>148089157</v>
      </c>
      <c r="AJ170" s="1616">
        <v>98422095</v>
      </c>
      <c r="AK170" s="1616">
        <v>91707586</v>
      </c>
      <c r="AL170" s="1616">
        <v>68768297</v>
      </c>
      <c r="AM170" s="1616">
        <v>40118443</v>
      </c>
      <c r="AN170" s="1616">
        <v>30282251</v>
      </c>
      <c r="AP170" s="498"/>
    </row>
    <row r="171" spans="1:42" ht="18" customHeight="1">
      <c r="A171" s="498"/>
      <c r="D171" s="1593">
        <v>217500</v>
      </c>
      <c r="E171" s="1359" t="s">
        <v>137</v>
      </c>
      <c r="F171" s="1361">
        <v>3103</v>
      </c>
      <c r="G171" s="1359" t="s">
        <v>154</v>
      </c>
      <c r="H171" s="498">
        <v>1012807480</v>
      </c>
      <c r="I171" s="498">
        <v>21636712</v>
      </c>
      <c r="J171" s="710">
        <v>0</v>
      </c>
      <c r="K171" s="710">
        <v>0</v>
      </c>
      <c r="L171" s="510">
        <f t="shared" si="48"/>
        <v>1034444192</v>
      </c>
      <c r="N171" s="1667">
        <f>-SUMIF('1.0'!$D:$D,T_BS!D171,'1.0'!$V:$V)</f>
        <v>0</v>
      </c>
      <c r="O171" s="710">
        <f>-SUMIF('2.0'!$D:$D,T_BS!D171,'2.0'!$V:$V)</f>
        <v>0</v>
      </c>
      <c r="P171" s="509">
        <f>-ROUND(SUMIF('3.0'!$D:$D,T_BS!D171,'3.0'!$H:$H),0)</f>
        <v>0</v>
      </c>
      <c r="Q171" s="720">
        <f>-ROUND(SUMIF('4.0'!$D:$D,T_BS!D171,'4.0'!$V:$V),0)</f>
        <v>0</v>
      </c>
      <c r="R171" s="509">
        <f>-ROUND(SUMIF('5.0'!$D:$D,T_BS!D171,'5.0'!$V:$V),0)</f>
        <v>0</v>
      </c>
      <c r="S171" s="720">
        <f>-ROUND(SUMIF('6.0'!$D:$D,T_BS!D171,'6.0'!$V:$V),0)</f>
        <v>0</v>
      </c>
      <c r="T171" s="720">
        <f>-ROUND(SUMIF('7.0'!$D:$D,T_BS!D171,'7.0'!$V:$V),0)</f>
        <v>0</v>
      </c>
      <c r="U171" s="720">
        <f>-ROUND(SUMIF('8.0'!$D:$D,T_BS!D171,'8.0'!$H:$H),0)</f>
        <v>0</v>
      </c>
      <c r="V171" s="510">
        <f t="shared" si="49"/>
        <v>0</v>
      </c>
      <c r="X171" s="1616">
        <f t="shared" si="50"/>
        <v>1034444192</v>
      </c>
      <c r="Z171" s="1616">
        <f t="shared" si="51"/>
        <v>245249691</v>
      </c>
      <c r="AB171" s="1616">
        <v>994848800</v>
      </c>
      <c r="AC171" s="1616">
        <v>994848800</v>
      </c>
      <c r="AD171" s="1616">
        <v>994848800</v>
      </c>
      <c r="AE171" s="1616">
        <v>931026086</v>
      </c>
      <c r="AF171" s="1616">
        <v>931026086</v>
      </c>
      <c r="AG171" s="1616">
        <v>931026086</v>
      </c>
      <c r="AH171" s="1616">
        <v>872565299</v>
      </c>
      <c r="AI171" s="1616">
        <v>789194501</v>
      </c>
      <c r="AJ171" s="1616">
        <v>985058394</v>
      </c>
      <c r="AK171" s="1616">
        <v>985226370</v>
      </c>
      <c r="AL171" s="1616">
        <v>971304430</v>
      </c>
      <c r="AM171" s="1616">
        <v>887958790</v>
      </c>
      <c r="AN171" s="1616">
        <v>769571220</v>
      </c>
      <c r="AP171" s="498"/>
    </row>
    <row r="172" spans="1:42" ht="18" customHeight="1">
      <c r="A172" s="498"/>
      <c r="B172" s="1362"/>
      <c r="D172" s="1593" t="s">
        <v>1535</v>
      </c>
      <c r="E172" s="1359" t="s">
        <v>137</v>
      </c>
      <c r="F172" s="1361">
        <v>3103</v>
      </c>
      <c r="G172" s="1359" t="s">
        <v>1536</v>
      </c>
      <c r="H172" s="498">
        <v>0</v>
      </c>
      <c r="I172" s="498">
        <v>0</v>
      </c>
      <c r="J172" s="710">
        <v>0</v>
      </c>
      <c r="K172" s="710">
        <v>0</v>
      </c>
      <c r="L172" s="510">
        <f t="shared" si="48"/>
        <v>0</v>
      </c>
      <c r="N172" s="1667">
        <f>-SUMIF('1.0'!$D:$D,T_BS!D172,'1.0'!$V:$V)</f>
        <v>0</v>
      </c>
      <c r="O172" s="710">
        <f>-SUMIF('2.0'!$D:$D,T_BS!D172,'2.0'!$V:$V)</f>
        <v>0</v>
      </c>
      <c r="P172" s="509">
        <f>-ROUND(SUMIF('3.0'!$D:$D,T_BS!D172,'3.0'!$H:$H),0)</f>
        <v>0</v>
      </c>
      <c r="Q172" s="720">
        <f>-ROUND(SUMIF('4.0'!$D:$D,T_BS!D172,'4.0'!$V:$V),0)</f>
        <v>0</v>
      </c>
      <c r="R172" s="509">
        <f>-ROUND(SUMIF('5.0'!$D:$D,T_BS!D172,'5.0'!$V:$V),0)</f>
        <v>0</v>
      </c>
      <c r="S172" s="720">
        <f>-ROUND(SUMIF('6.0'!$D:$D,T_BS!D172,'6.0'!$V:$V),0)</f>
        <v>0</v>
      </c>
      <c r="T172" s="720">
        <f>-ROUND(SUMIF('7.0'!$D:$D,T_BS!D172,'7.0'!$V:$V),0)</f>
        <v>0</v>
      </c>
      <c r="U172" s="720">
        <f>-ROUND(SUMIF('8.0'!$D:$D,T_BS!D172,'8.0'!$H:$H),0)</f>
        <v>0</v>
      </c>
      <c r="V172" s="510">
        <f t="shared" si="49"/>
        <v>0</v>
      </c>
      <c r="X172" s="1616">
        <f t="shared" si="50"/>
        <v>0</v>
      </c>
      <c r="Z172" s="1616">
        <f t="shared" si="51"/>
        <v>0</v>
      </c>
      <c r="AB172" s="1616">
        <v>0</v>
      </c>
      <c r="AC172" s="1616">
        <v>0</v>
      </c>
      <c r="AD172" s="1616">
        <v>0</v>
      </c>
      <c r="AE172" s="1616">
        <v>0</v>
      </c>
      <c r="AF172" s="1616">
        <v>0</v>
      </c>
      <c r="AG172" s="1616">
        <v>0</v>
      </c>
      <c r="AH172" s="1616">
        <v>0</v>
      </c>
      <c r="AI172" s="1616">
        <v>0</v>
      </c>
      <c r="AJ172" s="1616">
        <v>0</v>
      </c>
      <c r="AK172" s="1616">
        <v>0</v>
      </c>
      <c r="AL172" s="1616">
        <v>0</v>
      </c>
      <c r="AM172" s="1616">
        <v>0</v>
      </c>
      <c r="AN172" s="1616">
        <v>0</v>
      </c>
      <c r="AP172" s="498"/>
    </row>
    <row r="173" spans="1:42" s="1653" customFormat="1" ht="18" customHeight="1">
      <c r="A173" s="575"/>
      <c r="B173" s="1086"/>
      <c r="C173" s="1086"/>
      <c r="D173" s="1670">
        <v>223150</v>
      </c>
      <c r="E173" s="1086" t="s">
        <v>137</v>
      </c>
      <c r="F173" s="1674">
        <v>3104</v>
      </c>
      <c r="G173" s="1086" t="s">
        <v>155</v>
      </c>
      <c r="H173" s="498">
        <v>0</v>
      </c>
      <c r="I173" s="498">
        <v>0</v>
      </c>
      <c r="J173" s="710">
        <v>0</v>
      </c>
      <c r="K173" s="710">
        <v>0</v>
      </c>
      <c r="L173" s="1640">
        <f t="shared" si="48"/>
        <v>0</v>
      </c>
      <c r="N173" s="1636">
        <f>-SUMIF('1.0'!$D:$D,T_BS!D173,'1.0'!$V:$V)</f>
        <v>0</v>
      </c>
      <c r="O173" s="925">
        <f>-SUMIF('2.0'!$D:$D,T_BS!D173,'2.0'!$V:$V)</f>
        <v>0</v>
      </c>
      <c r="P173" s="925">
        <f>-ROUND(SUMIF('3.0'!$D:$D,T_BS!D173,'3.0'!$H:$H),0)</f>
        <v>0</v>
      </c>
      <c r="Q173" s="1115">
        <f>-ROUND(SUMIF('4.0'!$D:$D,T_BS!D173,'4.0'!$V:$V),0)</f>
        <v>0</v>
      </c>
      <c r="R173" s="925">
        <f>-ROUND(SUMIF('5.0'!$D:$D,T_BS!D173,'5.0'!$V:$V),0)</f>
        <v>0</v>
      </c>
      <c r="S173" s="1115">
        <f>-ROUND(SUMIF('6.0'!$D:$D,T_BS!D173,'6.0'!$V:$V),0)</f>
        <v>0</v>
      </c>
      <c r="T173" s="720">
        <f>-ROUND(SUMIF('7.0'!$D:$D,T_BS!D173,'7.0'!$V:$V),0)</f>
        <v>0</v>
      </c>
      <c r="U173" s="1115">
        <f>-ROUND(SUMIF('8.0'!$D:$D,T_BS!D173,'8.0'!$H:$H),0)</f>
        <v>0</v>
      </c>
      <c r="V173" s="1640">
        <f t="shared" si="49"/>
        <v>0</v>
      </c>
      <c r="X173" s="1641">
        <f t="shared" si="50"/>
        <v>0</v>
      </c>
      <c r="Z173" s="1616">
        <f t="shared" si="51"/>
        <v>0</v>
      </c>
      <c r="AB173" s="1641">
        <v>0</v>
      </c>
      <c r="AC173" s="1641">
        <v>0</v>
      </c>
      <c r="AD173" s="1641">
        <v>0</v>
      </c>
      <c r="AE173" s="1641">
        <v>0</v>
      </c>
      <c r="AF173" s="1641">
        <v>0</v>
      </c>
      <c r="AG173" s="1641">
        <v>0</v>
      </c>
      <c r="AH173" s="1641">
        <v>0</v>
      </c>
      <c r="AI173" s="1641">
        <v>0</v>
      </c>
      <c r="AJ173" s="1641">
        <v>0</v>
      </c>
      <c r="AK173" s="1641">
        <v>0</v>
      </c>
      <c r="AL173" s="1641">
        <v>0</v>
      </c>
      <c r="AM173" s="1641">
        <v>0</v>
      </c>
      <c r="AN173" s="1641">
        <v>0</v>
      </c>
      <c r="AP173" s="498"/>
    </row>
    <row r="174" spans="1:42" ht="18" customHeight="1">
      <c r="A174" s="498"/>
      <c r="D174" s="1588"/>
      <c r="E174" s="1589"/>
      <c r="F174" s="1590"/>
      <c r="G174" s="1589" t="s">
        <v>156</v>
      </c>
      <c r="H174" s="520">
        <f>SUM(H175:H181)</f>
        <v>0</v>
      </c>
      <c r="I174" s="520">
        <f>SUM(I175:I181)</f>
        <v>0</v>
      </c>
      <c r="J174" s="520">
        <f>SUM(J175:J181)</f>
        <v>0</v>
      </c>
      <c r="K174" s="520">
        <f>SUM(K175:K181)</f>
        <v>0</v>
      </c>
      <c r="L174" s="507">
        <f>SUM(L175:L181)</f>
        <v>0</v>
      </c>
      <c r="N174" s="1631">
        <f t="shared" ref="N174:V174" si="52">SUM(N175:N181)</f>
        <v>0</v>
      </c>
      <c r="O174" s="506">
        <f t="shared" si="52"/>
        <v>0</v>
      </c>
      <c r="P174" s="506">
        <f t="shared" si="52"/>
        <v>0</v>
      </c>
      <c r="Q174" s="506">
        <f t="shared" si="52"/>
        <v>0</v>
      </c>
      <c r="R174" s="506">
        <f t="shared" si="52"/>
        <v>0</v>
      </c>
      <c r="S174" s="506">
        <f t="shared" si="52"/>
        <v>0</v>
      </c>
      <c r="T174" s="506">
        <f t="shared" si="52"/>
        <v>0</v>
      </c>
      <c r="U174" s="506">
        <f t="shared" si="52"/>
        <v>0</v>
      </c>
      <c r="V174" s="507">
        <f t="shared" si="52"/>
        <v>0</v>
      </c>
      <c r="X174" s="1630">
        <f>SUM(X175:X181)</f>
        <v>0</v>
      </c>
      <c r="Z174" s="1630">
        <f>SUM(Z175:Z181)</f>
        <v>-93145378702</v>
      </c>
      <c r="AB174" s="1630">
        <v>51782363760</v>
      </c>
      <c r="AC174" s="1630">
        <v>51782363760</v>
      </c>
      <c r="AD174" s="1630">
        <v>51782363760</v>
      </c>
      <c r="AE174" s="1630">
        <v>60131331830</v>
      </c>
      <c r="AF174" s="1630">
        <v>60131331830</v>
      </c>
      <c r="AG174" s="1630">
        <v>60131331830</v>
      </c>
      <c r="AH174" s="1630">
        <v>83715356003</v>
      </c>
      <c r="AI174" s="1630">
        <v>93145378702</v>
      </c>
      <c r="AJ174" s="1630">
        <v>77995296477</v>
      </c>
      <c r="AK174" s="1630">
        <v>77995296477</v>
      </c>
      <c r="AL174" s="1630">
        <v>88600114385</v>
      </c>
      <c r="AM174" s="1630">
        <f>SUM(AM175:AM181)</f>
        <v>0</v>
      </c>
      <c r="AN174" s="1630">
        <v>0</v>
      </c>
      <c r="AP174" s="498"/>
    </row>
    <row r="175" spans="1:42" ht="18" customHeight="1">
      <c r="A175" s="498"/>
      <c r="D175" s="1593">
        <v>212300</v>
      </c>
      <c r="E175" s="1359" t="s">
        <v>156</v>
      </c>
      <c r="F175" s="1361"/>
      <c r="G175" s="1359" t="s">
        <v>157</v>
      </c>
      <c r="H175" s="498">
        <v>0</v>
      </c>
      <c r="I175" s="498">
        <v>0</v>
      </c>
      <c r="J175" s="710">
        <v>0</v>
      </c>
      <c r="K175" s="710">
        <v>0</v>
      </c>
      <c r="L175" s="510">
        <f t="shared" ref="L175:L181" si="53">SUM(H175:K175)</f>
        <v>0</v>
      </c>
      <c r="N175" s="1667">
        <f>-SUMIF('1.0'!$D:$D,T_BS!D175,'1.0'!$V:$V)</f>
        <v>0</v>
      </c>
      <c r="O175" s="710">
        <f>-SUMIF('2.0'!$D:$D,T_BS!D175,'2.0'!$V:$V)</f>
        <v>0</v>
      </c>
      <c r="P175" s="509">
        <f>-ROUND(SUMIF('3.0'!$D:$D,T_BS!D175,'3.0'!$H:$H),0)</f>
        <v>0</v>
      </c>
      <c r="Q175" s="720">
        <f>-ROUND(SUMIF('4.0'!$D:$D,T_BS!D175,'4.0'!$V:$V),0)</f>
        <v>0</v>
      </c>
      <c r="R175" s="509">
        <f>-ROUND(SUMIF('5.0'!$D:$D,T_BS!D175,'5.0'!$V:$V),0)</f>
        <v>0</v>
      </c>
      <c r="S175" s="720">
        <f>-ROUND(SUMIF('6.0'!$D:$D,T_BS!D175,'6.0'!$V:$V),0)</f>
        <v>0</v>
      </c>
      <c r="T175" s="720">
        <f>-ROUND(SUMIF('7.0'!$D:$D,T_BS!D175,'7.0'!$V:$V),0)</f>
        <v>0</v>
      </c>
      <c r="U175" s="720">
        <f>-ROUND(SUMIF('8.0'!$D:$D,T_BS!D175,'8.0'!$H:$H),0)</f>
        <v>0</v>
      </c>
      <c r="V175" s="510">
        <f t="shared" ref="V175:V214" si="54">SUM(N175:U175)</f>
        <v>0</v>
      </c>
      <c r="X175" s="1616">
        <f t="shared" ref="X175:X181" si="55">V175+L175</f>
        <v>0</v>
      </c>
      <c r="Z175" s="1616">
        <f t="shared" ref="Z175:Z181" si="56">X175-AI175</f>
        <v>0</v>
      </c>
      <c r="AB175" s="1616">
        <v>0</v>
      </c>
      <c r="AC175" s="1616">
        <v>0</v>
      </c>
      <c r="AD175" s="1616">
        <v>0</v>
      </c>
      <c r="AE175" s="1616">
        <v>0</v>
      </c>
      <c r="AF175" s="1616">
        <v>0</v>
      </c>
      <c r="AG175" s="1616">
        <v>0</v>
      </c>
      <c r="AH175" s="1616">
        <v>0</v>
      </c>
      <c r="AI175" s="1616">
        <v>0</v>
      </c>
      <c r="AJ175" s="1616">
        <v>0</v>
      </c>
      <c r="AK175" s="1616">
        <v>0</v>
      </c>
      <c r="AL175" s="1616">
        <v>0</v>
      </c>
      <c r="AM175" s="1616">
        <v>0</v>
      </c>
      <c r="AN175" s="1616">
        <v>0</v>
      </c>
      <c r="AP175" s="498"/>
    </row>
    <row r="176" spans="1:42" ht="18" customHeight="1">
      <c r="A176" s="498"/>
      <c r="B176" s="1362"/>
      <c r="D176" s="1624">
        <v>212500</v>
      </c>
      <c r="E176" s="1547" t="s">
        <v>156</v>
      </c>
      <c r="F176" s="1361"/>
      <c r="G176" s="1359" t="s">
        <v>1547</v>
      </c>
      <c r="H176" s="498">
        <v>0</v>
      </c>
      <c r="I176" s="498">
        <v>0</v>
      </c>
      <c r="J176" s="710">
        <v>0</v>
      </c>
      <c r="K176" s="710">
        <v>0</v>
      </c>
      <c r="L176" s="510">
        <f t="shared" si="53"/>
        <v>0</v>
      </c>
      <c r="N176" s="1667">
        <f>-SUMIF('1.0'!$D:$D,T_BS!D176,'1.0'!$V:$V)</f>
        <v>0</v>
      </c>
      <c r="O176" s="710">
        <f>-SUMIF('2.0'!$D:$D,T_BS!D176,'2.0'!$V:$V)</f>
        <v>0</v>
      </c>
      <c r="P176" s="509">
        <f>-ROUND(SUMIF('3.0'!$D:$D,T_BS!D176,'3.0'!$H:$H),0)</f>
        <v>0</v>
      </c>
      <c r="Q176" s="720">
        <f>-ROUND(SUMIF('4.0'!$D:$D,T_BS!D176,'4.0'!$V:$V),0)</f>
        <v>0</v>
      </c>
      <c r="R176" s="509">
        <f>-ROUND(SUMIF('5.0'!$D:$D,T_BS!D176,'5.0'!$V:$V),0)</f>
        <v>0</v>
      </c>
      <c r="S176" s="720">
        <f>-ROUND(SUMIF('6.0'!$D:$D,T_BS!D176,'6.0'!$V:$V),0)</f>
        <v>0</v>
      </c>
      <c r="T176" s="720">
        <f>-ROUND(SUMIF('7.0'!$D:$D,T_BS!D176,'7.0'!$V:$V),0)</f>
        <v>0</v>
      </c>
      <c r="U176" s="720">
        <f>-ROUND(SUMIF('8.0'!$D:$D,T_BS!D176,'8.0'!$H:$H),0)</f>
        <v>0</v>
      </c>
      <c r="V176" s="510">
        <f t="shared" si="54"/>
        <v>0</v>
      </c>
      <c r="X176" s="1616">
        <f t="shared" si="55"/>
        <v>0</v>
      </c>
      <c r="Z176" s="1616">
        <f t="shared" si="56"/>
        <v>0</v>
      </c>
      <c r="AB176" s="1616">
        <v>0</v>
      </c>
      <c r="AC176" s="1616">
        <v>0</v>
      </c>
      <c r="AD176" s="1616">
        <v>0</v>
      </c>
      <c r="AE176" s="1616">
        <v>0</v>
      </c>
      <c r="AF176" s="1616">
        <v>0</v>
      </c>
      <c r="AG176" s="1616">
        <v>0</v>
      </c>
      <c r="AH176" s="1616">
        <v>0</v>
      </c>
      <c r="AI176" s="1616">
        <v>0</v>
      </c>
      <c r="AJ176" s="1616">
        <v>0</v>
      </c>
      <c r="AK176" s="1616">
        <v>0</v>
      </c>
      <c r="AL176" s="1616">
        <v>0</v>
      </c>
      <c r="AM176" s="1616">
        <v>0</v>
      </c>
      <c r="AN176" s="1616">
        <v>0</v>
      </c>
      <c r="AP176" s="498"/>
    </row>
    <row r="177" spans="1:42" ht="18" customHeight="1">
      <c r="A177" s="498"/>
      <c r="D177" s="1624">
        <v>230320</v>
      </c>
      <c r="E177" s="1547" t="s">
        <v>156</v>
      </c>
      <c r="F177" s="1361">
        <v>3501</v>
      </c>
      <c r="G177" s="1359" t="s">
        <v>158</v>
      </c>
      <c r="H177" s="498">
        <v>0</v>
      </c>
      <c r="I177" s="498">
        <v>0</v>
      </c>
      <c r="J177" s="710">
        <v>0</v>
      </c>
      <c r="K177" s="710">
        <v>0</v>
      </c>
      <c r="L177" s="510">
        <f t="shared" si="53"/>
        <v>0</v>
      </c>
      <c r="N177" s="1667">
        <f>-SUMIF('1.0'!$D:$D,T_BS!D177,'1.0'!$V:$V)</f>
        <v>0</v>
      </c>
      <c r="O177" s="710">
        <f>-SUMIF('2.0'!$D:$D,T_BS!D177,'2.0'!$V:$V)</f>
        <v>0</v>
      </c>
      <c r="P177" s="509">
        <f>-ROUND(SUMIF('3.0'!$D:$D,T_BS!D177,'3.0'!$H:$H),0)</f>
        <v>0</v>
      </c>
      <c r="Q177" s="720">
        <f>-ROUND(SUMIF('4.0'!$D:$D,T_BS!D177,'4.0'!$V:$V),0)</f>
        <v>0</v>
      </c>
      <c r="R177" s="509">
        <f>-ROUND(SUMIF('5.0'!$D:$D,T_BS!D177,'5.0'!$V:$V),0)</f>
        <v>0</v>
      </c>
      <c r="S177" s="720">
        <f>-ROUND(SUMIF('6.0'!$D:$D,T_BS!D177,'6.0'!$V:$V),0)</f>
        <v>0</v>
      </c>
      <c r="T177" s="720">
        <f>-ROUND(SUMIF('7.0'!$D:$D,T_BS!D177,'7.0'!$V:$V),0)</f>
        <v>0</v>
      </c>
      <c r="U177" s="720">
        <f>-ROUND(SUMIF('8.0'!$D:$D,T_BS!D177,'8.0'!$H:$H),0)</f>
        <v>0</v>
      </c>
      <c r="V177" s="510">
        <f t="shared" si="54"/>
        <v>0</v>
      </c>
      <c r="X177" s="1616">
        <f t="shared" si="55"/>
        <v>0</v>
      </c>
      <c r="Z177" s="1616">
        <f t="shared" si="56"/>
        <v>0</v>
      </c>
      <c r="AB177" s="1616">
        <v>0</v>
      </c>
      <c r="AC177" s="1616">
        <v>0</v>
      </c>
      <c r="AD177" s="1616">
        <v>0</v>
      </c>
      <c r="AE177" s="1616">
        <v>0</v>
      </c>
      <c r="AF177" s="1616">
        <v>0</v>
      </c>
      <c r="AG177" s="1616">
        <v>0</v>
      </c>
      <c r="AH177" s="1616">
        <v>0</v>
      </c>
      <c r="AI177" s="1616">
        <v>0</v>
      </c>
      <c r="AJ177" s="1616">
        <v>0</v>
      </c>
      <c r="AK177" s="1616">
        <v>0</v>
      </c>
      <c r="AL177" s="1616">
        <v>0</v>
      </c>
      <c r="AM177" s="1616">
        <v>0</v>
      </c>
      <c r="AN177" s="1616">
        <v>0</v>
      </c>
      <c r="AP177" s="498"/>
    </row>
    <row r="178" spans="1:42" ht="18" customHeight="1">
      <c r="A178" s="498"/>
      <c r="D178" s="1593">
        <v>230321</v>
      </c>
      <c r="E178" s="1359" t="s">
        <v>156</v>
      </c>
      <c r="F178" s="1361">
        <v>3502</v>
      </c>
      <c r="G178" s="1359" t="s">
        <v>159</v>
      </c>
      <c r="H178" s="498">
        <v>0</v>
      </c>
      <c r="I178" s="498">
        <v>0</v>
      </c>
      <c r="J178" s="710">
        <v>0</v>
      </c>
      <c r="K178" s="710">
        <v>0</v>
      </c>
      <c r="L178" s="510">
        <f t="shared" si="53"/>
        <v>0</v>
      </c>
      <c r="N178" s="1667">
        <f>-SUMIF('1.0'!$D:$D,T_BS!D178,'1.0'!$V:$V)</f>
        <v>0</v>
      </c>
      <c r="O178" s="710">
        <f>-SUMIF('2.0'!$D:$D,T_BS!D178,'2.0'!$V:$V)</f>
        <v>0</v>
      </c>
      <c r="P178" s="509">
        <f>-ROUND(SUMIF('3.0'!$D:$D,T_BS!D178,'3.0'!$H:$H),0)</f>
        <v>0</v>
      </c>
      <c r="Q178" s="720">
        <f>-ROUND(SUMIF('4.0'!$D:$D,T_BS!D178,'4.0'!$V:$V),0)</f>
        <v>0</v>
      </c>
      <c r="R178" s="509">
        <f>-ROUND(SUMIF('5.0'!$D:$D,T_BS!D178,'5.0'!$V:$V),0)</f>
        <v>0</v>
      </c>
      <c r="S178" s="720">
        <f>-ROUND(SUMIF('6.0'!$D:$D,T_BS!D178,'6.0'!$V:$V),0)</f>
        <v>0</v>
      </c>
      <c r="T178" s="720">
        <f>-ROUND(SUMIF('7.0'!$D:$D,T_BS!D178,'7.0'!$V:$V),0)</f>
        <v>0</v>
      </c>
      <c r="U178" s="720">
        <f>-ROUND(SUMIF('8.0'!$D:$D,T_BS!D178,'8.0'!$H:$H),0)</f>
        <v>0</v>
      </c>
      <c r="V178" s="510">
        <f t="shared" si="54"/>
        <v>0</v>
      </c>
      <c r="X178" s="1616">
        <f t="shared" si="55"/>
        <v>0</v>
      </c>
      <c r="Z178" s="1616">
        <f t="shared" si="56"/>
        <v>0</v>
      </c>
      <c r="AB178" s="1616">
        <v>0</v>
      </c>
      <c r="AC178" s="1616">
        <v>0</v>
      </c>
      <c r="AD178" s="1616">
        <v>0</v>
      </c>
      <c r="AE178" s="1616">
        <v>0</v>
      </c>
      <c r="AF178" s="1616">
        <v>0</v>
      </c>
      <c r="AG178" s="1616">
        <v>0</v>
      </c>
      <c r="AH178" s="1616">
        <v>0</v>
      </c>
      <c r="AI178" s="1616">
        <v>0</v>
      </c>
      <c r="AJ178" s="1616">
        <v>0</v>
      </c>
      <c r="AK178" s="1616">
        <v>0</v>
      </c>
      <c r="AL178" s="1616">
        <v>0</v>
      </c>
      <c r="AM178" s="1616">
        <v>0</v>
      </c>
      <c r="AN178" s="1616">
        <v>0</v>
      </c>
      <c r="AP178" s="498"/>
    </row>
    <row r="179" spans="1:42" ht="18" customHeight="1">
      <c r="A179" s="498"/>
      <c r="D179" s="1593">
        <v>230322</v>
      </c>
      <c r="E179" s="1359" t="s">
        <v>156</v>
      </c>
      <c r="F179" s="1361">
        <v>3503</v>
      </c>
      <c r="G179" s="1359" t="s">
        <v>160</v>
      </c>
      <c r="H179" s="498">
        <v>0</v>
      </c>
      <c r="I179" s="498">
        <v>0</v>
      </c>
      <c r="J179" s="710">
        <v>0</v>
      </c>
      <c r="K179" s="710">
        <v>0</v>
      </c>
      <c r="L179" s="510">
        <f t="shared" si="53"/>
        <v>0</v>
      </c>
      <c r="N179" s="1667">
        <f>-SUMIF('1.0'!$D:$D,T_BS!D179,'1.0'!$V:$V)</f>
        <v>0</v>
      </c>
      <c r="O179" s="710">
        <f>-SUMIF('2.0'!$D:$D,T_BS!D179,'2.0'!$V:$V)</f>
        <v>0</v>
      </c>
      <c r="P179" s="509">
        <f>-ROUND(SUMIF('3.0'!$D:$D,T_BS!D179,'3.0'!$H:$H),0)</f>
        <v>0</v>
      </c>
      <c r="Q179" s="720">
        <f>-ROUND(SUMIF('4.0'!$D:$D,T_BS!D179,'4.0'!$V:$V),0)</f>
        <v>0</v>
      </c>
      <c r="R179" s="509">
        <f>-ROUND(SUMIF('5.0'!$D:$D,T_BS!D179,'5.0'!$V:$V),0)</f>
        <v>0</v>
      </c>
      <c r="S179" s="720">
        <f>-ROUND(SUMIF('6.0'!$D:$D,T_BS!D179,'6.0'!$V:$V),0)</f>
        <v>0</v>
      </c>
      <c r="T179" s="720">
        <f>-ROUND(SUMIF('7.0'!$D:$D,T_BS!D179,'7.0'!$V:$V),0)</f>
        <v>0</v>
      </c>
      <c r="U179" s="720">
        <f>-ROUND(SUMIF('8.0'!$D:$D,T_BS!D179,'8.0'!$H:$H),0)</f>
        <v>0</v>
      </c>
      <c r="V179" s="510">
        <f t="shared" si="54"/>
        <v>0</v>
      </c>
      <c r="X179" s="1616">
        <f t="shared" si="55"/>
        <v>0</v>
      </c>
      <c r="Z179" s="1616">
        <f t="shared" si="56"/>
        <v>0</v>
      </c>
      <c r="AB179" s="1616">
        <v>0</v>
      </c>
      <c r="AC179" s="1616">
        <v>0</v>
      </c>
      <c r="AD179" s="1616">
        <v>0</v>
      </c>
      <c r="AE179" s="1616">
        <v>0</v>
      </c>
      <c r="AF179" s="1616">
        <v>0</v>
      </c>
      <c r="AG179" s="1616">
        <v>0</v>
      </c>
      <c r="AH179" s="1616">
        <v>0</v>
      </c>
      <c r="AI179" s="1616">
        <v>0</v>
      </c>
      <c r="AJ179" s="1616">
        <v>0</v>
      </c>
      <c r="AK179" s="1616">
        <v>0</v>
      </c>
      <c r="AL179" s="1616">
        <v>0</v>
      </c>
      <c r="AM179" s="1616">
        <v>0</v>
      </c>
      <c r="AN179" s="1616">
        <v>0</v>
      </c>
      <c r="AP179" s="498"/>
    </row>
    <row r="180" spans="1:42" s="1668" customFormat="1" ht="18" customHeight="1">
      <c r="A180" s="543"/>
      <c r="B180" s="1359"/>
      <c r="C180" s="1359"/>
      <c r="D180" s="1593">
        <v>230325</v>
      </c>
      <c r="E180" s="1359" t="s">
        <v>156</v>
      </c>
      <c r="F180" s="1361">
        <v>3502</v>
      </c>
      <c r="G180" s="1359" t="s">
        <v>161</v>
      </c>
      <c r="H180" s="498">
        <v>0</v>
      </c>
      <c r="I180" s="498">
        <v>0</v>
      </c>
      <c r="J180" s="710">
        <v>0</v>
      </c>
      <c r="K180" s="710">
        <v>0</v>
      </c>
      <c r="L180" s="510">
        <f t="shared" si="53"/>
        <v>0</v>
      </c>
      <c r="M180" s="1653"/>
      <c r="N180" s="1667">
        <f>-SUMIF('1.0'!$D:$D,T_BS!D180,'1.0'!$V:$V)</f>
        <v>0</v>
      </c>
      <c r="O180" s="710">
        <f>-SUMIF('2.0'!$D:$D,T_BS!D180,'2.0'!$V:$V)</f>
        <v>0</v>
      </c>
      <c r="P180" s="509">
        <f>-ROUND(SUMIF('3.0'!$D:$D,T_BS!D180,'3.0'!$H:$H),0)</f>
        <v>0</v>
      </c>
      <c r="Q180" s="720">
        <f>-ROUND(SUMIF('4.0'!$D:$D,T_BS!D180,'4.0'!$V:$V),0)</f>
        <v>0</v>
      </c>
      <c r="R180" s="509">
        <f>-ROUND(SUMIF('5.0'!$D:$D,T_BS!D180,'5.0'!$V:$V),0)</f>
        <v>0</v>
      </c>
      <c r="S180" s="720">
        <f>-ROUND(SUMIF('6.0'!$D:$D,T_BS!D180,'6.0'!$V:$V),0)</f>
        <v>0</v>
      </c>
      <c r="T180" s="720">
        <f>-ROUND(SUMIF('7.0'!$D:$D,T_BS!D180,'7.0'!$V:$V),0)</f>
        <v>0</v>
      </c>
      <c r="U180" s="720">
        <f>-ROUND(SUMIF('8.0'!$D:$D,T_BS!D180,'8.0'!$H:$H),0)</f>
        <v>0</v>
      </c>
      <c r="V180" s="510">
        <f t="shared" si="54"/>
        <v>0</v>
      </c>
      <c r="W180" s="1653"/>
      <c r="X180" s="1616">
        <f t="shared" si="55"/>
        <v>0</v>
      </c>
      <c r="Y180" s="1653"/>
      <c r="Z180" s="1616">
        <f t="shared" si="56"/>
        <v>0</v>
      </c>
      <c r="AA180" s="1653"/>
      <c r="AB180" s="1616">
        <v>0</v>
      </c>
      <c r="AC180" s="1616">
        <v>0</v>
      </c>
      <c r="AD180" s="1616">
        <v>0</v>
      </c>
      <c r="AE180" s="1616">
        <v>0</v>
      </c>
      <c r="AF180" s="1616">
        <v>0</v>
      </c>
      <c r="AG180" s="1616">
        <v>0</v>
      </c>
      <c r="AH180" s="1616">
        <v>0</v>
      </c>
      <c r="AI180" s="1616">
        <v>0</v>
      </c>
      <c r="AJ180" s="1616">
        <v>0</v>
      </c>
      <c r="AK180" s="1616">
        <v>0</v>
      </c>
      <c r="AL180" s="1616">
        <v>0</v>
      </c>
      <c r="AM180" s="1616">
        <v>0</v>
      </c>
      <c r="AN180" s="1616">
        <v>0</v>
      </c>
      <c r="AO180" s="770"/>
      <c r="AP180" s="498"/>
    </row>
    <row r="181" spans="1:42" ht="18" customHeight="1">
      <c r="A181" s="498"/>
      <c r="B181" s="1547"/>
      <c r="C181" s="1547"/>
      <c r="D181" s="1624">
        <v>223200</v>
      </c>
      <c r="E181" s="1086" t="s">
        <v>2317</v>
      </c>
      <c r="F181" s="1625">
        <v>3505</v>
      </c>
      <c r="G181" s="1547" t="s">
        <v>2443</v>
      </c>
      <c r="H181" s="498">
        <v>0</v>
      </c>
      <c r="I181" s="498">
        <v>0</v>
      </c>
      <c r="J181" s="710">
        <v>0</v>
      </c>
      <c r="K181" s="710">
        <v>0</v>
      </c>
      <c r="L181" s="1672">
        <f t="shared" si="53"/>
        <v>0</v>
      </c>
      <c r="N181" s="1667">
        <f>-SUMIF('1.0'!$D:$D,T_BS!D181,'1.0'!$V:$V)</f>
        <v>0</v>
      </c>
      <c r="O181" s="710">
        <f>-SUMIF('2.0'!$D:$D,T_BS!D181,'2.0'!$V:$V)</f>
        <v>0</v>
      </c>
      <c r="P181" s="710">
        <f>-ROUND(SUMIF('3.0'!$D:$D,T_BS!D181,'3.0'!$H:$H),0)</f>
        <v>0</v>
      </c>
      <c r="Q181" s="720">
        <f>-ROUND(SUMIF('4.0'!$D:$D,T_BS!D181,'4.0'!$V:$V),0)</f>
        <v>0</v>
      </c>
      <c r="R181" s="710">
        <f>-ROUND(SUMIF('5.0'!$D:$D,T_BS!D181,'5.0'!$V:$V),0)</f>
        <v>0</v>
      </c>
      <c r="S181" s="720">
        <f>-ROUND(SUMIF('6.0'!$D:$D,T_BS!D181,'6.0'!$V:$V),0)</f>
        <v>0</v>
      </c>
      <c r="T181" s="720">
        <f>-ROUND(SUMIF('7.0'!$D:$D,T_BS!D181,'7.0'!$V:$V),0)</f>
        <v>0</v>
      </c>
      <c r="U181" s="720">
        <f>-ROUND(SUMIF('8.0'!$D:$D,T_BS!D181,'8.0'!$H:$H),0)</f>
        <v>0</v>
      </c>
      <c r="V181" s="1672">
        <f>SUM(N181:U181)</f>
        <v>0</v>
      </c>
      <c r="X181" s="852">
        <f t="shared" si="55"/>
        <v>0</v>
      </c>
      <c r="Z181" s="1616">
        <f t="shared" si="56"/>
        <v>-93145378702</v>
      </c>
      <c r="AB181" s="852">
        <v>51782363760</v>
      </c>
      <c r="AC181" s="852">
        <v>51782363760</v>
      </c>
      <c r="AD181" s="852">
        <v>51782363760</v>
      </c>
      <c r="AE181" s="852">
        <v>60131331830</v>
      </c>
      <c r="AF181" s="852">
        <v>60131331830</v>
      </c>
      <c r="AG181" s="852">
        <v>60131331830</v>
      </c>
      <c r="AH181" s="852">
        <v>83715356003</v>
      </c>
      <c r="AI181" s="852">
        <v>93145378702</v>
      </c>
      <c r="AJ181" s="852">
        <v>77995296477</v>
      </c>
      <c r="AK181" s="852">
        <v>77995296477</v>
      </c>
      <c r="AL181" s="852">
        <v>88600114385</v>
      </c>
      <c r="AM181" s="852"/>
      <c r="AN181" s="852">
        <v>0</v>
      </c>
      <c r="AO181" s="1668"/>
      <c r="AP181" s="498"/>
    </row>
    <row r="182" spans="1:42" ht="18" customHeight="1">
      <c r="A182" s="498"/>
      <c r="D182" s="1588"/>
      <c r="E182" s="1589"/>
      <c r="F182" s="1590"/>
      <c r="G182" s="1589" t="s">
        <v>162</v>
      </c>
      <c r="H182" s="520">
        <f>SUM(H183:H210)</f>
        <v>9820546357</v>
      </c>
      <c r="I182" s="506">
        <f>SUM(I183:I210)</f>
        <v>135480307</v>
      </c>
      <c r="J182" s="506">
        <f>SUM(J183:J210)</f>
        <v>1005793</v>
      </c>
      <c r="K182" s="506">
        <f>SUM(K183:K210)</f>
        <v>1711463639</v>
      </c>
      <c r="L182" s="507">
        <f>SUM(L183:L210)</f>
        <v>11668496096</v>
      </c>
      <c r="N182" s="1631">
        <f t="shared" ref="N182:S182" si="57">SUM(N183:N210)</f>
        <v>0</v>
      </c>
      <c r="O182" s="506">
        <f t="shared" si="57"/>
        <v>0</v>
      </c>
      <c r="P182" s="506">
        <f t="shared" si="57"/>
        <v>5946668</v>
      </c>
      <c r="Q182" s="506">
        <f t="shared" si="57"/>
        <v>0</v>
      </c>
      <c r="R182" s="506">
        <f t="shared" si="57"/>
        <v>0</v>
      </c>
      <c r="S182" s="506">
        <f t="shared" si="57"/>
        <v>-1512524639</v>
      </c>
      <c r="T182" s="506">
        <f>SUM(T183:T210)</f>
        <v>0</v>
      </c>
      <c r="U182" s="506">
        <f>SUM(U183:U210)</f>
        <v>0</v>
      </c>
      <c r="V182" s="507">
        <f>SUM(V183:V210)</f>
        <v>-1506577971</v>
      </c>
      <c r="X182" s="1630">
        <f>SUM(X183:X210)</f>
        <v>10161918125</v>
      </c>
      <c r="Z182" s="1630">
        <f>SUM(Z183:Z210)</f>
        <v>-806893258</v>
      </c>
      <c r="AB182" s="1630">
        <v>9226645068</v>
      </c>
      <c r="AC182" s="1630">
        <v>8440295366</v>
      </c>
      <c r="AD182" s="1630">
        <v>8421068928</v>
      </c>
      <c r="AE182" s="1630">
        <v>8662708213</v>
      </c>
      <c r="AF182" s="1630">
        <v>8442218803</v>
      </c>
      <c r="AG182" s="1630">
        <v>10657657657</v>
      </c>
      <c r="AH182" s="1630">
        <v>10430315509</v>
      </c>
      <c r="AI182" s="1630">
        <v>10968811383</v>
      </c>
      <c r="AJ182" s="1630">
        <v>7912010164</v>
      </c>
      <c r="AK182" s="1630">
        <v>7863948852</v>
      </c>
      <c r="AL182" s="1630">
        <v>8559989966</v>
      </c>
      <c r="AM182" s="1630">
        <f>SUM(AM183:AM210)</f>
        <v>8082295816</v>
      </c>
      <c r="AN182" s="1630">
        <v>9194493551</v>
      </c>
      <c r="AP182" s="498"/>
    </row>
    <row r="183" spans="1:42" ht="18" customHeight="1">
      <c r="A183" s="498"/>
      <c r="D183" s="1593">
        <v>214100</v>
      </c>
      <c r="E183" s="1086" t="s">
        <v>162</v>
      </c>
      <c r="F183" s="1671">
        <v>3401</v>
      </c>
      <c r="G183" s="1086" t="s">
        <v>163</v>
      </c>
      <c r="H183" s="498">
        <v>1018790</v>
      </c>
      <c r="I183" s="498">
        <v>4118490</v>
      </c>
      <c r="J183" s="710">
        <v>0</v>
      </c>
      <c r="K183" s="710">
        <v>12327668</v>
      </c>
      <c r="L183" s="510">
        <f t="shared" ref="L183:L210" si="58">SUM(H183:K183)</f>
        <v>17464948</v>
      </c>
      <c r="N183" s="1667">
        <f>-SUMIF('1.0'!$D:$D,T_BS!D183,'1.0'!$V:$V)</f>
        <v>0</v>
      </c>
      <c r="O183" s="710">
        <f>-SUMIF('2.0'!$D:$D,T_BS!D183,'2.0'!$V:$V)</f>
        <v>0</v>
      </c>
      <c r="P183" s="509">
        <f>-ROUND(SUMIF('3.0'!$D:$D,T_BS!D183,'3.0'!$H:$H),0)</f>
        <v>5946668</v>
      </c>
      <c r="Q183" s="720">
        <f>-ROUND(SUMIF('4.0'!$D:$D,T_BS!D183,'4.0'!$V:$V),0)</f>
        <v>0</v>
      </c>
      <c r="R183" s="509">
        <f>-ROUND(SUMIF('5.0'!$D:$D,T_BS!D183,'5.0'!$V:$V),0)</f>
        <v>0</v>
      </c>
      <c r="S183" s="720">
        <f>-ROUND(SUMIF('6.0'!$D:$D,T_BS!D183,'6.0'!$V:$V),0)</f>
        <v>0</v>
      </c>
      <c r="T183" s="720">
        <f>-ROUND(SUMIF('7.0'!$D:$D,T_BS!D183,'7.0'!$V:$V),0)</f>
        <v>0</v>
      </c>
      <c r="U183" s="720">
        <f>-ROUND(SUMIF('8.0'!$D:$D,T_BS!D183,'8.0'!$H:$H),0)</f>
        <v>0</v>
      </c>
      <c r="V183" s="510">
        <f t="shared" si="54"/>
        <v>5946668</v>
      </c>
      <c r="X183" s="1616">
        <f t="shared" ref="X183:X210" si="59">V183+L183</f>
        <v>23411616</v>
      </c>
      <c r="Z183" s="1616">
        <f t="shared" ref="Z183:Z210" si="60">X183-AI183</f>
        <v>19729461</v>
      </c>
      <c r="AB183" s="1616">
        <v>17495853</v>
      </c>
      <c r="AC183" s="1616">
        <v>23974127</v>
      </c>
      <c r="AD183" s="1616">
        <v>17929581</v>
      </c>
      <c r="AE183" s="1616">
        <v>17637291</v>
      </c>
      <c r="AF183" s="1616">
        <v>17645739</v>
      </c>
      <c r="AG183" s="1616">
        <v>17324307</v>
      </c>
      <c r="AH183" s="1616">
        <v>19550500</v>
      </c>
      <c r="AI183" s="1616">
        <v>3682155</v>
      </c>
      <c r="AJ183" s="1616">
        <v>8313294</v>
      </c>
      <c r="AK183" s="1616">
        <v>7812102</v>
      </c>
      <c r="AL183" s="1616">
        <v>5520502</v>
      </c>
      <c r="AM183" s="1616">
        <v>1296280</v>
      </c>
      <c r="AN183" s="1616">
        <v>0</v>
      </c>
      <c r="AP183" s="498"/>
    </row>
    <row r="184" spans="1:42" ht="18" customHeight="1">
      <c r="A184" s="498"/>
      <c r="D184" s="1593">
        <v>214200</v>
      </c>
      <c r="E184" s="1086" t="s">
        <v>162</v>
      </c>
      <c r="F184" s="1671">
        <v>3401</v>
      </c>
      <c r="G184" s="1086" t="s">
        <v>164</v>
      </c>
      <c r="H184" s="498">
        <v>0</v>
      </c>
      <c r="I184" s="498">
        <v>0</v>
      </c>
      <c r="J184" s="710">
        <v>0</v>
      </c>
      <c r="K184" s="710">
        <v>0</v>
      </c>
      <c r="L184" s="510">
        <f t="shared" si="58"/>
        <v>0</v>
      </c>
      <c r="N184" s="1667">
        <f>-SUMIF('1.0'!$D:$D,T_BS!D184,'1.0'!$V:$V)</f>
        <v>0</v>
      </c>
      <c r="O184" s="710">
        <f>-SUMIF('2.0'!$D:$D,T_BS!D184,'2.0'!$V:$V)</f>
        <v>0</v>
      </c>
      <c r="P184" s="509">
        <f>-ROUND(SUMIF('3.0'!$D:$D,T_BS!D184,'3.0'!$H:$H),0)</f>
        <v>0</v>
      </c>
      <c r="Q184" s="720">
        <f>-ROUND(SUMIF('4.0'!$D:$D,T_BS!D184,'4.0'!$V:$V),0)</f>
        <v>0</v>
      </c>
      <c r="R184" s="509">
        <f>-ROUND(SUMIF('5.0'!$D:$D,T_BS!D184,'5.0'!$V:$V),0)</f>
        <v>0</v>
      </c>
      <c r="S184" s="720">
        <f>-ROUND(SUMIF('6.0'!$D:$D,T_BS!D184,'6.0'!$V:$V),0)</f>
        <v>0</v>
      </c>
      <c r="T184" s="720">
        <f>-ROUND(SUMIF('7.0'!$D:$D,T_BS!D184,'7.0'!$V:$V),0)</f>
        <v>0</v>
      </c>
      <c r="U184" s="720">
        <f>-ROUND(SUMIF('8.0'!$D:$D,T_BS!D184,'8.0'!$H:$H),0)</f>
        <v>0</v>
      </c>
      <c r="V184" s="510">
        <f t="shared" si="54"/>
        <v>0</v>
      </c>
      <c r="X184" s="1616">
        <f t="shared" si="59"/>
        <v>0</v>
      </c>
      <c r="Z184" s="1616">
        <f t="shared" si="60"/>
        <v>-13324300</v>
      </c>
      <c r="AB184" s="1616">
        <v>0</v>
      </c>
      <c r="AC184" s="1616">
        <v>0</v>
      </c>
      <c r="AD184" s="1616">
        <v>0</v>
      </c>
      <c r="AE184" s="1616">
        <v>0</v>
      </c>
      <c r="AF184" s="1616">
        <v>0</v>
      </c>
      <c r="AG184" s="1616">
        <v>0</v>
      </c>
      <c r="AH184" s="1616">
        <v>13019874</v>
      </c>
      <c r="AI184" s="1616">
        <v>13324300</v>
      </c>
      <c r="AJ184" s="1616">
        <v>13342536</v>
      </c>
      <c r="AK184" s="1616">
        <v>13685654</v>
      </c>
      <c r="AL184" s="1616">
        <v>13219282</v>
      </c>
      <c r="AM184" s="1616">
        <v>13286664</v>
      </c>
      <c r="AN184" s="1616">
        <v>14743067</v>
      </c>
      <c r="AP184" s="498"/>
    </row>
    <row r="185" spans="1:42" ht="18" customHeight="1">
      <c r="A185" s="498"/>
      <c r="B185" s="1359" t="s">
        <v>1825</v>
      </c>
      <c r="D185" s="1593">
        <v>214350</v>
      </c>
      <c r="E185" s="1086" t="s">
        <v>162</v>
      </c>
      <c r="F185" s="1671">
        <v>3401</v>
      </c>
      <c r="G185" s="1086" t="s">
        <v>1826</v>
      </c>
      <c r="H185" s="498">
        <v>30069140</v>
      </c>
      <c r="I185" s="498">
        <v>0</v>
      </c>
      <c r="J185" s="710">
        <v>0</v>
      </c>
      <c r="K185" s="710">
        <v>0</v>
      </c>
      <c r="L185" s="510">
        <f t="shared" si="58"/>
        <v>30069140</v>
      </c>
      <c r="N185" s="1667">
        <f>-SUMIF('1.0'!$D:$D,T_BS!D185,'1.0'!$V:$V)</f>
        <v>0</v>
      </c>
      <c r="O185" s="710">
        <f>-SUMIF('2.0'!$D:$D,T_BS!D185,'2.0'!$V:$V)</f>
        <v>0</v>
      </c>
      <c r="P185" s="509">
        <f>-ROUND(SUMIF('3.0'!$D:$D,T_BS!D185,'3.0'!$H:$H),0)</f>
        <v>0</v>
      </c>
      <c r="Q185" s="720">
        <f>-ROUND(SUMIF('4.0'!$D:$D,T_BS!D185,'4.0'!$V:$V),0)</f>
        <v>0</v>
      </c>
      <c r="R185" s="509">
        <f>-ROUND(SUMIF('5.0'!$D:$D,T_BS!D185,'5.0'!$V:$V),0)</f>
        <v>0</v>
      </c>
      <c r="S185" s="720">
        <f>-ROUND(SUMIF('6.0'!$D:$D,T_BS!D185,'6.0'!$V:$V),0)</f>
        <v>0</v>
      </c>
      <c r="T185" s="720">
        <f>-ROUND(SUMIF('7.0'!$D:$D,T_BS!D185,'7.0'!$V:$V),0)</f>
        <v>0</v>
      </c>
      <c r="U185" s="720">
        <f>-ROUND(SUMIF('8.0'!$D:$D,T_BS!D185,'8.0'!$H:$H),0)</f>
        <v>0</v>
      </c>
      <c r="V185" s="510">
        <f t="shared" si="54"/>
        <v>0</v>
      </c>
      <c r="X185" s="1616">
        <f t="shared" si="59"/>
        <v>30069140</v>
      </c>
      <c r="Z185" s="1616">
        <f t="shared" si="60"/>
        <v>-145537610</v>
      </c>
      <c r="AB185" s="1616">
        <v>415614040</v>
      </c>
      <c r="AC185" s="1616">
        <v>33455950</v>
      </c>
      <c r="AD185" s="1616">
        <v>26620000</v>
      </c>
      <c r="AE185" s="1616">
        <v>8807700</v>
      </c>
      <c r="AF185" s="1616">
        <v>246115080</v>
      </c>
      <c r="AG185" s="1616">
        <v>0</v>
      </c>
      <c r="AH185" s="1616">
        <v>0</v>
      </c>
      <c r="AI185" s="1616">
        <v>175606750</v>
      </c>
      <c r="AJ185" s="1616">
        <v>0</v>
      </c>
      <c r="AK185" s="1616">
        <v>211228060</v>
      </c>
      <c r="AL185" s="1616">
        <v>88348600</v>
      </c>
      <c r="AM185" s="1616">
        <v>254490830</v>
      </c>
      <c r="AN185" s="1616">
        <v>270610780</v>
      </c>
      <c r="AP185" s="498"/>
    </row>
    <row r="186" spans="1:42" ht="18" customHeight="1">
      <c r="A186" s="498"/>
      <c r="B186" s="1359" t="s">
        <v>1825</v>
      </c>
      <c r="D186" s="1593">
        <v>214360</v>
      </c>
      <c r="E186" s="1086" t="s">
        <v>162</v>
      </c>
      <c r="F186" s="1671">
        <v>3401</v>
      </c>
      <c r="G186" s="1086" t="s">
        <v>1827</v>
      </c>
      <c r="H186" s="498">
        <v>1591988</v>
      </c>
      <c r="I186" s="498">
        <v>0</v>
      </c>
      <c r="J186" s="710">
        <v>0</v>
      </c>
      <c r="K186" s="710">
        <v>0</v>
      </c>
      <c r="L186" s="510">
        <f t="shared" si="58"/>
        <v>1591988</v>
      </c>
      <c r="N186" s="1667">
        <f>-SUMIF('1.0'!$D:$D,T_BS!D186,'1.0'!$V:$V)</f>
        <v>0</v>
      </c>
      <c r="O186" s="710">
        <f>-SUMIF('2.0'!$D:$D,T_BS!D186,'2.0'!$V:$V)</f>
        <v>0</v>
      </c>
      <c r="P186" s="509">
        <f>-ROUND(SUMIF('3.0'!$D:$D,T_BS!D186,'3.0'!$H:$H),0)</f>
        <v>0</v>
      </c>
      <c r="Q186" s="720">
        <f>-ROUND(SUMIF('4.0'!$D:$D,T_BS!D186,'4.0'!$V:$V),0)</f>
        <v>0</v>
      </c>
      <c r="R186" s="509">
        <f>-ROUND(SUMIF('5.0'!$D:$D,T_BS!D186,'5.0'!$V:$V),0)</f>
        <v>0</v>
      </c>
      <c r="S186" s="720">
        <f>-ROUND(SUMIF('6.0'!$D:$D,T_BS!D186,'6.0'!$V:$V),0)</f>
        <v>0</v>
      </c>
      <c r="T186" s="720">
        <f>-ROUND(SUMIF('7.0'!$D:$D,T_BS!D186,'7.0'!$V:$V),0)</f>
        <v>0</v>
      </c>
      <c r="U186" s="720">
        <f>-ROUND(SUMIF('8.0'!$D:$D,T_BS!D186,'8.0'!$H:$H),0)</f>
        <v>0</v>
      </c>
      <c r="V186" s="510">
        <f t="shared" si="54"/>
        <v>0</v>
      </c>
      <c r="X186" s="1616">
        <f t="shared" si="59"/>
        <v>1591988</v>
      </c>
      <c r="Z186" s="1616">
        <f t="shared" si="60"/>
        <v>1591988</v>
      </c>
      <c r="AB186" s="1616">
        <v>284849</v>
      </c>
      <c r="AC186" s="1616">
        <v>445889</v>
      </c>
      <c r="AD186" s="1616">
        <v>699570</v>
      </c>
      <c r="AE186" s="1616">
        <v>9204965</v>
      </c>
      <c r="AF186" s="1616">
        <v>878536</v>
      </c>
      <c r="AG186" s="1616">
        <v>90860</v>
      </c>
      <c r="AH186" s="1616">
        <v>0</v>
      </c>
      <c r="AI186" s="1616">
        <v>0</v>
      </c>
      <c r="AJ186" s="1616">
        <v>0</v>
      </c>
      <c r="AK186" s="1616">
        <v>27001388</v>
      </c>
      <c r="AL186" s="1616">
        <v>743940</v>
      </c>
      <c r="AM186" s="1616">
        <v>31570000</v>
      </c>
      <c r="AN186" s="1616">
        <v>421777</v>
      </c>
      <c r="AP186" s="498"/>
    </row>
    <row r="187" spans="1:42" ht="18" customHeight="1">
      <c r="A187" s="498"/>
      <c r="B187" s="1359" t="s">
        <v>1825</v>
      </c>
      <c r="D187" s="1593">
        <v>214150</v>
      </c>
      <c r="E187" s="1086" t="s">
        <v>162</v>
      </c>
      <c r="F187" s="1671">
        <v>3401</v>
      </c>
      <c r="G187" s="1086" t="s">
        <v>1828</v>
      </c>
      <c r="H187" s="498">
        <v>40876327</v>
      </c>
      <c r="I187" s="498">
        <v>0</v>
      </c>
      <c r="J187" s="710">
        <v>0</v>
      </c>
      <c r="K187" s="710">
        <v>0</v>
      </c>
      <c r="L187" s="510">
        <f t="shared" si="58"/>
        <v>40876327</v>
      </c>
      <c r="N187" s="1667">
        <f>-SUMIF('1.0'!$D:$D,T_BS!D187,'1.0'!$V:$V)</f>
        <v>0</v>
      </c>
      <c r="O187" s="710">
        <f>-SUMIF('2.0'!$D:$D,T_BS!D187,'2.0'!$V:$V)</f>
        <v>0</v>
      </c>
      <c r="P187" s="509">
        <f>-ROUND(SUMIF('3.0'!$D:$D,T_BS!D187,'3.0'!$H:$H),0)</f>
        <v>0</v>
      </c>
      <c r="Q187" s="720">
        <f>-ROUND(SUMIF('4.0'!$D:$D,T_BS!D187,'4.0'!$V:$V),0)</f>
        <v>0</v>
      </c>
      <c r="R187" s="509">
        <f>-ROUND(SUMIF('5.0'!$D:$D,T_BS!D187,'5.0'!$V:$V),0)</f>
        <v>0</v>
      </c>
      <c r="S187" s="720">
        <f>-ROUND(SUMIF('6.0'!$D:$D,T_BS!D187,'6.0'!$V:$V),0)</f>
        <v>0</v>
      </c>
      <c r="T187" s="720">
        <f>-ROUND(SUMIF('7.0'!$D:$D,T_BS!D187,'7.0'!$V:$V),0)</f>
        <v>0</v>
      </c>
      <c r="U187" s="720">
        <f>-ROUND(SUMIF('8.0'!$D:$D,T_BS!D187,'8.0'!$H:$H),0)</f>
        <v>0</v>
      </c>
      <c r="V187" s="510">
        <f t="shared" si="54"/>
        <v>0</v>
      </c>
      <c r="X187" s="1616">
        <f t="shared" si="59"/>
        <v>40876327</v>
      </c>
      <c r="Z187" s="1616">
        <f t="shared" si="60"/>
        <v>16230407</v>
      </c>
      <c r="AB187" s="1616">
        <v>98814041</v>
      </c>
      <c r="AC187" s="1616">
        <v>25263071</v>
      </c>
      <c r="AD187" s="1616">
        <v>3936579</v>
      </c>
      <c r="AE187" s="1616">
        <v>34705824</v>
      </c>
      <c r="AF187" s="1616">
        <v>24575193</v>
      </c>
      <c r="AG187" s="1616">
        <v>27472903</v>
      </c>
      <c r="AH187" s="1616">
        <v>218919360</v>
      </c>
      <c r="AI187" s="1616">
        <v>24645920</v>
      </c>
      <c r="AJ187" s="1616">
        <v>32311577</v>
      </c>
      <c r="AK187" s="1616">
        <v>14900563</v>
      </c>
      <c r="AL187" s="1616">
        <v>1624457</v>
      </c>
      <c r="AM187" s="1616">
        <v>0</v>
      </c>
      <c r="AN187" s="1616">
        <v>785168</v>
      </c>
      <c r="AP187" s="498"/>
    </row>
    <row r="188" spans="1:42" ht="18" customHeight="1">
      <c r="A188" s="498"/>
      <c r="B188" s="1359" t="s">
        <v>1825</v>
      </c>
      <c r="D188" s="1593">
        <v>214250</v>
      </c>
      <c r="E188" s="1086" t="s">
        <v>162</v>
      </c>
      <c r="F188" s="1671">
        <v>3401</v>
      </c>
      <c r="G188" s="1086" t="s">
        <v>1829</v>
      </c>
      <c r="H188" s="498">
        <v>21668550</v>
      </c>
      <c r="I188" s="498">
        <v>0</v>
      </c>
      <c r="J188" s="710">
        <v>0</v>
      </c>
      <c r="K188" s="710">
        <v>0</v>
      </c>
      <c r="L188" s="510">
        <f t="shared" si="58"/>
        <v>21668550</v>
      </c>
      <c r="N188" s="1667">
        <f>-SUMIF('1.0'!$D:$D,T_BS!D188,'1.0'!$V:$V)</f>
        <v>0</v>
      </c>
      <c r="O188" s="710">
        <f>-SUMIF('2.0'!$D:$D,T_BS!D188,'2.0'!$V:$V)</f>
        <v>0</v>
      </c>
      <c r="P188" s="509">
        <f>-ROUND(SUMIF('3.0'!$D:$D,T_BS!D188,'3.0'!$H:$H),0)</f>
        <v>0</v>
      </c>
      <c r="Q188" s="720">
        <f>-ROUND(SUMIF('4.0'!$D:$D,T_BS!D188,'4.0'!$V:$V),0)</f>
        <v>0</v>
      </c>
      <c r="R188" s="509">
        <f>-ROUND(SUMIF('5.0'!$D:$D,T_BS!D188,'5.0'!$V:$V),0)</f>
        <v>0</v>
      </c>
      <c r="S188" s="720">
        <f>-ROUND(SUMIF('6.0'!$D:$D,T_BS!D188,'6.0'!$V:$V),0)</f>
        <v>0</v>
      </c>
      <c r="T188" s="720">
        <f>-ROUND(SUMIF('7.0'!$D:$D,T_BS!D188,'7.0'!$V:$V),0)</f>
        <v>0</v>
      </c>
      <c r="U188" s="720">
        <f>-ROUND(SUMIF('8.0'!$D:$D,T_BS!D188,'8.0'!$H:$H),0)</f>
        <v>0</v>
      </c>
      <c r="V188" s="510">
        <f t="shared" si="54"/>
        <v>0</v>
      </c>
      <c r="X188" s="1616">
        <f t="shared" si="59"/>
        <v>21668550</v>
      </c>
      <c r="Z188" s="1616">
        <f t="shared" si="60"/>
        <v>-12157020</v>
      </c>
      <c r="AB188" s="1616">
        <v>3799620</v>
      </c>
      <c r="AC188" s="1616">
        <v>0</v>
      </c>
      <c r="AD188" s="1616">
        <v>0</v>
      </c>
      <c r="AE188" s="1616">
        <v>18931466</v>
      </c>
      <c r="AF188" s="1616">
        <v>10266083</v>
      </c>
      <c r="AG188" s="1616">
        <v>278098244</v>
      </c>
      <c r="AH188" s="1616">
        <v>5175776</v>
      </c>
      <c r="AI188" s="1616">
        <v>33825570</v>
      </c>
      <c r="AJ188" s="1616">
        <v>8156045</v>
      </c>
      <c r="AK188" s="1616">
        <v>21511688</v>
      </c>
      <c r="AL188" s="1616">
        <v>12088301</v>
      </c>
      <c r="AM188" s="1616">
        <v>1003662930</v>
      </c>
      <c r="AN188" s="1616">
        <v>201041970</v>
      </c>
      <c r="AP188" s="498"/>
    </row>
    <row r="189" spans="1:42" ht="18" customHeight="1">
      <c r="A189" s="498"/>
      <c r="B189" s="1359" t="s">
        <v>1901</v>
      </c>
      <c r="D189" s="1593">
        <v>214361</v>
      </c>
      <c r="E189" s="1086" t="s">
        <v>162</v>
      </c>
      <c r="F189" s="1671">
        <v>3401</v>
      </c>
      <c r="G189" s="1086" t="s">
        <v>1902</v>
      </c>
      <c r="H189" s="498">
        <v>25802144</v>
      </c>
      <c r="I189" s="498">
        <v>0</v>
      </c>
      <c r="J189" s="710">
        <v>0</v>
      </c>
      <c r="K189" s="710">
        <v>0</v>
      </c>
      <c r="L189" s="510">
        <f t="shared" si="58"/>
        <v>25802144</v>
      </c>
      <c r="N189" s="1667">
        <f>-SUMIF('1.0'!$D:$D,T_BS!D189,'1.0'!$V:$V)</f>
        <v>0</v>
      </c>
      <c r="O189" s="710">
        <f>-SUMIF('2.0'!$D:$D,T_BS!D189,'2.0'!$V:$V)</f>
        <v>0</v>
      </c>
      <c r="P189" s="509">
        <f>-ROUND(SUMIF('3.0'!$D:$D,T_BS!D189,'3.0'!$H:$H),0)</f>
        <v>0</v>
      </c>
      <c r="Q189" s="720">
        <f>-ROUND(SUMIF('4.0'!$D:$D,T_BS!D189,'4.0'!$V:$V),0)</f>
        <v>0</v>
      </c>
      <c r="R189" s="509">
        <f>-ROUND(SUMIF('5.0'!$D:$D,T_BS!D189,'5.0'!$V:$V),0)</f>
        <v>0</v>
      </c>
      <c r="S189" s="720">
        <f>-ROUND(SUMIF('6.0'!$D:$D,T_BS!D189,'6.0'!$V:$V),0)</f>
        <v>0</v>
      </c>
      <c r="T189" s="720">
        <f>-ROUND(SUMIF('7.0'!$D:$D,T_BS!D189,'7.0'!$V:$V),0)</f>
        <v>0</v>
      </c>
      <c r="U189" s="720">
        <f>-ROUND(SUMIF('8.0'!$D:$D,T_BS!D189,'8.0'!$H:$H),0)</f>
        <v>0</v>
      </c>
      <c r="V189" s="510">
        <f t="shared" si="54"/>
        <v>0</v>
      </c>
      <c r="X189" s="1616">
        <f t="shared" si="59"/>
        <v>25802144</v>
      </c>
      <c r="Z189" s="1616">
        <f t="shared" si="60"/>
        <v>25802144</v>
      </c>
      <c r="AB189" s="1616">
        <v>0</v>
      </c>
      <c r="AC189" s="1616">
        <v>0</v>
      </c>
      <c r="AD189" s="1616">
        <v>1618904</v>
      </c>
      <c r="AE189" s="1616">
        <v>0</v>
      </c>
      <c r="AF189" s="1616">
        <v>0</v>
      </c>
      <c r="AG189" s="1616">
        <v>0</v>
      </c>
      <c r="AH189" s="1616">
        <v>0</v>
      </c>
      <c r="AI189" s="1616">
        <v>0</v>
      </c>
      <c r="AJ189" s="1616">
        <v>5692530</v>
      </c>
      <c r="AK189" s="1616">
        <v>0</v>
      </c>
      <c r="AL189" s="1616">
        <v>0</v>
      </c>
      <c r="AM189" s="1616">
        <v>0</v>
      </c>
      <c r="AN189" s="1616">
        <v>0</v>
      </c>
      <c r="AP189" s="498"/>
    </row>
    <row r="190" spans="1:42" ht="18" customHeight="1">
      <c r="A190" s="498"/>
      <c r="B190" s="1359" t="s">
        <v>1825</v>
      </c>
      <c r="D190" s="1593">
        <v>214362</v>
      </c>
      <c r="E190" s="1086" t="s">
        <v>162</v>
      </c>
      <c r="F190" s="1671">
        <v>3401</v>
      </c>
      <c r="G190" s="1086" t="s">
        <v>1830</v>
      </c>
      <c r="H190" s="498">
        <v>32050</v>
      </c>
      <c r="I190" s="498">
        <v>0</v>
      </c>
      <c r="J190" s="710">
        <v>0</v>
      </c>
      <c r="K190" s="710">
        <v>0</v>
      </c>
      <c r="L190" s="510">
        <f t="shared" si="58"/>
        <v>32050</v>
      </c>
      <c r="N190" s="1667">
        <f>-SUMIF('1.0'!$D:$D,T_BS!D190,'1.0'!$V:$V)</f>
        <v>0</v>
      </c>
      <c r="O190" s="710">
        <f>-SUMIF('2.0'!$D:$D,T_BS!D190,'2.0'!$V:$V)</f>
        <v>0</v>
      </c>
      <c r="P190" s="509">
        <f>-ROUND(SUMIF('3.0'!$D:$D,T_BS!D190,'3.0'!$H:$H),0)</f>
        <v>0</v>
      </c>
      <c r="Q190" s="720">
        <f>-ROUND(SUMIF('4.0'!$D:$D,T_BS!D190,'4.0'!$V:$V),0)</f>
        <v>0</v>
      </c>
      <c r="R190" s="509">
        <f>-ROUND(SUMIF('5.0'!$D:$D,T_BS!D190,'5.0'!$V:$V),0)</f>
        <v>0</v>
      </c>
      <c r="S190" s="720">
        <f>-ROUND(SUMIF('6.0'!$D:$D,T_BS!D190,'6.0'!$V:$V),0)</f>
        <v>0</v>
      </c>
      <c r="T190" s="720">
        <f>-ROUND(SUMIF('7.0'!$D:$D,T_BS!D190,'7.0'!$V:$V),0)</f>
        <v>0</v>
      </c>
      <c r="U190" s="720">
        <f>-ROUND(SUMIF('8.0'!$D:$D,T_BS!D190,'8.0'!$H:$H),0)</f>
        <v>0</v>
      </c>
      <c r="V190" s="510">
        <f>SUM(N190:U190)</f>
        <v>0</v>
      </c>
      <c r="X190" s="1616">
        <f t="shared" si="59"/>
        <v>32050</v>
      </c>
      <c r="Z190" s="1616">
        <f t="shared" si="60"/>
        <v>-74968449</v>
      </c>
      <c r="AB190" s="1616">
        <v>34850</v>
      </c>
      <c r="AC190" s="1616">
        <v>1395257</v>
      </c>
      <c r="AD190" s="1616">
        <v>1394543</v>
      </c>
      <c r="AE190" s="1616">
        <v>1078798</v>
      </c>
      <c r="AF190" s="1616">
        <v>96135341</v>
      </c>
      <c r="AG190" s="1616">
        <v>4174984</v>
      </c>
      <c r="AH190" s="1616">
        <v>79824191</v>
      </c>
      <c r="AI190" s="1616">
        <v>75000499</v>
      </c>
      <c r="AJ190" s="1616">
        <v>77853992</v>
      </c>
      <c r="AK190" s="1616">
        <v>83598160</v>
      </c>
      <c r="AL190" s="1616">
        <v>184935</v>
      </c>
      <c r="AM190" s="1616">
        <v>60840738</v>
      </c>
      <c r="AN190" s="1616">
        <v>9043650</v>
      </c>
      <c r="AP190" s="498"/>
    </row>
    <row r="191" spans="1:42" ht="18" customHeight="1">
      <c r="A191" s="498"/>
      <c r="D191" s="1593" t="s">
        <v>1850</v>
      </c>
      <c r="E191" s="1086" t="s">
        <v>162</v>
      </c>
      <c r="F191" s="1671">
        <v>3401</v>
      </c>
      <c r="G191" s="1086" t="s">
        <v>1851</v>
      </c>
      <c r="H191" s="498">
        <v>1604062702</v>
      </c>
      <c r="I191" s="498">
        <v>0</v>
      </c>
      <c r="J191" s="710">
        <v>0</v>
      </c>
      <c r="K191" s="710">
        <v>0</v>
      </c>
      <c r="L191" s="510">
        <f t="shared" si="58"/>
        <v>1604062702</v>
      </c>
      <c r="N191" s="1667">
        <f>-SUMIF('1.0'!$D:$D,T_BS!D191,'1.0'!$V:$V)</f>
        <v>0</v>
      </c>
      <c r="O191" s="710">
        <f>-SUMIF('2.0'!$D:$D,T_BS!D191,'2.0'!$V:$V)</f>
        <v>0</v>
      </c>
      <c r="P191" s="509">
        <f>-ROUND(SUMIF('3.0'!$D:$D,T_BS!D191,'3.0'!$H:$H),0)</f>
        <v>0</v>
      </c>
      <c r="Q191" s="720">
        <f>-ROUND(SUMIF('4.0'!$D:$D,T_BS!D191,'4.0'!$V:$V),0)</f>
        <v>0</v>
      </c>
      <c r="R191" s="509">
        <f>-ROUND(SUMIF('5.0'!$D:$D,T_BS!D191,'5.0'!$V:$V),0)</f>
        <v>0</v>
      </c>
      <c r="S191" s="720">
        <f>-ROUND(SUMIF('6.0'!$D:$D,T_BS!D191,'6.0'!$V:$V),0)</f>
        <v>0</v>
      </c>
      <c r="T191" s="720">
        <f>-ROUND(SUMIF('7.0'!$D:$D,T_BS!D191,'7.0'!$V:$V),0)</f>
        <v>0</v>
      </c>
      <c r="U191" s="720">
        <f>-ROUND(SUMIF('8.0'!$D:$D,T_BS!D191,'8.0'!$H:$H),0)</f>
        <v>0</v>
      </c>
      <c r="V191" s="510">
        <f>SUM(N191:U191)</f>
        <v>0</v>
      </c>
      <c r="X191" s="1616">
        <f t="shared" si="59"/>
        <v>1604062702</v>
      </c>
      <c r="Z191" s="1616">
        <f t="shared" si="60"/>
        <v>1465502306</v>
      </c>
      <c r="AB191" s="1616">
        <v>525992092</v>
      </c>
      <c r="AC191" s="1616">
        <v>176400000</v>
      </c>
      <c r="AD191" s="1616">
        <v>1100000</v>
      </c>
      <c r="AE191" s="1616">
        <v>174313990</v>
      </c>
      <c r="AF191" s="1616">
        <v>176567158</v>
      </c>
      <c r="AG191" s="1616">
        <v>139832762</v>
      </c>
      <c r="AH191" s="1616">
        <v>18193732</v>
      </c>
      <c r="AI191" s="1616">
        <v>138560396</v>
      </c>
      <c r="AJ191" s="1616">
        <v>20552836</v>
      </c>
      <c r="AK191" s="1616">
        <v>3844523</v>
      </c>
      <c r="AL191" s="1616">
        <v>49851274</v>
      </c>
      <c r="AM191" s="1616">
        <v>0</v>
      </c>
      <c r="AN191" s="1616">
        <v>0</v>
      </c>
      <c r="AP191" s="498"/>
    </row>
    <row r="192" spans="1:42" ht="18" customHeight="1">
      <c r="A192" s="498"/>
      <c r="D192" s="1593" t="s">
        <v>1852</v>
      </c>
      <c r="E192" s="1086" t="s">
        <v>162</v>
      </c>
      <c r="F192" s="1671">
        <v>3401</v>
      </c>
      <c r="G192" s="1086" t="s">
        <v>2022</v>
      </c>
      <c r="H192" s="498">
        <v>0</v>
      </c>
      <c r="I192" s="498">
        <v>0</v>
      </c>
      <c r="J192" s="710">
        <v>0</v>
      </c>
      <c r="K192" s="710">
        <v>0</v>
      </c>
      <c r="L192" s="510">
        <f t="shared" si="58"/>
        <v>0</v>
      </c>
      <c r="N192" s="1667">
        <f>-SUMIF('1.0'!$D:$D,T_BS!D192,'1.0'!$V:$V)</f>
        <v>0</v>
      </c>
      <c r="O192" s="710">
        <f>-SUMIF('2.0'!$D:$D,T_BS!D192,'2.0'!$V:$V)</f>
        <v>0</v>
      </c>
      <c r="P192" s="509">
        <f>-ROUND(SUMIF('3.0'!$D:$D,T_BS!D192,'3.0'!$H:$H),0)</f>
        <v>0</v>
      </c>
      <c r="Q192" s="720">
        <f>-ROUND(SUMIF('4.0'!$D:$D,T_BS!D192,'4.0'!$V:$V),0)</f>
        <v>0</v>
      </c>
      <c r="R192" s="509">
        <f>-ROUND(SUMIF('5.0'!$D:$D,T_BS!D192,'5.0'!$V:$V),0)</f>
        <v>0</v>
      </c>
      <c r="S192" s="720">
        <f>-ROUND(SUMIF('6.0'!$D:$D,T_BS!D192,'6.0'!$V:$V),0)</f>
        <v>0</v>
      </c>
      <c r="T192" s="720">
        <f>-ROUND(SUMIF('7.0'!$D:$D,T_BS!D192,'7.0'!$V:$V),0)</f>
        <v>0</v>
      </c>
      <c r="U192" s="720">
        <f>-ROUND(SUMIF('8.0'!$D:$D,T_BS!D192,'8.0'!$H:$H),0)</f>
        <v>0</v>
      </c>
      <c r="V192" s="510">
        <f>SUM(N192:U192)</f>
        <v>0</v>
      </c>
      <c r="X192" s="1616">
        <f t="shared" si="59"/>
        <v>0</v>
      </c>
      <c r="Z192" s="1616">
        <f t="shared" si="60"/>
        <v>0</v>
      </c>
      <c r="AB192" s="1616">
        <v>0</v>
      </c>
      <c r="AC192" s="1616">
        <v>0</v>
      </c>
      <c r="AD192" s="1616">
        <v>0</v>
      </c>
      <c r="AE192" s="1616">
        <v>0</v>
      </c>
      <c r="AF192" s="1616">
        <v>0</v>
      </c>
      <c r="AG192" s="1616">
        <v>0</v>
      </c>
      <c r="AH192" s="1616">
        <v>0</v>
      </c>
      <c r="AI192" s="1616">
        <v>0</v>
      </c>
      <c r="AJ192" s="1616">
        <v>0</v>
      </c>
      <c r="AK192" s="1616">
        <v>0</v>
      </c>
      <c r="AL192" s="1616">
        <v>0</v>
      </c>
      <c r="AM192" s="1616">
        <v>728211</v>
      </c>
      <c r="AN192" s="1616">
        <v>0</v>
      </c>
      <c r="AP192" s="498"/>
    </row>
    <row r="193" spans="1:42" ht="18" customHeight="1">
      <c r="A193" s="498"/>
      <c r="D193" s="1593">
        <v>214400</v>
      </c>
      <c r="E193" s="1086" t="s">
        <v>162</v>
      </c>
      <c r="F193" s="1671">
        <v>3408</v>
      </c>
      <c r="G193" s="1086" t="s">
        <v>168</v>
      </c>
      <c r="H193" s="498">
        <v>0</v>
      </c>
      <c r="I193" s="498">
        <v>0</v>
      </c>
      <c r="J193" s="710">
        <v>0</v>
      </c>
      <c r="K193" s="710">
        <v>0</v>
      </c>
      <c r="L193" s="510">
        <f t="shared" si="58"/>
        <v>0</v>
      </c>
      <c r="N193" s="1667">
        <f>-SUMIF('1.0'!$D:$D,T_BS!D193,'1.0'!$V:$V)</f>
        <v>0</v>
      </c>
      <c r="O193" s="710">
        <f>-SUMIF('2.0'!$D:$D,T_BS!D193,'2.0'!$V:$V)</f>
        <v>0</v>
      </c>
      <c r="P193" s="509">
        <f>-ROUND(SUMIF('3.0'!$D:$D,T_BS!D193,'3.0'!$H:$H),0)</f>
        <v>0</v>
      </c>
      <c r="Q193" s="720">
        <f>-ROUND(SUMIF('4.0'!$D:$D,T_BS!D193,'4.0'!$V:$V),0)</f>
        <v>0</v>
      </c>
      <c r="R193" s="509">
        <f>-ROUND(SUMIF('5.0'!$D:$D,T_BS!D193,'5.0'!$V:$V),0)</f>
        <v>0</v>
      </c>
      <c r="S193" s="720">
        <f>-ROUND(SUMIF('6.0'!$D:$D,T_BS!D193,'6.0'!$V:$V),0)</f>
        <v>0</v>
      </c>
      <c r="T193" s="720">
        <f>-ROUND(SUMIF('7.0'!$D:$D,T_BS!D193,'7.0'!$V:$V),0)</f>
        <v>0</v>
      </c>
      <c r="U193" s="720">
        <f>-ROUND(SUMIF('8.0'!$D:$D,T_BS!D193,'8.0'!$H:$H),0)</f>
        <v>0</v>
      </c>
      <c r="V193" s="510">
        <f t="shared" si="54"/>
        <v>0</v>
      </c>
      <c r="X193" s="1616">
        <f t="shared" si="59"/>
        <v>0</v>
      </c>
      <c r="Z193" s="1616">
        <f t="shared" si="60"/>
        <v>-130000000</v>
      </c>
      <c r="AB193" s="1616">
        <v>11460000</v>
      </c>
      <c r="AC193" s="1616">
        <v>11460000</v>
      </c>
      <c r="AD193" s="1616">
        <v>11460000</v>
      </c>
      <c r="AE193" s="1616">
        <v>11460000</v>
      </c>
      <c r="AF193" s="1616">
        <v>38460000</v>
      </c>
      <c r="AG193" s="1616">
        <v>0</v>
      </c>
      <c r="AH193" s="1616">
        <v>0</v>
      </c>
      <c r="AI193" s="1616">
        <v>130000000</v>
      </c>
      <c r="AJ193" s="1616">
        <v>175000000</v>
      </c>
      <c r="AK193" s="1616">
        <v>25020000</v>
      </c>
      <c r="AL193" s="1616">
        <v>213280000</v>
      </c>
      <c r="AM193" s="1616">
        <v>15000000</v>
      </c>
      <c r="AN193" s="1616">
        <v>15000000</v>
      </c>
      <c r="AP193" s="498"/>
    </row>
    <row r="194" spans="1:42" ht="18" customHeight="1">
      <c r="A194" s="498"/>
      <c r="D194" s="1593">
        <v>214600</v>
      </c>
      <c r="E194" s="1086" t="s">
        <v>162</v>
      </c>
      <c r="F194" s="1671">
        <v>3408</v>
      </c>
      <c r="G194" s="1086" t="s">
        <v>169</v>
      </c>
      <c r="H194" s="498">
        <v>207027035</v>
      </c>
      <c r="I194" s="498">
        <v>0</v>
      </c>
      <c r="J194" s="710">
        <v>0</v>
      </c>
      <c r="K194" s="710">
        <v>0</v>
      </c>
      <c r="L194" s="510">
        <f t="shared" si="58"/>
        <v>207027035</v>
      </c>
      <c r="N194" s="1667">
        <f>-SUMIF('1.0'!$D:$D,T_BS!D194,'1.0'!$V:$V)</f>
        <v>0</v>
      </c>
      <c r="O194" s="710">
        <f>-SUMIF('2.0'!$D:$D,T_BS!D194,'2.0'!$V:$V)</f>
        <v>0</v>
      </c>
      <c r="P194" s="509">
        <f>-ROUND(SUMIF('3.0'!$D:$D,T_BS!D194,'3.0'!$H:$H),0)</f>
        <v>0</v>
      </c>
      <c r="Q194" s="720">
        <f>-ROUND(SUMIF('4.0'!$D:$D,T_BS!D194,'4.0'!$V:$V),0)</f>
        <v>0</v>
      </c>
      <c r="R194" s="509">
        <f>-ROUND(SUMIF('5.0'!$D:$D,T_BS!D194,'5.0'!$V:$V),0)</f>
        <v>0</v>
      </c>
      <c r="S194" s="720">
        <f>-ROUND(SUMIF('6.0'!$D:$D,T_BS!D194,'6.0'!$V:$V),0)</f>
        <v>0</v>
      </c>
      <c r="T194" s="720">
        <f>-ROUND(SUMIF('7.0'!$D:$D,T_BS!D194,'7.0'!$V:$V),0)</f>
        <v>0</v>
      </c>
      <c r="U194" s="720">
        <f>-ROUND(SUMIF('8.0'!$D:$D,T_BS!D194,'8.0'!$H:$H),0)</f>
        <v>0</v>
      </c>
      <c r="V194" s="510">
        <f t="shared" si="54"/>
        <v>0</v>
      </c>
      <c r="X194" s="1616">
        <f t="shared" si="59"/>
        <v>207027035</v>
      </c>
      <c r="Z194" s="1616">
        <f t="shared" si="60"/>
        <v>-40053482</v>
      </c>
      <c r="AB194" s="1616">
        <v>337439798</v>
      </c>
      <c r="AC194" s="1616">
        <v>237950608</v>
      </c>
      <c r="AD194" s="1616">
        <v>238368887</v>
      </c>
      <c r="AE194" s="1616">
        <v>238804373</v>
      </c>
      <c r="AF194" s="1616">
        <v>239313500</v>
      </c>
      <c r="AG194" s="1616">
        <v>617109138</v>
      </c>
      <c r="AH194" s="1616">
        <v>426851098</v>
      </c>
      <c r="AI194" s="1616">
        <v>247080517</v>
      </c>
      <c r="AJ194" s="1616">
        <v>150147280</v>
      </c>
      <c r="AK194" s="1616">
        <v>151475012</v>
      </c>
      <c r="AL194" s="1616">
        <v>156284898</v>
      </c>
      <c r="AM194" s="1616">
        <v>160815266</v>
      </c>
      <c r="AN194" s="1616">
        <v>99954688</v>
      </c>
      <c r="AP194" s="498"/>
    </row>
    <row r="195" spans="1:42" ht="18" customHeight="1">
      <c r="A195" s="498"/>
      <c r="D195" s="1593" t="s">
        <v>1747</v>
      </c>
      <c r="E195" s="1086" t="s">
        <v>162</v>
      </c>
      <c r="F195" s="1671">
        <v>3408</v>
      </c>
      <c r="G195" s="1086" t="s">
        <v>1749</v>
      </c>
      <c r="H195" s="498">
        <v>0</v>
      </c>
      <c r="I195" s="498">
        <v>0</v>
      </c>
      <c r="J195" s="710">
        <v>0</v>
      </c>
      <c r="K195" s="710">
        <v>0</v>
      </c>
      <c r="L195" s="510">
        <f t="shared" si="58"/>
        <v>0</v>
      </c>
      <c r="N195" s="1667">
        <f>-SUMIF('1.0'!$D:$D,T_BS!D195,'1.0'!$V:$V)</f>
        <v>0</v>
      </c>
      <c r="O195" s="710">
        <f>-SUMIF('2.0'!$D:$D,T_BS!D195,'2.0'!$V:$V)</f>
        <v>0</v>
      </c>
      <c r="P195" s="509">
        <f>-ROUND(SUMIF('3.0'!$D:$D,T_BS!D195,'3.0'!$H:$H),0)</f>
        <v>0</v>
      </c>
      <c r="Q195" s="720">
        <f>-ROUND(SUMIF('4.0'!$D:$D,T_BS!D195,'4.0'!$V:$V),0)</f>
        <v>0</v>
      </c>
      <c r="R195" s="509">
        <f>-ROUND(SUMIF('5.0'!$D:$D,T_BS!D195,'5.0'!$V:$V),0)</f>
        <v>0</v>
      </c>
      <c r="S195" s="720">
        <f>-ROUND(SUMIF('6.0'!$D:$D,T_BS!D195,'6.0'!$V:$V),0)</f>
        <v>0</v>
      </c>
      <c r="T195" s="720">
        <f>-ROUND(SUMIF('7.0'!$D:$D,T_BS!D195,'7.0'!$V:$V),0)</f>
        <v>0</v>
      </c>
      <c r="U195" s="720">
        <f>-ROUND(SUMIF('8.0'!$D:$D,T_BS!D195,'8.0'!$H:$H),0)</f>
        <v>0</v>
      </c>
      <c r="V195" s="510">
        <f t="shared" si="54"/>
        <v>0</v>
      </c>
      <c r="X195" s="1616">
        <f t="shared" si="59"/>
        <v>0</v>
      </c>
      <c r="Z195" s="1616">
        <f t="shared" si="60"/>
        <v>0</v>
      </c>
      <c r="AB195" s="1616">
        <v>0</v>
      </c>
      <c r="AC195" s="1616">
        <v>0</v>
      </c>
      <c r="AD195" s="1616">
        <v>0</v>
      </c>
      <c r="AE195" s="1616">
        <v>0</v>
      </c>
      <c r="AF195" s="1616">
        <v>0</v>
      </c>
      <c r="AG195" s="1616">
        <v>0</v>
      </c>
      <c r="AH195" s="1616">
        <v>0</v>
      </c>
      <c r="AI195" s="1616">
        <v>0</v>
      </c>
      <c r="AJ195" s="1616">
        <v>0</v>
      </c>
      <c r="AK195" s="1616">
        <v>0</v>
      </c>
      <c r="AL195" s="1616">
        <v>0</v>
      </c>
      <c r="AM195" s="1616">
        <v>0</v>
      </c>
      <c r="AN195" s="1616">
        <v>52303062</v>
      </c>
      <c r="AP195" s="498"/>
    </row>
    <row r="196" spans="1:42" ht="18" customHeight="1">
      <c r="A196" s="498"/>
      <c r="D196" s="1593" t="s">
        <v>1748</v>
      </c>
      <c r="E196" s="1086" t="s">
        <v>162</v>
      </c>
      <c r="F196" s="1671">
        <v>3408</v>
      </c>
      <c r="G196" s="1086" t="s">
        <v>1750</v>
      </c>
      <c r="H196" s="498">
        <v>0</v>
      </c>
      <c r="I196" s="498">
        <v>0</v>
      </c>
      <c r="J196" s="710">
        <v>0</v>
      </c>
      <c r="K196" s="710">
        <v>0</v>
      </c>
      <c r="L196" s="510">
        <f t="shared" si="58"/>
        <v>0</v>
      </c>
      <c r="N196" s="1667">
        <f>-SUMIF('1.0'!$D:$D,T_BS!D196,'1.0'!$V:$V)</f>
        <v>0</v>
      </c>
      <c r="O196" s="710">
        <f>-SUMIF('2.0'!$D:$D,T_BS!D196,'2.0'!$V:$V)</f>
        <v>0</v>
      </c>
      <c r="P196" s="509">
        <f>-ROUND(SUMIF('3.0'!$D:$D,T_BS!D196,'3.0'!$H:$H),0)</f>
        <v>0</v>
      </c>
      <c r="Q196" s="720">
        <f>-ROUND(SUMIF('4.0'!$D:$D,T_BS!D196,'4.0'!$V:$V),0)</f>
        <v>0</v>
      </c>
      <c r="R196" s="509">
        <f>-ROUND(SUMIF('5.0'!$D:$D,T_BS!D196,'5.0'!$V:$V),0)</f>
        <v>0</v>
      </c>
      <c r="S196" s="720">
        <f>-ROUND(SUMIF('6.0'!$D:$D,T_BS!D196,'6.0'!$V:$V),0)</f>
        <v>0</v>
      </c>
      <c r="T196" s="720">
        <f>-ROUND(SUMIF('7.0'!$D:$D,T_BS!D196,'7.0'!$V:$V),0)</f>
        <v>0</v>
      </c>
      <c r="U196" s="720">
        <f>-ROUND(SUMIF('8.0'!$D:$D,T_BS!D196,'8.0'!$H:$H),0)</f>
        <v>0</v>
      </c>
      <c r="V196" s="510">
        <f t="shared" si="54"/>
        <v>0</v>
      </c>
      <c r="X196" s="1616">
        <f t="shared" si="59"/>
        <v>0</v>
      </c>
      <c r="Z196" s="1616">
        <f t="shared" si="60"/>
        <v>0</v>
      </c>
      <c r="AB196" s="1616">
        <v>0</v>
      </c>
      <c r="AC196" s="1616">
        <v>0</v>
      </c>
      <c r="AD196" s="1616">
        <v>0</v>
      </c>
      <c r="AE196" s="1616">
        <v>0</v>
      </c>
      <c r="AF196" s="1616">
        <v>0</v>
      </c>
      <c r="AG196" s="1616">
        <v>0</v>
      </c>
      <c r="AH196" s="1616">
        <v>0</v>
      </c>
      <c r="AI196" s="1616">
        <v>0</v>
      </c>
      <c r="AJ196" s="1616">
        <v>0</v>
      </c>
      <c r="AK196" s="1616">
        <v>0</v>
      </c>
      <c r="AL196" s="1616">
        <v>0</v>
      </c>
      <c r="AM196" s="1616">
        <v>40000000</v>
      </c>
      <c r="AN196" s="1616">
        <v>450000000</v>
      </c>
      <c r="AP196" s="498"/>
    </row>
    <row r="197" spans="1:42" ht="18" customHeight="1">
      <c r="A197" s="498"/>
      <c r="D197" s="1593">
        <v>214700</v>
      </c>
      <c r="E197" s="1086" t="s">
        <v>162</v>
      </c>
      <c r="F197" s="1671">
        <v>3408</v>
      </c>
      <c r="G197" s="1086" t="s">
        <v>170</v>
      </c>
      <c r="H197" s="498">
        <v>5761843148</v>
      </c>
      <c r="I197" s="498">
        <v>0</v>
      </c>
      <c r="J197" s="710">
        <v>0</v>
      </c>
      <c r="K197" s="710">
        <v>0</v>
      </c>
      <c r="L197" s="510">
        <f t="shared" si="58"/>
        <v>5761843148</v>
      </c>
      <c r="N197" s="1667">
        <f>-SUMIF('1.0'!$D:$D,T_BS!D197,'1.0'!$V:$V)</f>
        <v>0</v>
      </c>
      <c r="O197" s="710">
        <f>-SUMIF('2.0'!$D:$D,T_BS!D197,'2.0'!$V:$V)</f>
        <v>0</v>
      </c>
      <c r="P197" s="509">
        <f>-ROUND(SUMIF('3.0'!$D:$D,T_BS!D197,'3.0'!$H:$H),0)</f>
        <v>0</v>
      </c>
      <c r="Q197" s="720">
        <f>-ROUND(SUMIF('4.0'!$D:$D,T_BS!D197,'4.0'!$V:$V),0)</f>
        <v>0</v>
      </c>
      <c r="R197" s="509">
        <f>-ROUND(SUMIF('5.0'!$D:$D,T_BS!D197,'5.0'!$V:$V),0)</f>
        <v>0</v>
      </c>
      <c r="S197" s="720">
        <f>-ROUND(SUMIF('6.0'!$D:$D,T_BS!D197,'6.0'!$V:$V),0)</f>
        <v>0</v>
      </c>
      <c r="T197" s="720">
        <f>-ROUND(SUMIF('7.0'!$D:$D,T_BS!D197,'7.0'!$V:$V),0)</f>
        <v>0</v>
      </c>
      <c r="U197" s="720">
        <f>-ROUND(SUMIF('8.0'!$D:$D,T_BS!D197,'8.0'!$H:$H),0)</f>
        <v>0</v>
      </c>
      <c r="V197" s="510">
        <f t="shared" si="54"/>
        <v>0</v>
      </c>
      <c r="X197" s="1616">
        <f t="shared" si="59"/>
        <v>5761843148</v>
      </c>
      <c r="Z197" s="1616">
        <f t="shared" si="60"/>
        <v>-855937916</v>
      </c>
      <c r="AB197" s="1616">
        <v>6065488616</v>
      </c>
      <c r="AC197" s="1616">
        <v>5945600039</v>
      </c>
      <c r="AD197" s="1616">
        <v>6197643421</v>
      </c>
      <c r="AE197" s="1616">
        <v>6143379797</v>
      </c>
      <c r="AF197" s="1616">
        <v>6234952659</v>
      </c>
      <c r="AG197" s="1616">
        <v>6308832019</v>
      </c>
      <c r="AH197" s="1616">
        <v>7195766704</v>
      </c>
      <c r="AI197" s="1616">
        <v>6617781064</v>
      </c>
      <c r="AJ197" s="1616">
        <v>5492834404</v>
      </c>
      <c r="AK197" s="1616">
        <v>5226136932</v>
      </c>
      <c r="AL197" s="1616">
        <v>5268245662</v>
      </c>
      <c r="AM197" s="1616">
        <v>4718022767</v>
      </c>
      <c r="AN197" s="1616">
        <v>4628653703</v>
      </c>
      <c r="AP197" s="498"/>
    </row>
    <row r="198" spans="1:42" ht="18" customHeight="1">
      <c r="A198" s="498"/>
      <c r="D198" s="1593">
        <v>215100</v>
      </c>
      <c r="E198" s="1086" t="s">
        <v>162</v>
      </c>
      <c r="F198" s="1671">
        <v>3402</v>
      </c>
      <c r="G198" s="1086" t="s">
        <v>171</v>
      </c>
      <c r="H198" s="498">
        <v>136903367</v>
      </c>
      <c r="I198" s="498">
        <v>99297570</v>
      </c>
      <c r="J198" s="710">
        <v>0</v>
      </c>
      <c r="K198" s="710">
        <v>0</v>
      </c>
      <c r="L198" s="510">
        <f t="shared" si="58"/>
        <v>236200937</v>
      </c>
      <c r="N198" s="1667">
        <f>-SUMIF('1.0'!$D:$D,T_BS!D198,'1.0'!$V:$V)</f>
        <v>0</v>
      </c>
      <c r="O198" s="710">
        <f>-SUMIF('2.0'!$D:$D,T_BS!D198,'2.0'!$V:$V)</f>
        <v>0</v>
      </c>
      <c r="P198" s="509">
        <f>-ROUND(SUMIF('3.0'!$D:$D,T_BS!D198,'3.0'!$H:$H),0)</f>
        <v>0</v>
      </c>
      <c r="Q198" s="720">
        <f>-ROUND(SUMIF('4.0'!$D:$D,T_BS!D198,'4.0'!$V:$V),0)</f>
        <v>0</v>
      </c>
      <c r="R198" s="509">
        <f>-ROUND(SUMIF('5.0'!$D:$D,T_BS!D198,'5.0'!$V:$V),0)</f>
        <v>0</v>
      </c>
      <c r="S198" s="720">
        <f>-ROUND(SUMIF('6.0'!$D:$D,T_BS!D198,'6.0'!$V:$V),0)</f>
        <v>0</v>
      </c>
      <c r="T198" s="720">
        <f>-ROUND(SUMIF('7.0'!$D:$D,T_BS!D198,'7.0'!$V:$V),0)</f>
        <v>0</v>
      </c>
      <c r="U198" s="720">
        <f>-ROUND(SUMIF('8.0'!$D:$D,T_BS!D198,'8.0'!$H:$H),0)</f>
        <v>0</v>
      </c>
      <c r="V198" s="510">
        <f t="shared" si="54"/>
        <v>0</v>
      </c>
      <c r="X198" s="1616">
        <f t="shared" si="59"/>
        <v>236200937</v>
      </c>
      <c r="Z198" s="1616">
        <f t="shared" si="60"/>
        <v>-5635915</v>
      </c>
      <c r="AB198" s="1616">
        <v>160573651</v>
      </c>
      <c r="AC198" s="1616">
        <v>146265024</v>
      </c>
      <c r="AD198" s="1616">
        <v>142990162</v>
      </c>
      <c r="AE198" s="1616">
        <v>145944209</v>
      </c>
      <c r="AF198" s="1616">
        <v>136149148</v>
      </c>
      <c r="AG198" s="1616">
        <v>163325499</v>
      </c>
      <c r="AH198" s="1616">
        <v>122544688</v>
      </c>
      <c r="AI198" s="1616">
        <v>241836852</v>
      </c>
      <c r="AJ198" s="1616">
        <v>111477116</v>
      </c>
      <c r="AK198" s="1616">
        <v>112278235</v>
      </c>
      <c r="AL198" s="1616">
        <v>103329280</v>
      </c>
      <c r="AM198" s="1616">
        <v>110190376</v>
      </c>
      <c r="AN198" s="1616">
        <v>128386646</v>
      </c>
      <c r="AP198" s="498"/>
    </row>
    <row r="199" spans="1:42" ht="18" customHeight="1">
      <c r="A199" s="498"/>
      <c r="D199" s="1593">
        <v>215200</v>
      </c>
      <c r="E199" s="1086" t="s">
        <v>162</v>
      </c>
      <c r="F199" s="1671">
        <v>3402</v>
      </c>
      <c r="G199" s="1086" t="s">
        <v>172</v>
      </c>
      <c r="H199" s="498">
        <v>13689034</v>
      </c>
      <c r="I199" s="498">
        <v>9929050</v>
      </c>
      <c r="J199" s="710">
        <v>0</v>
      </c>
      <c r="K199" s="710">
        <v>0</v>
      </c>
      <c r="L199" s="510">
        <f t="shared" si="58"/>
        <v>23618084</v>
      </c>
      <c r="N199" s="1667">
        <f>-SUMIF('1.0'!$D:$D,T_BS!D199,'1.0'!$V:$V)</f>
        <v>0</v>
      </c>
      <c r="O199" s="710">
        <f>-SUMIF('2.0'!$D:$D,T_BS!D199,'2.0'!$V:$V)</f>
        <v>0</v>
      </c>
      <c r="P199" s="509">
        <f>-ROUND(SUMIF('3.0'!$D:$D,T_BS!D199,'3.0'!$H:$H),0)</f>
        <v>0</v>
      </c>
      <c r="Q199" s="720">
        <f>-ROUND(SUMIF('4.0'!$D:$D,T_BS!D199,'4.0'!$V:$V),0)</f>
        <v>0</v>
      </c>
      <c r="R199" s="509">
        <f>-ROUND(SUMIF('5.0'!$D:$D,T_BS!D199,'5.0'!$V:$V),0)</f>
        <v>0</v>
      </c>
      <c r="S199" s="720">
        <f>-ROUND(SUMIF('6.0'!$D:$D,T_BS!D199,'6.0'!$V:$V),0)</f>
        <v>0</v>
      </c>
      <c r="T199" s="720">
        <f>-ROUND(SUMIF('7.0'!$D:$D,T_BS!D199,'7.0'!$V:$V),0)</f>
        <v>0</v>
      </c>
      <c r="U199" s="720">
        <f>-ROUND(SUMIF('8.0'!$D:$D,T_BS!D199,'8.0'!$H:$H),0)</f>
        <v>0</v>
      </c>
      <c r="V199" s="510">
        <f t="shared" si="54"/>
        <v>0</v>
      </c>
      <c r="X199" s="1616">
        <f t="shared" si="59"/>
        <v>23618084</v>
      </c>
      <c r="Z199" s="1616">
        <f t="shared" si="60"/>
        <v>-517761</v>
      </c>
      <c r="AB199" s="1616">
        <v>16055191</v>
      </c>
      <c r="AC199" s="1616">
        <v>14624961</v>
      </c>
      <c r="AD199" s="1616">
        <v>14292613</v>
      </c>
      <c r="AE199" s="1616">
        <v>14592809</v>
      </c>
      <c r="AF199" s="1616">
        <v>13613351</v>
      </c>
      <c r="AG199" s="1616">
        <v>16331243</v>
      </c>
      <c r="AH199" s="1616">
        <v>12253096</v>
      </c>
      <c r="AI199" s="1616">
        <v>24135845</v>
      </c>
      <c r="AJ199" s="1616">
        <v>11146675</v>
      </c>
      <c r="AK199" s="1616">
        <v>11226677</v>
      </c>
      <c r="AL199" s="1616">
        <v>10309133</v>
      </c>
      <c r="AM199" s="1616">
        <v>10994977</v>
      </c>
      <c r="AN199" s="1616">
        <v>12814714</v>
      </c>
      <c r="AP199" s="498"/>
    </row>
    <row r="200" spans="1:42" ht="18" customHeight="1">
      <c r="A200" s="498"/>
      <c r="D200" s="1593">
        <v>215300</v>
      </c>
      <c r="E200" s="1086" t="s">
        <v>162</v>
      </c>
      <c r="F200" s="1671">
        <v>3402</v>
      </c>
      <c r="G200" s="1086" t="s">
        <v>173</v>
      </c>
      <c r="H200" s="498">
        <v>-1459160</v>
      </c>
      <c r="I200" s="498">
        <v>2783180</v>
      </c>
      <c r="J200" s="710">
        <v>0</v>
      </c>
      <c r="K200" s="710">
        <v>0</v>
      </c>
      <c r="L200" s="510">
        <f t="shared" si="58"/>
        <v>1324020</v>
      </c>
      <c r="N200" s="1667">
        <f>-SUMIF('1.0'!$D:$D,T_BS!D200,'1.0'!$V:$V)</f>
        <v>0</v>
      </c>
      <c r="O200" s="710">
        <f>-SUMIF('2.0'!$D:$D,T_BS!D200,'2.0'!$V:$V)</f>
        <v>0</v>
      </c>
      <c r="P200" s="509">
        <f>-ROUND(SUMIF('3.0'!$D:$D,T_BS!D200,'3.0'!$H:$H),0)</f>
        <v>0</v>
      </c>
      <c r="Q200" s="720">
        <f>-ROUND(SUMIF('4.0'!$D:$D,T_BS!D200,'4.0'!$V:$V),0)</f>
        <v>0</v>
      </c>
      <c r="R200" s="509">
        <f>-ROUND(SUMIF('5.0'!$D:$D,T_BS!D200,'5.0'!$V:$V),0)</f>
        <v>0</v>
      </c>
      <c r="S200" s="720">
        <f>-ROUND(SUMIF('6.0'!$D:$D,T_BS!D200,'6.0'!$V:$V),0)</f>
        <v>0</v>
      </c>
      <c r="T200" s="720">
        <f>-ROUND(SUMIF('7.0'!$D:$D,T_BS!D200,'7.0'!$V:$V),0)</f>
        <v>0</v>
      </c>
      <c r="U200" s="720">
        <f>-ROUND(SUMIF('8.0'!$D:$D,T_BS!D200,'8.0'!$H:$H),0)</f>
        <v>0</v>
      </c>
      <c r="V200" s="510">
        <f t="shared" si="54"/>
        <v>0</v>
      </c>
      <c r="X200" s="1616">
        <f t="shared" si="59"/>
        <v>1324020</v>
      </c>
      <c r="Z200" s="1616">
        <f t="shared" si="60"/>
        <v>2256730</v>
      </c>
      <c r="AB200" s="1616">
        <v>1742840</v>
      </c>
      <c r="AC200" s="1616">
        <v>1827520</v>
      </c>
      <c r="AD200" s="1616">
        <v>1770420</v>
      </c>
      <c r="AE200" s="1616">
        <v>2380540</v>
      </c>
      <c r="AF200" s="1616">
        <v>3097910</v>
      </c>
      <c r="AG200" s="1616">
        <v>4903330</v>
      </c>
      <c r="AH200" s="1616">
        <v>109140</v>
      </c>
      <c r="AI200" s="1616">
        <v>-932710</v>
      </c>
      <c r="AJ200" s="1616">
        <v>-1358200</v>
      </c>
      <c r="AK200" s="1616">
        <v>-884310</v>
      </c>
      <c r="AL200" s="1616">
        <v>-915720</v>
      </c>
      <c r="AM200" s="1616">
        <v>-989030</v>
      </c>
      <c r="AN200" s="1616">
        <v>-1245870</v>
      </c>
      <c r="AP200" s="498"/>
    </row>
    <row r="201" spans="1:42" ht="18" customHeight="1">
      <c r="A201" s="498"/>
      <c r="D201" s="1593">
        <v>215400</v>
      </c>
      <c r="E201" s="1086" t="s">
        <v>162</v>
      </c>
      <c r="F201" s="1671">
        <v>3402</v>
      </c>
      <c r="G201" s="1086" t="s">
        <v>174</v>
      </c>
      <c r="H201" s="498">
        <v>2009030</v>
      </c>
      <c r="I201" s="498">
        <v>1596660</v>
      </c>
      <c r="J201" s="710">
        <v>0</v>
      </c>
      <c r="K201" s="710">
        <v>0</v>
      </c>
      <c r="L201" s="510">
        <f t="shared" si="58"/>
        <v>3605690</v>
      </c>
      <c r="N201" s="1667">
        <f>-SUMIF('1.0'!$D:$D,T_BS!D201,'1.0'!$V:$V)</f>
        <v>0</v>
      </c>
      <c r="O201" s="710">
        <f>-SUMIF('2.0'!$D:$D,T_BS!D201,'2.0'!$V:$V)</f>
        <v>0</v>
      </c>
      <c r="P201" s="509">
        <f>-ROUND(SUMIF('3.0'!$D:$D,T_BS!D201,'3.0'!$H:$H),0)</f>
        <v>0</v>
      </c>
      <c r="Q201" s="720">
        <f>-ROUND(SUMIF('4.0'!$D:$D,T_BS!D201,'4.0'!$V:$V),0)</f>
        <v>0</v>
      </c>
      <c r="R201" s="509">
        <f>-ROUND(SUMIF('5.0'!$D:$D,T_BS!D201,'5.0'!$V:$V),0)</f>
        <v>0</v>
      </c>
      <c r="S201" s="720">
        <f>-ROUND(SUMIF('6.0'!$D:$D,T_BS!D201,'6.0'!$V:$V),0)</f>
        <v>0</v>
      </c>
      <c r="T201" s="720">
        <f>-ROUND(SUMIF('7.0'!$D:$D,T_BS!D201,'7.0'!$V:$V),0)</f>
        <v>0</v>
      </c>
      <c r="U201" s="720">
        <f>-ROUND(SUMIF('8.0'!$D:$D,T_BS!D201,'8.0'!$H:$H),0)</f>
        <v>0</v>
      </c>
      <c r="V201" s="510">
        <f t="shared" si="54"/>
        <v>0</v>
      </c>
      <c r="X201" s="1616">
        <f t="shared" si="59"/>
        <v>3605690</v>
      </c>
      <c r="Z201" s="1616">
        <f t="shared" si="60"/>
        <v>1464540</v>
      </c>
      <c r="AB201" s="1616">
        <v>3605690</v>
      </c>
      <c r="AC201" s="1616">
        <v>3388600</v>
      </c>
      <c r="AD201" s="1616">
        <v>3677290</v>
      </c>
      <c r="AE201" s="1616">
        <v>3677290</v>
      </c>
      <c r="AF201" s="1616">
        <v>4148890</v>
      </c>
      <c r="AG201" s="1616">
        <v>3315760</v>
      </c>
      <c r="AH201" s="1616">
        <v>2009030</v>
      </c>
      <c r="AI201" s="1616">
        <v>2141150</v>
      </c>
      <c r="AJ201" s="1616">
        <v>1710365</v>
      </c>
      <c r="AK201" s="1616">
        <v>1710365</v>
      </c>
      <c r="AL201" s="1616">
        <v>1710365</v>
      </c>
      <c r="AM201" s="1616">
        <v>1710365</v>
      </c>
      <c r="AN201" s="1616">
        <v>1710365</v>
      </c>
      <c r="AP201" s="498"/>
    </row>
    <row r="202" spans="1:42" ht="18" customHeight="1">
      <c r="A202" s="498"/>
      <c r="D202" s="1593">
        <v>215500</v>
      </c>
      <c r="E202" s="1086" t="s">
        <v>162</v>
      </c>
      <c r="F202" s="1671">
        <v>3402</v>
      </c>
      <c r="G202" s="1086" t="s">
        <v>175</v>
      </c>
      <c r="H202" s="498">
        <v>3777158</v>
      </c>
      <c r="I202" s="498">
        <v>1166000</v>
      </c>
      <c r="J202" s="710">
        <v>0</v>
      </c>
      <c r="K202" s="710">
        <v>0</v>
      </c>
      <c r="L202" s="510">
        <f t="shared" si="58"/>
        <v>4943158</v>
      </c>
      <c r="N202" s="1667">
        <f>-SUMIF('1.0'!$D:$D,T_BS!D202,'1.0'!$V:$V)</f>
        <v>0</v>
      </c>
      <c r="O202" s="710">
        <f>-SUMIF('2.0'!$D:$D,T_BS!D202,'2.0'!$V:$V)</f>
        <v>0</v>
      </c>
      <c r="P202" s="509">
        <f>-ROUND(SUMIF('3.0'!$D:$D,T_BS!D202,'3.0'!$H:$H),0)</f>
        <v>0</v>
      </c>
      <c r="Q202" s="720">
        <f>-ROUND(SUMIF('4.0'!$D:$D,T_BS!D202,'4.0'!$V:$V),0)</f>
        <v>0</v>
      </c>
      <c r="R202" s="509">
        <f>-ROUND(SUMIF('5.0'!$D:$D,T_BS!D202,'5.0'!$V:$V),0)</f>
        <v>0</v>
      </c>
      <c r="S202" s="720">
        <f>-ROUND(SUMIF('6.0'!$D:$D,T_BS!D202,'6.0'!$V:$V),0)</f>
        <v>0</v>
      </c>
      <c r="T202" s="720">
        <f>-ROUND(SUMIF('7.0'!$D:$D,T_BS!D202,'7.0'!$V:$V),0)</f>
        <v>0</v>
      </c>
      <c r="U202" s="720">
        <f>-ROUND(SUMIF('8.0'!$D:$D,T_BS!D202,'8.0'!$H:$H),0)</f>
        <v>0</v>
      </c>
      <c r="V202" s="510">
        <f t="shared" si="54"/>
        <v>0</v>
      </c>
      <c r="X202" s="1616">
        <f t="shared" si="59"/>
        <v>4943158</v>
      </c>
      <c r="Z202" s="1616">
        <f t="shared" si="60"/>
        <v>-6246060</v>
      </c>
      <c r="AB202" s="1616">
        <v>3303988</v>
      </c>
      <c r="AC202" s="1616">
        <v>3245668</v>
      </c>
      <c r="AD202" s="1616">
        <v>3018528</v>
      </c>
      <c r="AE202" s="1616">
        <v>2421058</v>
      </c>
      <c r="AF202" s="1616">
        <v>1871318</v>
      </c>
      <c r="AG202" s="1616">
        <v>1716448</v>
      </c>
      <c r="AH202" s="1616">
        <v>11368318</v>
      </c>
      <c r="AI202" s="1616">
        <v>11189218</v>
      </c>
      <c r="AJ202" s="1616">
        <v>9190608</v>
      </c>
      <c r="AK202" s="1616">
        <v>8875818</v>
      </c>
      <c r="AL202" s="1616">
        <v>8724550</v>
      </c>
      <c r="AM202" s="1616">
        <v>17169730</v>
      </c>
      <c r="AN202" s="1616">
        <v>9394370</v>
      </c>
      <c r="AP202" s="498"/>
    </row>
    <row r="203" spans="1:42" ht="18" customHeight="1">
      <c r="A203" s="498"/>
      <c r="D203" s="1593">
        <v>215900</v>
      </c>
      <c r="E203" s="1086" t="s">
        <v>162</v>
      </c>
      <c r="F203" s="1671">
        <v>3402</v>
      </c>
      <c r="G203" s="1086" t="s">
        <v>176</v>
      </c>
      <c r="H203" s="498">
        <v>481684290</v>
      </c>
      <c r="I203" s="498">
        <v>0</v>
      </c>
      <c r="J203" s="710">
        <v>47946460</v>
      </c>
      <c r="K203" s="710">
        <v>11214525</v>
      </c>
      <c r="L203" s="510">
        <f t="shared" si="58"/>
        <v>540845275</v>
      </c>
      <c r="N203" s="1667">
        <f>-SUMIF('1.0'!$D:$D,T_BS!D203,'1.0'!$V:$V)</f>
        <v>0</v>
      </c>
      <c r="O203" s="710">
        <f>-SUMIF('2.0'!$D:$D,T_BS!D203,'2.0'!$V:$V)</f>
        <v>0</v>
      </c>
      <c r="P203" s="509">
        <f>-ROUND(SUMIF('3.0'!$D:$D,T_BS!D203,'3.0'!$H:$H),0)</f>
        <v>0</v>
      </c>
      <c r="Q203" s="720">
        <f>-ROUND(SUMIF('4.0'!$D:$D,T_BS!D203,'4.0'!$V:$V),0)</f>
        <v>0</v>
      </c>
      <c r="R203" s="509">
        <f>-ROUND(SUMIF('5.0'!$D:$D,T_BS!D203,'5.0'!$V:$V),0)</f>
        <v>0</v>
      </c>
      <c r="S203" s="720">
        <f>-ROUND(SUMIF('6.0'!$D:$D,T_BS!D203,'6.0'!$V:$V),0)</f>
        <v>0</v>
      </c>
      <c r="T203" s="720">
        <f>-ROUND(SUMIF('7.0'!$D:$D,T_BS!D203,'7.0'!$V:$V),0)</f>
        <v>0</v>
      </c>
      <c r="U203" s="720">
        <f>-ROUND(SUMIF('8.0'!$D:$D,T_BS!D203,'8.0'!$H:$H),0)</f>
        <v>0</v>
      </c>
      <c r="V203" s="510">
        <f t="shared" si="54"/>
        <v>0</v>
      </c>
      <c r="X203" s="1616">
        <f t="shared" si="59"/>
        <v>540845275</v>
      </c>
      <c r="Z203" s="1616">
        <f t="shared" si="60"/>
        <v>-48626849</v>
      </c>
      <c r="AB203" s="1616">
        <v>275858861</v>
      </c>
      <c r="AC203" s="1616">
        <v>425338468</v>
      </c>
      <c r="AD203" s="1616">
        <v>397650314</v>
      </c>
      <c r="AE203" s="1616">
        <v>504400168</v>
      </c>
      <c r="AF203" s="1616">
        <v>589242069</v>
      </c>
      <c r="AG203" s="1616">
        <v>686038024</v>
      </c>
      <c r="AH203" s="1616">
        <v>360438188</v>
      </c>
      <c r="AI203" s="1616">
        <v>589472124</v>
      </c>
      <c r="AJ203" s="1616">
        <v>328788542</v>
      </c>
      <c r="AK203" s="1616">
        <v>492588474</v>
      </c>
      <c r="AL203" s="1616">
        <v>759289804</v>
      </c>
      <c r="AM203" s="1616">
        <v>640587151</v>
      </c>
      <c r="AN203" s="1616">
        <v>948604126</v>
      </c>
      <c r="AP203" s="498"/>
    </row>
    <row r="204" spans="1:42" ht="18" customHeight="1">
      <c r="A204" s="498"/>
      <c r="D204" s="1593">
        <v>215700</v>
      </c>
      <c r="E204" s="1086" t="s">
        <v>162</v>
      </c>
      <c r="F204" s="1671">
        <v>3402</v>
      </c>
      <c r="G204" s="1086" t="s">
        <v>177</v>
      </c>
      <c r="H204" s="498">
        <v>0</v>
      </c>
      <c r="I204" s="498">
        <v>0</v>
      </c>
      <c r="J204" s="710">
        <v>0</v>
      </c>
      <c r="K204" s="710">
        <v>0</v>
      </c>
      <c r="L204" s="510">
        <f t="shared" si="58"/>
        <v>0</v>
      </c>
      <c r="N204" s="1667">
        <f>-SUMIF('1.0'!$D:$D,T_BS!D204,'1.0'!$V:$V)</f>
        <v>0</v>
      </c>
      <c r="O204" s="710">
        <f>-SUMIF('2.0'!$D:$D,T_BS!D204,'2.0'!$V:$V)</f>
        <v>0</v>
      </c>
      <c r="P204" s="509">
        <f>-ROUND(SUMIF('3.0'!$D:$D,T_BS!D204,'3.0'!$H:$H),0)</f>
        <v>0</v>
      </c>
      <c r="Q204" s="720">
        <f>-ROUND(SUMIF('4.0'!$D:$D,T_BS!D204,'4.0'!$V:$V),0)</f>
        <v>0</v>
      </c>
      <c r="R204" s="509">
        <f>-ROUND(SUMIF('5.0'!$D:$D,T_BS!D204,'5.0'!$V:$V),0)</f>
        <v>0</v>
      </c>
      <c r="S204" s="720">
        <f>-ROUND(SUMIF('6.0'!$D:$D,T_BS!D204,'6.0'!$V:$V),0)</f>
        <v>0</v>
      </c>
      <c r="T204" s="720">
        <f>-ROUND(SUMIF('7.0'!$D:$D,T_BS!D204,'7.0'!$V:$V),0)</f>
        <v>0</v>
      </c>
      <c r="U204" s="720">
        <f>-ROUND(SUMIF('8.0'!$D:$D,T_BS!D204,'8.0'!$H:$H),0)</f>
        <v>0</v>
      </c>
      <c r="V204" s="510">
        <f t="shared" si="54"/>
        <v>0</v>
      </c>
      <c r="X204" s="1616">
        <f t="shared" si="59"/>
        <v>0</v>
      </c>
      <c r="Z204" s="1616">
        <f t="shared" si="60"/>
        <v>0</v>
      </c>
      <c r="AB204" s="1616">
        <v>0</v>
      </c>
      <c r="AC204" s="1616">
        <v>0</v>
      </c>
      <c r="AD204" s="1616">
        <v>0</v>
      </c>
      <c r="AE204" s="1616">
        <v>0</v>
      </c>
      <c r="AF204" s="1616">
        <v>0</v>
      </c>
      <c r="AG204" s="1616">
        <v>0</v>
      </c>
      <c r="AH204" s="1616">
        <v>0</v>
      </c>
      <c r="AI204" s="1616">
        <v>0</v>
      </c>
      <c r="AJ204" s="1616">
        <v>0</v>
      </c>
      <c r="AK204" s="1616">
        <v>0</v>
      </c>
      <c r="AL204" s="1616">
        <v>0</v>
      </c>
      <c r="AM204" s="1616">
        <v>0</v>
      </c>
      <c r="AN204" s="1616">
        <v>0</v>
      </c>
      <c r="AP204" s="498"/>
    </row>
    <row r="205" spans="1:42" ht="18" customHeight="1">
      <c r="A205" s="498"/>
      <c r="D205" s="1633">
        <v>215800</v>
      </c>
      <c r="E205" s="1501" t="s">
        <v>162</v>
      </c>
      <c r="F205" s="1634">
        <v>3402</v>
      </c>
      <c r="G205" s="1501" t="s">
        <v>178</v>
      </c>
      <c r="H205" s="498">
        <v>0</v>
      </c>
      <c r="I205" s="498">
        <v>0</v>
      </c>
      <c r="J205" s="710">
        <v>0</v>
      </c>
      <c r="K205" s="710">
        <v>0</v>
      </c>
      <c r="L205" s="510">
        <f t="shared" si="58"/>
        <v>0</v>
      </c>
      <c r="N205" s="1667">
        <f>-SUMIF('1.0'!$D:$D,T_BS!D205,'1.0'!$V:$V)</f>
        <v>0</v>
      </c>
      <c r="O205" s="710">
        <f>-SUMIF('2.0'!$D:$D,T_BS!D205,'2.0'!$V:$V)</f>
        <v>0</v>
      </c>
      <c r="P205" s="509">
        <f>-ROUND(SUMIF('3.0'!$D:$D,T_BS!D205,'3.0'!$H:$H),0)</f>
        <v>0</v>
      </c>
      <c r="Q205" s="720">
        <f>-ROUND(SUMIF('4.0'!$D:$D,T_BS!D205,'4.0'!$V:$V),0)</f>
        <v>0</v>
      </c>
      <c r="R205" s="509">
        <f>-ROUND(SUMIF('5.0'!$D:$D,T_BS!D205,'5.0'!$V:$V),0)</f>
        <v>0</v>
      </c>
      <c r="S205" s="720">
        <f>-ROUND(SUMIF('6.0'!$D:$D,T_BS!D205,'6.0'!$V:$V),0)</f>
        <v>0</v>
      </c>
      <c r="T205" s="720">
        <f>-ROUND(SUMIF('7.0'!$D:$D,T_BS!D205,'7.0'!$V:$V),0)</f>
        <v>0</v>
      </c>
      <c r="U205" s="720">
        <f>-ROUND(SUMIF('8.0'!$D:$D,T_BS!D205,'8.0'!$H:$H),0)</f>
        <v>0</v>
      </c>
      <c r="V205" s="510">
        <f t="shared" si="54"/>
        <v>0</v>
      </c>
      <c r="X205" s="1616">
        <f t="shared" si="59"/>
        <v>0</v>
      </c>
      <c r="Z205" s="1616">
        <f t="shared" si="60"/>
        <v>0</v>
      </c>
      <c r="AB205" s="1616">
        <v>0</v>
      </c>
      <c r="AC205" s="1616">
        <v>0</v>
      </c>
      <c r="AD205" s="1616">
        <v>0</v>
      </c>
      <c r="AE205" s="1616">
        <v>0</v>
      </c>
      <c r="AF205" s="1616">
        <v>0</v>
      </c>
      <c r="AG205" s="1616">
        <v>0</v>
      </c>
      <c r="AH205" s="1616">
        <v>0</v>
      </c>
      <c r="AI205" s="1616">
        <v>0</v>
      </c>
      <c r="AJ205" s="1616">
        <v>0</v>
      </c>
      <c r="AK205" s="1616">
        <v>-8500</v>
      </c>
      <c r="AL205" s="1616">
        <v>0</v>
      </c>
      <c r="AM205" s="1616">
        <v>0</v>
      </c>
      <c r="AN205" s="1616">
        <v>0</v>
      </c>
      <c r="AP205" s="498"/>
    </row>
    <row r="206" spans="1:42" ht="18" customHeight="1">
      <c r="A206" s="498"/>
      <c r="D206" s="1633">
        <v>219000</v>
      </c>
      <c r="E206" s="1271" t="s">
        <v>162</v>
      </c>
      <c r="F206" s="1634">
        <v>219000</v>
      </c>
      <c r="G206" s="1271" t="s">
        <v>179</v>
      </c>
      <c r="H206" s="498">
        <v>892489130</v>
      </c>
      <c r="I206" s="498">
        <v>16589357</v>
      </c>
      <c r="J206" s="710">
        <v>-46940667</v>
      </c>
      <c r="K206" s="710">
        <v>1687865542</v>
      </c>
      <c r="L206" s="510">
        <f t="shared" si="58"/>
        <v>2550003362</v>
      </c>
      <c r="N206" s="1667">
        <f>-SUMIF('1.0'!$D:$D,T_BS!D206,'1.0'!$V:$V)</f>
        <v>0</v>
      </c>
      <c r="O206" s="710">
        <f>-SUMIF('2.0'!$D:$D,T_BS!D206,'2.0'!$V:$V)</f>
        <v>0</v>
      </c>
      <c r="P206" s="509">
        <f>-ROUND(SUMIF('3.0'!$D:$D,T_BS!D206,'3.0'!$H:$H),0)</f>
        <v>0</v>
      </c>
      <c r="Q206" s="720">
        <f>-ROUND(SUMIF('4.0'!$D:$D,T_BS!D206,'4.0'!$V:$V),0)</f>
        <v>0</v>
      </c>
      <c r="R206" s="509">
        <f>-ROUND(SUMIF('5.0'!$D:$D,T_BS!D206,'5.0'!$V:$V),0)</f>
        <v>0</v>
      </c>
      <c r="S206" s="720">
        <f>-ROUND(SUMIF('6.0'!$D:$D,T_BS!D206,'6.0'!$V:$V),0)</f>
        <v>-1512524639</v>
      </c>
      <c r="T206" s="720">
        <f>-ROUND(SUMIF('7.0'!$D:$D,T_BS!D206,'7.0'!$V:$V),0)</f>
        <v>0</v>
      </c>
      <c r="U206" s="720">
        <f>-ROUND(SUMIF('8.0'!$D:$D,T_BS!D206,'8.0'!$H:$H),0)</f>
        <v>0</v>
      </c>
      <c r="V206" s="510">
        <f t="shared" si="54"/>
        <v>-1512524639</v>
      </c>
      <c r="X206" s="1616">
        <f t="shared" si="59"/>
        <v>1037478723</v>
      </c>
      <c r="Z206" s="1616">
        <f t="shared" si="60"/>
        <v>-1098432764</v>
      </c>
      <c r="AB206" s="1616">
        <v>809092365</v>
      </c>
      <c r="AC206" s="1616">
        <v>909727738</v>
      </c>
      <c r="AD206" s="1616">
        <v>876907416</v>
      </c>
      <c r="AE206" s="1616">
        <v>850978560</v>
      </c>
      <c r="AF206" s="1616">
        <v>129197460</v>
      </c>
      <c r="AG206" s="1616">
        <v>1909104181</v>
      </c>
      <c r="AH206" s="1616">
        <v>1437541910</v>
      </c>
      <c r="AI206" s="1616">
        <v>2135911487</v>
      </c>
      <c r="AJ206" s="1616">
        <v>997197575</v>
      </c>
      <c r="AK206" s="1616">
        <v>982278440</v>
      </c>
      <c r="AL206" s="1616">
        <v>1398858058</v>
      </c>
      <c r="AM206" s="1616">
        <v>532417666</v>
      </c>
      <c r="AN206" s="1616">
        <v>1883642907</v>
      </c>
      <c r="AP206" s="498"/>
    </row>
    <row r="207" spans="1:42" ht="18" customHeight="1">
      <c r="A207" s="498"/>
      <c r="D207" s="1633">
        <v>220000</v>
      </c>
      <c r="E207" s="1271" t="s">
        <v>162</v>
      </c>
      <c r="F207" s="1674">
        <v>3402</v>
      </c>
      <c r="G207" s="1271" t="s">
        <v>1855</v>
      </c>
      <c r="H207" s="498">
        <v>0</v>
      </c>
      <c r="I207" s="498">
        <v>0</v>
      </c>
      <c r="J207" s="710">
        <v>0</v>
      </c>
      <c r="K207" s="710">
        <v>55904</v>
      </c>
      <c r="L207" s="510">
        <f t="shared" si="58"/>
        <v>55904</v>
      </c>
      <c r="N207" s="1667">
        <f>-SUMIF('1.0'!$D:$D,T_BS!D207,'1.0'!$V:$V)</f>
        <v>0</v>
      </c>
      <c r="O207" s="710">
        <f>-SUMIF('2.0'!$D:$D,T_BS!D207,'2.0'!$V:$V)</f>
        <v>0</v>
      </c>
      <c r="P207" s="509">
        <f>-ROUND(SUMIF('3.0'!$D:$D,T_BS!D207,'3.0'!$H:$H),0)</f>
        <v>0</v>
      </c>
      <c r="Q207" s="720">
        <f>-ROUND(SUMIF('4.0'!$D:$D,T_BS!D207,'4.0'!$V:$V),0)</f>
        <v>0</v>
      </c>
      <c r="R207" s="509">
        <f>-ROUND(SUMIF('5.0'!$D:$D,T_BS!D207,'5.0'!$V:$V),0)</f>
        <v>0</v>
      </c>
      <c r="S207" s="720">
        <f>-ROUND(SUMIF('6.0'!$D:$D,T_BS!D207,'6.0'!$V:$V),0)</f>
        <v>0</v>
      </c>
      <c r="T207" s="720">
        <f>-ROUND(SUMIF('7.0'!$D:$D,T_BS!D207,'7.0'!$V:$V),0)</f>
        <v>0</v>
      </c>
      <c r="U207" s="720">
        <f>-ROUND(SUMIF('8.0'!$D:$D,T_BS!D207,'8.0'!$H:$H),0)</f>
        <v>0</v>
      </c>
      <c r="V207" s="510">
        <f>SUM(N207:U207)</f>
        <v>0</v>
      </c>
      <c r="X207" s="1616">
        <f t="shared" si="59"/>
        <v>55904</v>
      </c>
      <c r="Z207" s="1616">
        <f t="shared" si="60"/>
        <v>55904</v>
      </c>
      <c r="AB207" s="1616">
        <v>56277</v>
      </c>
      <c r="AC207" s="1616">
        <v>0</v>
      </c>
      <c r="AD207" s="1616">
        <v>58254</v>
      </c>
      <c r="AE207" s="1616">
        <v>56929</v>
      </c>
      <c r="AF207" s="1616">
        <v>56922</v>
      </c>
      <c r="AG207" s="1616">
        <v>55509</v>
      </c>
      <c r="AH207" s="1616">
        <v>58224</v>
      </c>
      <c r="AI207" s="1616">
        <v>0</v>
      </c>
      <c r="AJ207" s="1616">
        <v>644781</v>
      </c>
      <c r="AK207" s="1616">
        <v>661363</v>
      </c>
      <c r="AL207" s="1616">
        <v>284437</v>
      </c>
      <c r="AM207" s="1616">
        <v>3028468</v>
      </c>
      <c r="AN207" s="1616">
        <v>1156001</v>
      </c>
      <c r="AP207" s="498"/>
    </row>
    <row r="208" spans="1:42" ht="18" customHeight="1">
      <c r="A208" s="498"/>
      <c r="D208" s="1633">
        <v>223100</v>
      </c>
      <c r="E208" s="1271" t="s">
        <v>162</v>
      </c>
      <c r="F208" s="1674">
        <v>3404</v>
      </c>
      <c r="G208" s="1271" t="s">
        <v>180</v>
      </c>
      <c r="H208" s="498">
        <v>519301300</v>
      </c>
      <c r="I208" s="498">
        <v>0</v>
      </c>
      <c r="J208" s="710">
        <v>0</v>
      </c>
      <c r="K208" s="710">
        <v>0</v>
      </c>
      <c r="L208" s="510">
        <f t="shared" si="58"/>
        <v>519301300</v>
      </c>
      <c r="N208" s="1667">
        <f>-SUMIF('1.0'!$D:$D,T_BS!D208,'1.0'!$V:$V)</f>
        <v>0</v>
      </c>
      <c r="O208" s="710">
        <f>-SUMIF('2.0'!$D:$D,T_BS!D208,'2.0'!$V:$V)</f>
        <v>0</v>
      </c>
      <c r="P208" s="509">
        <f>-ROUND(SUMIF('3.0'!$D:$D,T_BS!D208,'3.0'!$H:$H),0)</f>
        <v>0</v>
      </c>
      <c r="Q208" s="720">
        <f>-ROUND(SUMIF('4.0'!$D:$D,T_BS!D208,'4.0'!$V:$V),0)</f>
        <v>0</v>
      </c>
      <c r="R208" s="509">
        <f>-ROUND(SUMIF('5.0'!$D:$D,T_BS!D208,'5.0'!$V:$V),0)</f>
        <v>0</v>
      </c>
      <c r="S208" s="720">
        <f>-ROUND(SUMIF('6.0'!$D:$D,T_BS!D208,'6.0'!$V:$V),0)</f>
        <v>0</v>
      </c>
      <c r="T208" s="720">
        <f>-ROUND(SUMIF('7.0'!$D:$D,T_BS!D208,'7.0'!$V:$V),0)</f>
        <v>0</v>
      </c>
      <c r="U208" s="720">
        <f>-ROUND(SUMIF('8.0'!$D:$D,T_BS!D208,'8.0'!$H:$H),0)</f>
        <v>0</v>
      </c>
      <c r="V208" s="510">
        <f t="shared" si="54"/>
        <v>0</v>
      </c>
      <c r="X208" s="1616">
        <f t="shared" si="59"/>
        <v>519301300</v>
      </c>
      <c r="Z208" s="1616">
        <f t="shared" si="60"/>
        <v>189710406</v>
      </c>
      <c r="AB208" s="1616">
        <v>399893521</v>
      </c>
      <c r="AC208" s="1616">
        <v>399893521</v>
      </c>
      <c r="AD208" s="1616">
        <v>399893521</v>
      </c>
      <c r="AE208" s="1616">
        <v>399893521</v>
      </c>
      <c r="AF208" s="1616">
        <v>399893521</v>
      </c>
      <c r="AG208" s="1616">
        <v>399893521</v>
      </c>
      <c r="AH208" s="1616">
        <v>329590894</v>
      </c>
      <c r="AI208" s="1616">
        <v>329590894</v>
      </c>
      <c r="AJ208" s="1616">
        <v>287995683</v>
      </c>
      <c r="AK208" s="1616">
        <v>287995683</v>
      </c>
      <c r="AL208" s="1616">
        <v>287995683</v>
      </c>
      <c r="AM208" s="1616">
        <v>327831696</v>
      </c>
      <c r="AN208" s="1616">
        <v>327831696</v>
      </c>
      <c r="AP208" s="498"/>
    </row>
    <row r="209" spans="1:42" s="1653" customFormat="1" ht="18" customHeight="1">
      <c r="A209" s="575"/>
      <c r="B209" s="1086"/>
      <c r="C209" s="1086"/>
      <c r="D209" s="1675">
        <v>223120</v>
      </c>
      <c r="E209" s="1271" t="s">
        <v>162</v>
      </c>
      <c r="F209" s="1674">
        <v>3405</v>
      </c>
      <c r="G209" s="1271" t="s">
        <v>2366</v>
      </c>
      <c r="H209" s="498">
        <v>0</v>
      </c>
      <c r="I209" s="498">
        <v>0</v>
      </c>
      <c r="J209" s="710">
        <v>0</v>
      </c>
      <c r="K209" s="710">
        <v>0</v>
      </c>
      <c r="L209" s="1640">
        <f t="shared" si="58"/>
        <v>0</v>
      </c>
      <c r="N209" s="1636">
        <f>-SUMIF('1.0'!$D:$D,T_BS!D209,'1.0'!$V:$V)</f>
        <v>0</v>
      </c>
      <c r="O209" s="925">
        <f>-SUMIF('2.0'!$D:$D,T_BS!D209,'2.0'!$V:$V)</f>
        <v>0</v>
      </c>
      <c r="P209" s="925">
        <f>-ROUND(SUMIF('3.0'!$D:$D,T_BS!D209,'3.0'!$H:$H),0)</f>
        <v>0</v>
      </c>
      <c r="Q209" s="1115">
        <f>-ROUND(SUMIF('4.0'!$D:$D,T_BS!D209,'4.0'!$V:$V),0)</f>
        <v>0</v>
      </c>
      <c r="R209" s="925">
        <f>-ROUND(SUMIF('5.0'!$D:$D,T_BS!D209,'5.0'!$V:$V),0)</f>
        <v>0</v>
      </c>
      <c r="S209" s="1115">
        <f>-ROUND(SUMIF('6.0'!$D:$D,T_BS!D209,'6.0'!$V:$V),0)</f>
        <v>0</v>
      </c>
      <c r="T209" s="1115">
        <f>-ROUND(SUMIF('7.0'!$D:$D,T_BS!D209,'7.0'!$V:$V),0)</f>
        <v>0</v>
      </c>
      <c r="U209" s="1115">
        <f>-ROUND(SUMIF('8.0'!$D:$D,T_BS!D209,'8.0'!$H:$H),0)</f>
        <v>0</v>
      </c>
      <c r="V209" s="1640">
        <f>SUM(N209:U209)</f>
        <v>0</v>
      </c>
      <c r="X209" s="1641">
        <f t="shared" si="59"/>
        <v>0</v>
      </c>
      <c r="Z209" s="1616">
        <f t="shared" si="60"/>
        <v>-59468222</v>
      </c>
      <c r="AB209" s="1641">
        <v>0</v>
      </c>
      <c r="AC209" s="1641">
        <v>0</v>
      </c>
      <c r="AD209" s="1641">
        <v>0</v>
      </c>
      <c r="AE209" s="1641">
        <v>0</v>
      </c>
      <c r="AF209" s="1641">
        <v>0</v>
      </c>
      <c r="AG209" s="1641">
        <v>0</v>
      </c>
      <c r="AH209" s="1641">
        <v>60609656</v>
      </c>
      <c r="AI209" s="1641">
        <v>59468222</v>
      </c>
      <c r="AJ209" s="1641"/>
      <c r="AK209" s="1641">
        <v>0</v>
      </c>
      <c r="AL209" s="1641">
        <v>0</v>
      </c>
      <c r="AM209" s="1641">
        <v>0</v>
      </c>
      <c r="AN209" s="1641">
        <v>0</v>
      </c>
      <c r="AP209" s="498"/>
    </row>
    <row r="210" spans="1:42" ht="18" customHeight="1">
      <c r="A210" s="498"/>
      <c r="D210" s="1593">
        <v>223130</v>
      </c>
      <c r="E210" s="1086" t="s">
        <v>162</v>
      </c>
      <c r="F210" s="1671" t="s">
        <v>2286</v>
      </c>
      <c r="G210" s="1086" t="s">
        <v>2444</v>
      </c>
      <c r="H210" s="498">
        <v>78160334</v>
      </c>
      <c r="I210" s="498">
        <v>0</v>
      </c>
      <c r="J210" s="710">
        <v>0</v>
      </c>
      <c r="K210" s="710">
        <v>0</v>
      </c>
      <c r="L210" s="510">
        <f t="shared" si="58"/>
        <v>78160334</v>
      </c>
      <c r="N210" s="1667">
        <f>-SUMIF('1.0'!$D:$D,T_BS!D210,'1.0'!$V:$V)</f>
        <v>0</v>
      </c>
      <c r="O210" s="710">
        <f>-SUMIF('2.0'!$D:$D,T_BS!D210,'2.0'!$V:$V)</f>
        <v>0</v>
      </c>
      <c r="P210" s="509">
        <f>-ROUND(SUMIF('3.0'!$D:$D,T_BS!D210,'3.0'!$H:$H),0)</f>
        <v>0</v>
      </c>
      <c r="Q210" s="720">
        <f>-ROUND(SUMIF('4.0'!$D:$D,T_BS!D210,'4.0'!$V:$V),0)</f>
        <v>0</v>
      </c>
      <c r="R210" s="509">
        <f>-ROUND(SUMIF('5.0'!$D:$D,T_BS!D210,'5.0'!$V:$V),0)</f>
        <v>0</v>
      </c>
      <c r="S210" s="720">
        <f>-ROUND(SUMIF('6.0'!$D:$D,T_BS!D210,'6.0'!$V:$V),0)</f>
        <v>0</v>
      </c>
      <c r="T210" s="720">
        <f>-ROUND(SUMIF('7.0'!$D:$D,T_BS!D210,'7.0'!$V:$V),0)</f>
        <v>0</v>
      </c>
      <c r="U210" s="720">
        <f>-ROUND(SUMIF('8.0'!$D:$D,T_BS!D210,'8.0'!$H:$H),0)</f>
        <v>0</v>
      </c>
      <c r="V210" s="510">
        <f t="shared" si="54"/>
        <v>0</v>
      </c>
      <c r="X210" s="1616">
        <f t="shared" si="59"/>
        <v>78160334</v>
      </c>
      <c r="Z210" s="1616">
        <f t="shared" si="60"/>
        <v>-38330796</v>
      </c>
      <c r="AB210" s="1616">
        <v>80038925</v>
      </c>
      <c r="AC210" s="1616">
        <v>80038925</v>
      </c>
      <c r="AD210" s="1616">
        <v>80038925</v>
      </c>
      <c r="AE210" s="1616">
        <v>80038925</v>
      </c>
      <c r="AF210" s="1616">
        <v>80038925</v>
      </c>
      <c r="AG210" s="1616">
        <v>80038925</v>
      </c>
      <c r="AH210" s="1616">
        <v>116491130</v>
      </c>
      <c r="AI210" s="1616">
        <v>116491130</v>
      </c>
      <c r="AJ210" s="1616">
        <v>181012525</v>
      </c>
      <c r="AK210" s="1616">
        <v>181012525</v>
      </c>
      <c r="AL210" s="1616">
        <v>181012525</v>
      </c>
      <c r="AM210" s="1616">
        <v>139640731</v>
      </c>
      <c r="AN210" s="1616">
        <v>139640731</v>
      </c>
      <c r="AP210" s="498"/>
    </row>
    <row r="211" spans="1:42" ht="18" customHeight="1">
      <c r="A211" s="498"/>
      <c r="D211" s="1588"/>
      <c r="E211" s="1589"/>
      <c r="F211" s="1590"/>
      <c r="G211" s="1589" t="s">
        <v>182</v>
      </c>
      <c r="H211" s="520">
        <f>H212</f>
        <v>2858983983</v>
      </c>
      <c r="I211" s="506">
        <f>I212</f>
        <v>130675173</v>
      </c>
      <c r="J211" s="506">
        <f>J212</f>
        <v>13052277</v>
      </c>
      <c r="K211" s="506">
        <f>K212</f>
        <v>503444569</v>
      </c>
      <c r="L211" s="507">
        <f>L212</f>
        <v>3506156002</v>
      </c>
      <c r="N211" s="1631">
        <f t="shared" ref="N211:AM211" si="61">N212</f>
        <v>0</v>
      </c>
      <c r="O211" s="506">
        <f t="shared" si="61"/>
        <v>0</v>
      </c>
      <c r="P211" s="506">
        <f t="shared" si="61"/>
        <v>0</v>
      </c>
      <c r="Q211" s="506">
        <f t="shared" si="61"/>
        <v>0</v>
      </c>
      <c r="R211" s="506">
        <f t="shared" si="61"/>
        <v>0</v>
      </c>
      <c r="S211" s="506">
        <f t="shared" si="61"/>
        <v>0</v>
      </c>
      <c r="T211" s="506">
        <f t="shared" si="61"/>
        <v>0</v>
      </c>
      <c r="U211" s="506">
        <f t="shared" si="61"/>
        <v>0</v>
      </c>
      <c r="V211" s="507">
        <f t="shared" si="61"/>
        <v>0</v>
      </c>
      <c r="X211" s="1630">
        <f t="shared" si="61"/>
        <v>3506156002</v>
      </c>
      <c r="Z211" s="1630">
        <f t="shared" si="61"/>
        <v>706701644</v>
      </c>
      <c r="AB211" s="1630">
        <v>1844896623</v>
      </c>
      <c r="AC211" s="1630">
        <v>2069673958</v>
      </c>
      <c r="AD211" s="1630">
        <v>2326604146</v>
      </c>
      <c r="AE211" s="1630">
        <v>2526353367</v>
      </c>
      <c r="AF211" s="1630">
        <v>2722503208</v>
      </c>
      <c r="AG211" s="1630">
        <v>2903335308</v>
      </c>
      <c r="AH211" s="1630">
        <v>3115757946</v>
      </c>
      <c r="AI211" s="1630">
        <v>2799454358</v>
      </c>
      <c r="AJ211" s="1630">
        <v>2613170418</v>
      </c>
      <c r="AK211" s="1630">
        <v>2538232841</v>
      </c>
      <c r="AL211" s="1630">
        <v>2380747407</v>
      </c>
      <c r="AM211" s="1630">
        <f t="shared" si="61"/>
        <v>2184416827</v>
      </c>
      <c r="AN211" s="1630">
        <v>2631820890</v>
      </c>
      <c r="AP211" s="498"/>
    </row>
    <row r="212" spans="1:42" s="772" customFormat="1" ht="18" customHeight="1">
      <c r="A212" s="498"/>
      <c r="B212" s="1359"/>
      <c r="C212" s="1359"/>
      <c r="D212" s="1593">
        <v>223110</v>
      </c>
      <c r="E212" s="1359" t="s">
        <v>1644</v>
      </c>
      <c r="F212" s="1361">
        <v>3504</v>
      </c>
      <c r="G212" s="1359" t="s">
        <v>182</v>
      </c>
      <c r="H212" s="498">
        <v>2858983983</v>
      </c>
      <c r="I212" s="498">
        <v>130675173</v>
      </c>
      <c r="J212" s="710">
        <v>13052277</v>
      </c>
      <c r="K212" s="710">
        <v>503444569</v>
      </c>
      <c r="L212" s="510">
        <f>SUM(H212:K212)</f>
        <v>3506156002</v>
      </c>
      <c r="M212" s="1653"/>
      <c r="N212" s="1667">
        <f>-SUMIF('1.0'!$D:$D,T_BS!D212,'1.0'!$V:$V)</f>
        <v>0</v>
      </c>
      <c r="O212" s="710">
        <f>-SUMIF('2.0'!$D:$D,T_BS!D212,'2.0'!$V:$V)</f>
        <v>0</v>
      </c>
      <c r="P212" s="509">
        <f>-ROUND(SUMIF('3.0'!$D:$D,T_BS!D212,'3.0'!$H:$H),0)</f>
        <v>0</v>
      </c>
      <c r="Q212" s="720">
        <f>-ROUND(SUMIF('4.0'!$D:$D,T_BS!D212,'4.0'!$V:$V),0)</f>
        <v>0</v>
      </c>
      <c r="R212" s="509">
        <f>-ROUND(SUMIF('5.0'!$D:$D,T_BS!D212,'5.0'!$V:$V),0)</f>
        <v>0</v>
      </c>
      <c r="S212" s="720">
        <f>-ROUND(SUMIF('6.0'!$D:$D,T_BS!D212,'6.0'!$V:$V),0)</f>
        <v>0</v>
      </c>
      <c r="T212" s="720">
        <f>ROUND(SUMIF('7.0'!$D:$D,T_BS!D212,'7.0'!$V:$V),0)</f>
        <v>0</v>
      </c>
      <c r="U212" s="720">
        <f>-ROUND(SUMIF('8.0'!$D:$D,T_BS!D212,'8.0'!$H:$H),0)</f>
        <v>0</v>
      </c>
      <c r="V212" s="510">
        <f t="shared" si="54"/>
        <v>0</v>
      </c>
      <c r="W212" s="1653"/>
      <c r="X212" s="1616">
        <f>V212+L212</f>
        <v>3506156002</v>
      </c>
      <c r="Y212" s="1653"/>
      <c r="Z212" s="1616">
        <f>X212-AI212</f>
        <v>706701644</v>
      </c>
      <c r="AA212" s="1653"/>
      <c r="AB212" s="1616">
        <v>1844896623</v>
      </c>
      <c r="AC212" s="1616">
        <v>2069673958</v>
      </c>
      <c r="AD212" s="1616">
        <v>2326604146</v>
      </c>
      <c r="AE212" s="1616">
        <v>2526353367</v>
      </c>
      <c r="AF212" s="1616">
        <v>2722503208</v>
      </c>
      <c r="AG212" s="1616">
        <v>2903335308</v>
      </c>
      <c r="AH212" s="1616">
        <v>3115757946</v>
      </c>
      <c r="AI212" s="1616">
        <v>2799454358</v>
      </c>
      <c r="AJ212" s="1616">
        <v>2613170418</v>
      </c>
      <c r="AK212" s="1616">
        <v>2538232841</v>
      </c>
      <c r="AL212" s="1616">
        <v>2380747407</v>
      </c>
      <c r="AM212" s="1616">
        <v>2184416827</v>
      </c>
      <c r="AN212" s="1616">
        <v>2631820890</v>
      </c>
      <c r="AO212" s="770"/>
      <c r="AP212" s="498"/>
    </row>
    <row r="213" spans="1:42" ht="18" customHeight="1">
      <c r="A213" s="498"/>
      <c r="B213" s="1506"/>
      <c r="C213" s="1506"/>
      <c r="D213" s="1588"/>
      <c r="E213" s="1589"/>
      <c r="F213" s="1590"/>
      <c r="G213" s="1589" t="s">
        <v>218</v>
      </c>
      <c r="H213" s="520">
        <f>SUM(H214:H215)</f>
        <v>0</v>
      </c>
      <c r="I213" s="506">
        <f>SUM(I214:I215)</f>
        <v>0</v>
      </c>
      <c r="J213" s="506">
        <f>SUM(J214:J215)</f>
        <v>0</v>
      </c>
      <c r="K213" s="506">
        <f>SUM(K214:K215)</f>
        <v>0</v>
      </c>
      <c r="L213" s="507">
        <f>SUM(L214:L215)</f>
        <v>0</v>
      </c>
      <c r="M213" s="1676"/>
      <c r="N213" s="1631">
        <f t="shared" ref="N213:AM213" si="62">SUM(N214:N215)</f>
        <v>0</v>
      </c>
      <c r="O213" s="506">
        <f t="shared" si="62"/>
        <v>0</v>
      </c>
      <c r="P213" s="506">
        <f t="shared" si="62"/>
        <v>0</v>
      </c>
      <c r="Q213" s="506">
        <f t="shared" si="62"/>
        <v>0</v>
      </c>
      <c r="R213" s="506">
        <f t="shared" si="62"/>
        <v>0</v>
      </c>
      <c r="S213" s="506">
        <f t="shared" si="62"/>
        <v>0</v>
      </c>
      <c r="T213" s="506">
        <f t="shared" si="62"/>
        <v>0</v>
      </c>
      <c r="U213" s="506">
        <f t="shared" si="62"/>
        <v>0</v>
      </c>
      <c r="V213" s="507">
        <f t="shared" si="62"/>
        <v>0</v>
      </c>
      <c r="W213" s="1676"/>
      <c r="X213" s="1630">
        <f t="shared" si="62"/>
        <v>0</v>
      </c>
      <c r="Y213" s="1676"/>
      <c r="Z213" s="1630">
        <f t="shared" ref="Z213" si="63">SUM(Z214:Z215)</f>
        <v>-21631784</v>
      </c>
      <c r="AA213" s="1676"/>
      <c r="AB213" s="1630">
        <v>14611814</v>
      </c>
      <c r="AC213" s="1630">
        <v>17944904</v>
      </c>
      <c r="AD213" s="1630">
        <v>23519474</v>
      </c>
      <c r="AE213" s="1630">
        <v>29086579</v>
      </c>
      <c r="AF213" s="1630">
        <v>94055973</v>
      </c>
      <c r="AG213" s="1630">
        <v>111479624</v>
      </c>
      <c r="AH213" s="1630">
        <v>207122964</v>
      </c>
      <c r="AI213" s="1630">
        <v>21631784</v>
      </c>
      <c r="AJ213" s="1630">
        <v>273727836</v>
      </c>
      <c r="AK213" s="1630">
        <v>260328621</v>
      </c>
      <c r="AL213" s="1630">
        <v>227965965</v>
      </c>
      <c r="AM213" s="1630">
        <f t="shared" si="62"/>
        <v>113592092</v>
      </c>
      <c r="AN213" s="1630">
        <v>3057354</v>
      </c>
      <c r="AO213" s="772"/>
      <c r="AP213" s="498"/>
    </row>
    <row r="214" spans="1:42" ht="18" customHeight="1">
      <c r="A214" s="498"/>
      <c r="D214" s="1633">
        <v>221001</v>
      </c>
      <c r="E214" s="1359" t="s">
        <v>1645</v>
      </c>
      <c r="F214" s="1361">
        <v>3201</v>
      </c>
      <c r="G214" s="1359" t="s">
        <v>218</v>
      </c>
      <c r="H214" s="498">
        <v>0</v>
      </c>
      <c r="I214" s="498">
        <v>0</v>
      </c>
      <c r="J214" s="710">
        <v>0</v>
      </c>
      <c r="K214" s="710">
        <v>0</v>
      </c>
      <c r="L214" s="510">
        <f>SUM(H214:K214)</f>
        <v>0</v>
      </c>
      <c r="N214" s="1667">
        <f>-SUMIF('1.0'!$D:$D,T_BS!D214,'1.0'!$V:$V)</f>
        <v>0</v>
      </c>
      <c r="O214" s="710">
        <f>-SUMIF('2.0'!$D:$D,T_BS!D214,'2.0'!$V:$V)</f>
        <v>0</v>
      </c>
      <c r="P214" s="509">
        <f>-ROUND(SUMIF('3.0'!$D:$D,T_BS!D214,'3.0'!$H:$H),0)</f>
        <v>0</v>
      </c>
      <c r="Q214" s="720">
        <f>-ROUND(SUMIF('4.0'!$D:$D,T_BS!D214,'4.0'!$V:$V),0)</f>
        <v>0</v>
      </c>
      <c r="R214" s="509">
        <f>-ROUND(SUMIF('5.0'!$D:$D,T_BS!D214,'5.0'!$V:$V),0)</f>
        <v>0</v>
      </c>
      <c r="S214" s="720">
        <f>-ROUND(SUMIF('6.0'!$D:$D,T_BS!D214,'6.0'!$V:$V),0)</f>
        <v>0</v>
      </c>
      <c r="T214" s="720">
        <f>ROUND(SUMIF('7.0'!$D:$D,T_BS!D214,'7.0'!$V:$V),0)</f>
        <v>0</v>
      </c>
      <c r="U214" s="720">
        <f>-ROUND(SUMIF('8.0'!$D:$D,T_BS!D214,'8.0'!$H:$H),0)</f>
        <v>0</v>
      </c>
      <c r="V214" s="510">
        <f t="shared" si="54"/>
        <v>0</v>
      </c>
      <c r="X214" s="1616">
        <f>V214+L214</f>
        <v>0</v>
      </c>
      <c r="Z214" s="1616">
        <f>X214-AI214</f>
        <v>12825262</v>
      </c>
      <c r="AB214" s="1616">
        <v>0</v>
      </c>
      <c r="AC214" s="1616">
        <v>0</v>
      </c>
      <c r="AD214" s="1616">
        <v>0</v>
      </c>
      <c r="AE214" s="1616">
        <v>0</v>
      </c>
      <c r="AF214" s="1616">
        <v>64969394</v>
      </c>
      <c r="AG214" s="1616">
        <v>82393045</v>
      </c>
      <c r="AH214" s="1616">
        <v>140105207</v>
      </c>
      <c r="AI214" s="1616">
        <v>-12825262</v>
      </c>
      <c r="AJ214" s="1616">
        <v>199343747</v>
      </c>
      <c r="AK214" s="1616">
        <v>188370098</v>
      </c>
      <c r="AL214" s="1616">
        <v>190670077</v>
      </c>
      <c r="AM214" s="1616">
        <v>94960892</v>
      </c>
      <c r="AN214" s="1616">
        <v>3057354</v>
      </c>
      <c r="AO214" s="1677"/>
      <c r="AP214" s="498"/>
    </row>
    <row r="215" spans="1:42" ht="18" customHeight="1">
      <c r="A215" s="498"/>
      <c r="D215" s="1633">
        <v>221002</v>
      </c>
      <c r="E215" s="1359" t="s">
        <v>1645</v>
      </c>
      <c r="F215" s="1361">
        <v>3201</v>
      </c>
      <c r="G215" s="1359" t="s">
        <v>2056</v>
      </c>
      <c r="H215" s="498">
        <v>0</v>
      </c>
      <c r="I215" s="498">
        <v>0</v>
      </c>
      <c r="J215" s="710">
        <v>0</v>
      </c>
      <c r="K215" s="710">
        <v>0</v>
      </c>
      <c r="L215" s="510">
        <f>SUM(H215:K215)</f>
        <v>0</v>
      </c>
      <c r="N215" s="1667">
        <f>-SUMIF('1.0'!$D:$D,T_BS!D215,'1.0'!$V:$V)</f>
        <v>0</v>
      </c>
      <c r="O215" s="710">
        <f>-SUMIF('2.0'!$D:$D,T_BS!D215,'2.0'!$V:$V)</f>
        <v>0</v>
      </c>
      <c r="P215" s="509">
        <f>-ROUND(SUMIF('3.0'!$D:$D,T_BS!D215,'3.0'!$H:$H),0)</f>
        <v>0</v>
      </c>
      <c r="Q215" s="720">
        <f>-ROUND(SUMIF('4.0'!$D:$D,T_BS!D215,'4.0'!$V:$V),0)</f>
        <v>0</v>
      </c>
      <c r="R215" s="509">
        <f>-ROUND(SUMIF('5.0'!$D:$D,T_BS!D215,'5.0'!$V:$V),0)</f>
        <v>0</v>
      </c>
      <c r="S215" s="720">
        <f>-ROUND(SUMIF('6.0'!$D:$D,T_BS!D215,'6.0'!$V:$V),0)</f>
        <v>0</v>
      </c>
      <c r="T215" s="720">
        <f>ROUND(SUMIF('7.0'!$D:$D,T_BS!D215,'7.0'!$V:$V),0)</f>
        <v>0</v>
      </c>
      <c r="U215" s="720">
        <f>-ROUND(SUMIF('8.0'!$D:$D,T_BS!D215,'8.0'!$H:$H),0)</f>
        <v>0</v>
      </c>
      <c r="V215" s="510">
        <f>SUM(N215:U215)</f>
        <v>0</v>
      </c>
      <c r="X215" s="1616">
        <f>V215+L215</f>
        <v>0</v>
      </c>
      <c r="Z215" s="1616">
        <f>X215-AI215</f>
        <v>-34457046</v>
      </c>
      <c r="AB215" s="1616">
        <v>14611814</v>
      </c>
      <c r="AC215" s="1616">
        <v>17944904</v>
      </c>
      <c r="AD215" s="1616">
        <v>23519474</v>
      </c>
      <c r="AE215" s="1616">
        <v>29086579</v>
      </c>
      <c r="AF215" s="1616">
        <v>29086579</v>
      </c>
      <c r="AG215" s="1616">
        <v>29086579</v>
      </c>
      <c r="AH215" s="1616">
        <v>67017757</v>
      </c>
      <c r="AI215" s="1616">
        <v>34457046</v>
      </c>
      <c r="AJ215" s="1616">
        <v>74384089</v>
      </c>
      <c r="AK215" s="1616">
        <v>71958523</v>
      </c>
      <c r="AL215" s="1616">
        <v>37295888</v>
      </c>
      <c r="AM215" s="1616">
        <v>18631200</v>
      </c>
      <c r="AN215" s="1616">
        <v>0</v>
      </c>
      <c r="AP215" s="498"/>
    </row>
    <row r="216" spans="1:42" ht="18" customHeight="1">
      <c r="A216" s="498"/>
      <c r="D216" s="1583"/>
      <c r="E216" s="1584"/>
      <c r="F216" s="1585"/>
      <c r="G216" s="1584" t="s">
        <v>183</v>
      </c>
      <c r="H216" s="1619">
        <f>SUM(H217,H220,H222)+H224+H226</f>
        <v>3816654058</v>
      </c>
      <c r="I216" s="503">
        <f>SUM(I217,I220,I222)+I224+I226</f>
        <v>0</v>
      </c>
      <c r="J216" s="503">
        <f>SUM(J217,J220,J222)+J224+J226</f>
        <v>28123369</v>
      </c>
      <c r="K216" s="503">
        <f>SUM(K217,K220,K222)+K224+K226</f>
        <v>92153109</v>
      </c>
      <c r="L216" s="504">
        <f>SUM(L217,L220,L222)+L224+L226</f>
        <v>3936930536</v>
      </c>
      <c r="N216" s="1623">
        <f>SUM(N217,N220,N222)+N224</f>
        <v>0</v>
      </c>
      <c r="O216" s="503">
        <f>SUM(O217,O220,O222)+O224</f>
        <v>0</v>
      </c>
      <c r="P216" s="503">
        <f>SUM(P217,P220,P222)+P224</f>
        <v>0</v>
      </c>
      <c r="Q216" s="503">
        <f>SUM(Q217,Q220,Q222)+Q224</f>
        <v>0</v>
      </c>
      <c r="R216" s="503">
        <f>SUM(R217,R220,R222)+R224+R226</f>
        <v>0</v>
      </c>
      <c r="S216" s="503">
        <f>SUM(S217,S220,S222)+S224+S226</f>
        <v>0</v>
      </c>
      <c r="T216" s="503">
        <f>SUM(T217,T220,T222)+T224+T226</f>
        <v>0</v>
      </c>
      <c r="U216" s="503">
        <f>SUM(U217,U220,U222)+U224+U226</f>
        <v>0</v>
      </c>
      <c r="V216" s="504">
        <f>SUM(V217,V220,V222)+V224+V226</f>
        <v>0</v>
      </c>
      <c r="X216" s="1622">
        <f>SUM(X217,X220,X222)+X224+X226</f>
        <v>3936930536</v>
      </c>
      <c r="Z216" s="1622">
        <f>SUM(Z217,Z220,Z222)+Z224+Z226</f>
        <v>1470253616</v>
      </c>
      <c r="AB216" s="1622">
        <v>2380143031</v>
      </c>
      <c r="AC216" s="1622">
        <v>2045643577</v>
      </c>
      <c r="AD216" s="1622">
        <v>2200572894</v>
      </c>
      <c r="AE216" s="1622">
        <v>2200863446</v>
      </c>
      <c r="AF216" s="1622">
        <v>2135477410</v>
      </c>
      <c r="AG216" s="1622">
        <v>1975880051</v>
      </c>
      <c r="AH216" s="1622">
        <v>2163366421</v>
      </c>
      <c r="AI216" s="1622">
        <v>2466676920</v>
      </c>
      <c r="AJ216" s="1622">
        <v>3794476787</v>
      </c>
      <c r="AK216" s="1622">
        <v>3857537637</v>
      </c>
      <c r="AL216" s="1622">
        <v>3556301985</v>
      </c>
      <c r="AM216" s="1622">
        <f>SUM(AM217,AM220,AM222)+AM224+AM226</f>
        <v>3958795250</v>
      </c>
      <c r="AN216" s="1622">
        <v>3879577855</v>
      </c>
      <c r="AP216" s="498"/>
    </row>
    <row r="217" spans="1:42" ht="18" customHeight="1">
      <c r="A217" s="498"/>
      <c r="D217" s="1588"/>
      <c r="E217" s="1589"/>
      <c r="F217" s="1590"/>
      <c r="G217" s="1589" t="s">
        <v>184</v>
      </c>
      <c r="H217" s="520">
        <f>SUM(H218:H219)</f>
        <v>0</v>
      </c>
      <c r="I217" s="506">
        <f>SUM(I218:I219)</f>
        <v>0</v>
      </c>
      <c r="J217" s="506">
        <f>SUM(J218:J219)</f>
        <v>0</v>
      </c>
      <c r="K217" s="506">
        <f>SUM(K218:K219)</f>
        <v>92153109</v>
      </c>
      <c r="L217" s="507">
        <f>SUM(L218:L219)</f>
        <v>92153109</v>
      </c>
      <c r="N217" s="1631">
        <f t="shared" ref="N217:S217" si="64">SUM(N218:N219)</f>
        <v>0</v>
      </c>
      <c r="O217" s="506">
        <f t="shared" si="64"/>
        <v>0</v>
      </c>
      <c r="P217" s="506">
        <f t="shared" si="64"/>
        <v>0</v>
      </c>
      <c r="Q217" s="506">
        <f t="shared" si="64"/>
        <v>0</v>
      </c>
      <c r="R217" s="506">
        <f t="shared" si="64"/>
        <v>0</v>
      </c>
      <c r="S217" s="506">
        <f t="shared" si="64"/>
        <v>0</v>
      </c>
      <c r="T217" s="506">
        <f>SUM(T218:T219)</f>
        <v>0</v>
      </c>
      <c r="U217" s="506">
        <f>SUM(U218:U219)</f>
        <v>0</v>
      </c>
      <c r="V217" s="507">
        <f>SUM(V218:V219)</f>
        <v>0</v>
      </c>
      <c r="X217" s="1630">
        <f>SUM(X218:X219)</f>
        <v>92153109</v>
      </c>
      <c r="Z217" s="1630">
        <f>SUM(Z218:Z219)</f>
        <v>-336840117</v>
      </c>
      <c r="AB217" s="1630">
        <v>939295270</v>
      </c>
      <c r="AC217" s="1630">
        <v>765253899</v>
      </c>
      <c r="AD217" s="1630">
        <v>569767300</v>
      </c>
      <c r="AE217" s="1630">
        <v>507599669</v>
      </c>
      <c r="AF217" s="1630">
        <v>351979107</v>
      </c>
      <c r="AG217" s="1630">
        <v>136673804</v>
      </c>
      <c r="AH217" s="1630">
        <v>859499651</v>
      </c>
      <c r="AI217" s="1630">
        <v>428993226</v>
      </c>
      <c r="AJ217" s="1630">
        <v>1837897422</v>
      </c>
      <c r="AK217" s="1630">
        <v>1691898770</v>
      </c>
      <c r="AL217" s="1630">
        <v>1571865645</v>
      </c>
      <c r="AM217" s="1630">
        <f>SUM(AM218:AM219)</f>
        <v>1375546393</v>
      </c>
      <c r="AN217" s="1630">
        <v>822730454</v>
      </c>
      <c r="AP217" s="498"/>
    </row>
    <row r="218" spans="1:42" ht="18" customHeight="1">
      <c r="A218" s="498"/>
      <c r="D218" s="2067">
        <v>230700</v>
      </c>
      <c r="E218" s="2068" t="s">
        <v>2919</v>
      </c>
      <c r="F218" s="2069">
        <v>4201</v>
      </c>
      <c r="G218" s="2068" t="s">
        <v>185</v>
      </c>
      <c r="H218" s="2061">
        <v>0</v>
      </c>
      <c r="I218" s="2061">
        <v>0</v>
      </c>
      <c r="J218" s="2062">
        <v>0</v>
      </c>
      <c r="K218" s="2062">
        <v>92153109</v>
      </c>
      <c r="L218" s="2063">
        <f>SUM(H218:K218)</f>
        <v>92153109</v>
      </c>
      <c r="N218" s="2064">
        <f>-SUMIF('1.0'!$D:$D,T_BS!D218,'1.0'!$V:$V)</f>
        <v>0</v>
      </c>
      <c r="O218" s="2062">
        <f>-SUMIF('2.0'!$D:$D,T_BS!D218,'2.0'!$V:$V)</f>
        <v>0</v>
      </c>
      <c r="P218" s="2062">
        <f>-ROUND(SUMIF('3.0'!$D:$D,T_BS!D218,'3.0'!$H:$H),0)</f>
        <v>0</v>
      </c>
      <c r="Q218" s="2065">
        <f>-ROUND(SUMIF('4.0'!$D:$D,T_BS!D218,'4.0'!$V:$V),0)</f>
        <v>0</v>
      </c>
      <c r="R218" s="2062">
        <f>-ROUND(SUMIF('5.0'!$D:$D,T_BS!D218,'5.0'!$V:$V),0)</f>
        <v>0</v>
      </c>
      <c r="S218" s="2065">
        <f>-ROUND(SUMIF('6.0'!$D:$D,T_BS!D218,'6.0'!$V:$V),0)</f>
        <v>0</v>
      </c>
      <c r="T218" s="2065">
        <f>ROUND(SUMIF('7.0'!$D:$D,T_BS!D218,'7.0'!$V:$V),0)</f>
        <v>0</v>
      </c>
      <c r="U218" s="2065">
        <f>-ROUND(SUMIF('8.0'!$D:$D,T_BS!D218,'8.0'!$H:$H),0)</f>
        <v>0</v>
      </c>
      <c r="V218" s="2063">
        <f>SUM(N218:U218)</f>
        <v>0</v>
      </c>
      <c r="X218" s="2066">
        <f>V218+L218</f>
        <v>92153109</v>
      </c>
      <c r="Z218" s="2066">
        <f>X218-AI218</f>
        <v>-7752613241</v>
      </c>
      <c r="AB218" s="2066">
        <v>7495777215</v>
      </c>
      <c r="AC218" s="2066">
        <v>7370925292</v>
      </c>
      <c r="AD218" s="2066">
        <v>7278690408</v>
      </c>
      <c r="AE218" s="2066">
        <v>7269810001</v>
      </c>
      <c r="AF218" s="2066">
        <v>7141517740</v>
      </c>
      <c r="AG218" s="2066">
        <v>6975916721</v>
      </c>
      <c r="AH218" s="2066">
        <v>8109196179</v>
      </c>
      <c r="AI218" s="2066">
        <v>7844766350</v>
      </c>
      <c r="AJ218" s="2066">
        <v>7233805418</v>
      </c>
      <c r="AK218" s="2066">
        <v>7171397658</v>
      </c>
      <c r="AL218" s="2066">
        <v>7089626051</v>
      </c>
      <c r="AM218" s="2066">
        <v>7058584033</v>
      </c>
      <c r="AN218" s="2066">
        <v>6731667294</v>
      </c>
      <c r="AP218" s="498"/>
    </row>
    <row r="219" spans="1:42" ht="18" customHeight="1">
      <c r="A219" s="498"/>
      <c r="D219" s="2067">
        <v>122110</v>
      </c>
      <c r="E219" s="2068" t="s">
        <v>2919</v>
      </c>
      <c r="F219" s="2069">
        <v>4202</v>
      </c>
      <c r="G219" s="2068" t="s">
        <v>186</v>
      </c>
      <c r="H219" s="2061">
        <v>0</v>
      </c>
      <c r="I219" s="2061">
        <v>0</v>
      </c>
      <c r="J219" s="2062">
        <v>0</v>
      </c>
      <c r="K219" s="2062">
        <v>0</v>
      </c>
      <c r="L219" s="2063">
        <f>SUM(H219:K219)</f>
        <v>0</v>
      </c>
      <c r="N219" s="2064">
        <f>-SUMIF('1.0'!$D:$D,T_BS!D219,'1.0'!$V:$V)</f>
        <v>0</v>
      </c>
      <c r="O219" s="2062">
        <f>-SUMIF('2.0'!$D:$D,T_BS!D219,'2.0'!$V:$V)</f>
        <v>0</v>
      </c>
      <c r="P219" s="2062">
        <f>-ROUND(SUMIF('3.0'!$D:$D,T_BS!D219,'3.0'!$H:$H),0)</f>
        <v>0</v>
      </c>
      <c r="Q219" s="2065">
        <f>-ROUND(SUMIF('4.0'!$D:$D,T_BS!D219,'4.0'!$V:$V),0)</f>
        <v>0</v>
      </c>
      <c r="R219" s="2062">
        <f>-ROUND(SUMIF('5.0'!$D:$D,T_BS!D219,'5.0'!$V:$V),0)</f>
        <v>0</v>
      </c>
      <c r="S219" s="2065">
        <f>-ROUND(SUMIF('6.0'!$D:$D,T_BS!D219,'6.0'!$V:$V),0)</f>
        <v>0</v>
      </c>
      <c r="T219" s="2065">
        <f>ROUND(SUMIF('7.0'!$D:$D,T_BS!D219,'7.0'!$V:$V),0)</f>
        <v>0</v>
      </c>
      <c r="U219" s="2065">
        <f>-ROUND(SUMIF('8.0'!$D:$D,T_BS!D219,'8.0'!$H:$H),0)</f>
        <v>0</v>
      </c>
      <c r="V219" s="2063">
        <f>SUM(N219:U219)</f>
        <v>0</v>
      </c>
      <c r="X219" s="2066">
        <f>V219+L219</f>
        <v>0</v>
      </c>
      <c r="Z219" s="2066">
        <f>X219-AI219</f>
        <v>7415773124</v>
      </c>
      <c r="AB219" s="2066">
        <v>-6556481945</v>
      </c>
      <c r="AC219" s="2066">
        <v>-6605671393</v>
      </c>
      <c r="AD219" s="2066">
        <v>-6708923108</v>
      </c>
      <c r="AE219" s="2066">
        <v>-6762210332</v>
      </c>
      <c r="AF219" s="2066">
        <v>-6789538633</v>
      </c>
      <c r="AG219" s="2066">
        <v>-6839242917</v>
      </c>
      <c r="AH219" s="2066">
        <v>-7249696528</v>
      </c>
      <c r="AI219" s="2066">
        <v>-7415773124</v>
      </c>
      <c r="AJ219" s="2066">
        <v>-5395907996</v>
      </c>
      <c r="AK219" s="2066">
        <v>-5479498888</v>
      </c>
      <c r="AL219" s="2066">
        <v>-5517760406</v>
      </c>
      <c r="AM219" s="2066">
        <v>-5683037640</v>
      </c>
      <c r="AN219" s="2066">
        <v>-5908936840</v>
      </c>
      <c r="AP219" s="498"/>
    </row>
    <row r="220" spans="1:42" ht="18" customHeight="1">
      <c r="A220" s="498"/>
      <c r="D220" s="1588"/>
      <c r="E220" s="1589"/>
      <c r="F220" s="1590"/>
      <c r="G220" s="1589" t="s">
        <v>187</v>
      </c>
      <c r="H220" s="520">
        <f>H221</f>
        <v>114155295</v>
      </c>
      <c r="I220" s="506">
        <f>I221</f>
        <v>0</v>
      </c>
      <c r="J220" s="506">
        <f>J221</f>
        <v>0</v>
      </c>
      <c r="K220" s="506">
        <f>K221</f>
        <v>0</v>
      </c>
      <c r="L220" s="507">
        <f>L221</f>
        <v>114155295</v>
      </c>
      <c r="N220" s="1631">
        <f t="shared" ref="N220:AM220" si="65">N221</f>
        <v>0</v>
      </c>
      <c r="O220" s="506">
        <f t="shared" si="65"/>
        <v>0</v>
      </c>
      <c r="P220" s="506">
        <f t="shared" si="65"/>
        <v>0</v>
      </c>
      <c r="Q220" s="506">
        <f t="shared" si="65"/>
        <v>0</v>
      </c>
      <c r="R220" s="506">
        <f t="shared" si="65"/>
        <v>0</v>
      </c>
      <c r="S220" s="506">
        <f t="shared" si="65"/>
        <v>0</v>
      </c>
      <c r="T220" s="506">
        <f t="shared" si="65"/>
        <v>0</v>
      </c>
      <c r="U220" s="506">
        <f t="shared" si="65"/>
        <v>0</v>
      </c>
      <c r="V220" s="507">
        <f t="shared" si="65"/>
        <v>0</v>
      </c>
      <c r="X220" s="1630">
        <f t="shared" si="65"/>
        <v>114155295</v>
      </c>
      <c r="Z220" s="1630">
        <f t="shared" si="65"/>
        <v>6117324</v>
      </c>
      <c r="AB220" s="1630">
        <v>113209782</v>
      </c>
      <c r="AC220" s="1630">
        <v>113209782</v>
      </c>
      <c r="AD220" s="1630">
        <v>113209782</v>
      </c>
      <c r="AE220" s="1630">
        <v>112284931</v>
      </c>
      <c r="AF220" s="1630">
        <v>112284931</v>
      </c>
      <c r="AG220" s="1630">
        <v>112284931</v>
      </c>
      <c r="AH220" s="1630">
        <v>110140729</v>
      </c>
      <c r="AI220" s="1630">
        <v>108037971</v>
      </c>
      <c r="AJ220" s="1630">
        <v>125583740</v>
      </c>
      <c r="AK220" s="1630">
        <v>125583740</v>
      </c>
      <c r="AL220" s="1630">
        <v>123309225</v>
      </c>
      <c r="AM220" s="1630">
        <f t="shared" si="65"/>
        <v>119609666</v>
      </c>
      <c r="AN220" s="1630">
        <v>118883200</v>
      </c>
      <c r="AP220" s="498"/>
    </row>
    <row r="221" spans="1:42" ht="18" customHeight="1">
      <c r="A221" s="498"/>
      <c r="D221" s="1593">
        <v>230900</v>
      </c>
      <c r="E221" s="1359" t="s">
        <v>1646</v>
      </c>
      <c r="F221" s="1361">
        <v>4402</v>
      </c>
      <c r="G221" s="1359" t="s">
        <v>188</v>
      </c>
      <c r="H221" s="498">
        <v>114155295</v>
      </c>
      <c r="I221" s="498">
        <v>0</v>
      </c>
      <c r="J221" s="710">
        <v>0</v>
      </c>
      <c r="K221" s="710">
        <v>0</v>
      </c>
      <c r="L221" s="510">
        <f>SUM(H221:K221)</f>
        <v>114155295</v>
      </c>
      <c r="N221" s="1667">
        <f>-SUMIF('1.0'!$D:$D,T_BS!D221,'1.0'!$V:$V)</f>
        <v>0</v>
      </c>
      <c r="O221" s="710">
        <f>-SUMIF('2.0'!$D:$D,T_BS!D221,'2.0'!$V:$V)</f>
        <v>0</v>
      </c>
      <c r="P221" s="509">
        <f>-ROUND(SUMIF('3.0'!$D:$D,T_BS!D221,'3.0'!$H:$H),0)</f>
        <v>0</v>
      </c>
      <c r="Q221" s="720">
        <f>-ROUND(SUMIF('4.0'!$D:$D,T_BS!D221,'4.0'!$V:$V),0)</f>
        <v>0</v>
      </c>
      <c r="R221" s="509">
        <f>-ROUND(SUMIF('5.0'!$D:$D,T_BS!D221,'5.0'!$V:$V),0)</f>
        <v>0</v>
      </c>
      <c r="S221" s="720">
        <f>-ROUND(SUMIF('6.0'!$D:$D,T_BS!D221,'6.0'!$V:$V),0)</f>
        <v>0</v>
      </c>
      <c r="T221" s="720">
        <f>ROUND(SUMIF('7.0'!$D:$D,T_BS!D221,'7.0'!$V:$V),0)</f>
        <v>0</v>
      </c>
      <c r="U221" s="720">
        <f>-ROUND(SUMIF('8.0'!$D:$D,T_BS!D221,'8.0'!$H:$H),0)</f>
        <v>0</v>
      </c>
      <c r="V221" s="510">
        <f>SUM(N221:U221)</f>
        <v>0</v>
      </c>
      <c r="X221" s="1616">
        <f>V221+L221</f>
        <v>114155295</v>
      </c>
      <c r="Z221" s="1616">
        <f>X221-AI221</f>
        <v>6117324</v>
      </c>
      <c r="AB221" s="1616">
        <v>113209782</v>
      </c>
      <c r="AC221" s="1616">
        <v>113209782</v>
      </c>
      <c r="AD221" s="1616">
        <v>113209782</v>
      </c>
      <c r="AE221" s="1616">
        <v>112284931</v>
      </c>
      <c r="AF221" s="1616">
        <v>112284931</v>
      </c>
      <c r="AG221" s="1616">
        <v>112284931</v>
      </c>
      <c r="AH221" s="1616">
        <v>110140729</v>
      </c>
      <c r="AI221" s="1616">
        <v>108037971</v>
      </c>
      <c r="AJ221" s="1616">
        <v>125583740</v>
      </c>
      <c r="AK221" s="1616">
        <v>125583740</v>
      </c>
      <c r="AL221" s="1616">
        <v>123309225</v>
      </c>
      <c r="AM221" s="1616">
        <v>119609666</v>
      </c>
      <c r="AN221" s="1616">
        <v>118883200</v>
      </c>
      <c r="AP221" s="498"/>
    </row>
    <row r="222" spans="1:42" ht="18" customHeight="1">
      <c r="A222" s="498"/>
      <c r="D222" s="1588"/>
      <c r="E222" s="1589"/>
      <c r="F222" s="1590"/>
      <c r="G222" s="1589" t="s">
        <v>189</v>
      </c>
      <c r="H222" s="520">
        <f>H223</f>
        <v>2684735163</v>
      </c>
      <c r="I222" s="506">
        <f>I223</f>
        <v>0</v>
      </c>
      <c r="J222" s="506">
        <f>J223</f>
        <v>28123369</v>
      </c>
      <c r="K222" s="506">
        <f>K223</f>
        <v>0</v>
      </c>
      <c r="L222" s="507">
        <f>L223</f>
        <v>2712858532</v>
      </c>
      <c r="N222" s="1631">
        <f t="shared" ref="N222:V222" si="66">N223</f>
        <v>0</v>
      </c>
      <c r="O222" s="506">
        <f t="shared" si="66"/>
        <v>0</v>
      </c>
      <c r="P222" s="506">
        <f t="shared" si="66"/>
        <v>0</v>
      </c>
      <c r="Q222" s="506">
        <f t="shared" si="66"/>
        <v>0</v>
      </c>
      <c r="R222" s="506">
        <f t="shared" si="66"/>
        <v>0</v>
      </c>
      <c r="S222" s="506">
        <f t="shared" si="66"/>
        <v>0</v>
      </c>
      <c r="T222" s="506">
        <f t="shared" si="66"/>
        <v>0</v>
      </c>
      <c r="U222" s="506">
        <f t="shared" si="66"/>
        <v>0</v>
      </c>
      <c r="V222" s="507">
        <f t="shared" si="66"/>
        <v>0</v>
      </c>
      <c r="X222" s="1630">
        <f>X223</f>
        <v>2712858532</v>
      </c>
      <c r="Z222" s="1630">
        <f>Z223</f>
        <v>1250975009</v>
      </c>
      <c r="AB222" s="1630">
        <v>309966779</v>
      </c>
      <c r="AC222" s="1630">
        <v>178085696</v>
      </c>
      <c r="AD222" s="1630">
        <v>523256612</v>
      </c>
      <c r="AE222" s="1630">
        <v>596639646</v>
      </c>
      <c r="AF222" s="1630">
        <v>686874172</v>
      </c>
      <c r="AG222" s="1630">
        <v>771627116</v>
      </c>
      <c r="AH222" s="1630">
        <v>711223841</v>
      </c>
      <c r="AI222" s="1630">
        <v>1461883523</v>
      </c>
      <c r="AJ222" s="1630">
        <v>1534989425</v>
      </c>
      <c r="AK222" s="1630">
        <v>1787413927</v>
      </c>
      <c r="AL222" s="1630">
        <v>1629801915</v>
      </c>
      <c r="AM222" s="1630">
        <f>AM223</f>
        <v>2249145991</v>
      </c>
      <c r="AN222" s="1630">
        <v>2715155001</v>
      </c>
      <c r="AP222" s="498"/>
    </row>
    <row r="223" spans="1:42" ht="18" customHeight="1">
      <c r="A223" s="498"/>
      <c r="D223" s="1593">
        <v>231600</v>
      </c>
      <c r="E223" s="1359" t="s">
        <v>1647</v>
      </c>
      <c r="F223" s="1361">
        <v>4601</v>
      </c>
      <c r="G223" s="1359" t="s">
        <v>189</v>
      </c>
      <c r="H223" s="498">
        <v>2684735163</v>
      </c>
      <c r="I223" s="498">
        <v>0</v>
      </c>
      <c r="J223" s="710">
        <v>28123369</v>
      </c>
      <c r="K223" s="710">
        <v>0</v>
      </c>
      <c r="L223" s="510">
        <f>SUM(H223:K223)</f>
        <v>2712858532</v>
      </c>
      <c r="N223" s="1667">
        <f>-SUMIF('1.0'!$D:$D,T_BS!D223,'1.0'!$V:$V)</f>
        <v>0</v>
      </c>
      <c r="O223" s="710">
        <f>-SUMIF('2.0'!$D:$D,T_BS!D223,'2.0'!$V:$V)</f>
        <v>0</v>
      </c>
      <c r="P223" s="509">
        <f>-ROUND(SUMIF('3.0'!$D:$D,T_BS!D223,'3.0'!$H:$H),0)</f>
        <v>0</v>
      </c>
      <c r="Q223" s="720">
        <f>-ROUND(SUMIF('4.0'!$D:$D,T_BS!D223,'4.0'!$V:$V),0)</f>
        <v>0</v>
      </c>
      <c r="R223" s="509">
        <f>-ROUND(SUMIF('5.0'!$D:$D,T_BS!D223,'5.0'!$V:$V),0)</f>
        <v>0</v>
      </c>
      <c r="S223" s="720">
        <f>-ROUND(SUMIF('6.0'!$D:$D,T_BS!D223,'6.0'!$V:$V),0)</f>
        <v>0</v>
      </c>
      <c r="T223" s="720">
        <f>ROUND(SUMIF('7.0'!$D:$D,T_BS!D223,'7.0'!$V:$V),0)</f>
        <v>0</v>
      </c>
      <c r="U223" s="720">
        <f>-ROUND(SUMIF('8.0'!$D:$D,T_BS!D223,'8.0'!$H:$H),0)</f>
        <v>0</v>
      </c>
      <c r="V223" s="510">
        <f>SUM(N223:U223)</f>
        <v>0</v>
      </c>
      <c r="X223" s="1616">
        <f>V223+L223</f>
        <v>2712858532</v>
      </c>
      <c r="Z223" s="1616">
        <f>X223-AI223</f>
        <v>1250975009</v>
      </c>
      <c r="AB223" s="1616">
        <v>309966779</v>
      </c>
      <c r="AC223" s="1616">
        <v>178085696</v>
      </c>
      <c r="AD223" s="1616">
        <v>523256612</v>
      </c>
      <c r="AE223" s="1616">
        <v>596639646</v>
      </c>
      <c r="AF223" s="1616">
        <v>686874172</v>
      </c>
      <c r="AG223" s="1616">
        <v>771627116</v>
      </c>
      <c r="AH223" s="1616">
        <v>711223841</v>
      </c>
      <c r="AI223" s="1616">
        <v>1461883523</v>
      </c>
      <c r="AJ223" s="1616">
        <v>1534989425</v>
      </c>
      <c r="AK223" s="1616">
        <v>1787413927</v>
      </c>
      <c r="AL223" s="1616">
        <v>1629801915</v>
      </c>
      <c r="AM223" s="1616">
        <v>2249145991</v>
      </c>
      <c r="AN223" s="1616">
        <v>2715155001</v>
      </c>
      <c r="AP223" s="498"/>
    </row>
    <row r="224" spans="1:42" ht="18" customHeight="1">
      <c r="A224" s="498"/>
      <c r="D224" s="1588"/>
      <c r="E224" s="1589"/>
      <c r="F224" s="1590"/>
      <c r="G224" s="1589" t="s">
        <v>484</v>
      </c>
      <c r="H224" s="520">
        <f>H225</f>
        <v>0</v>
      </c>
      <c r="I224" s="506">
        <f>I225</f>
        <v>0</v>
      </c>
      <c r="J224" s="506">
        <f>J225</f>
        <v>0</v>
      </c>
      <c r="K224" s="506">
        <f>K225</f>
        <v>0</v>
      </c>
      <c r="L224" s="507">
        <f>L225</f>
        <v>0</v>
      </c>
      <c r="N224" s="1631">
        <f t="shared" ref="N224:V224" si="67">N225</f>
        <v>0</v>
      </c>
      <c r="O224" s="506">
        <f t="shared" si="67"/>
        <v>0</v>
      </c>
      <c r="P224" s="506">
        <f t="shared" si="67"/>
        <v>0</v>
      </c>
      <c r="Q224" s="506">
        <f t="shared" si="67"/>
        <v>0</v>
      </c>
      <c r="R224" s="506">
        <f t="shared" si="67"/>
        <v>0</v>
      </c>
      <c r="S224" s="506">
        <f t="shared" si="67"/>
        <v>0</v>
      </c>
      <c r="T224" s="506">
        <f t="shared" si="67"/>
        <v>0</v>
      </c>
      <c r="U224" s="506">
        <f t="shared" si="67"/>
        <v>0</v>
      </c>
      <c r="V224" s="507">
        <f t="shared" si="67"/>
        <v>0</v>
      </c>
      <c r="X224" s="1630">
        <f>X225</f>
        <v>0</v>
      </c>
      <c r="Z224" s="1630">
        <f>Z225</f>
        <v>0</v>
      </c>
      <c r="AB224" s="1630">
        <v>0</v>
      </c>
      <c r="AC224" s="1630">
        <v>0</v>
      </c>
      <c r="AD224" s="1630">
        <v>0</v>
      </c>
      <c r="AE224" s="1630">
        <v>0</v>
      </c>
      <c r="AF224" s="1630">
        <v>0</v>
      </c>
      <c r="AG224" s="1630">
        <v>0</v>
      </c>
      <c r="AH224" s="1630">
        <v>0</v>
      </c>
      <c r="AI224" s="1630">
        <v>0</v>
      </c>
      <c r="AJ224" s="1630">
        <v>0</v>
      </c>
      <c r="AK224" s="1630">
        <v>0</v>
      </c>
      <c r="AL224" s="1630">
        <v>0</v>
      </c>
      <c r="AM224" s="1630">
        <f>AM225</f>
        <v>0</v>
      </c>
      <c r="AN224" s="1630">
        <v>0</v>
      </c>
      <c r="AP224" s="498"/>
    </row>
    <row r="225" spans="1:42" ht="18" customHeight="1">
      <c r="A225" s="498"/>
      <c r="D225" s="1633" t="s">
        <v>1346</v>
      </c>
      <c r="E225" s="1359" t="s">
        <v>1648</v>
      </c>
      <c r="F225" s="1361">
        <v>4301</v>
      </c>
      <c r="G225" s="1359" t="s">
        <v>484</v>
      </c>
      <c r="H225" s="498">
        <v>0</v>
      </c>
      <c r="I225" s="498">
        <v>0</v>
      </c>
      <c r="J225" s="710">
        <v>0</v>
      </c>
      <c r="K225" s="710">
        <v>0</v>
      </c>
      <c r="L225" s="510">
        <f>SUM(H225:K225)</f>
        <v>0</v>
      </c>
      <c r="N225" s="1667">
        <f>-SUMIF('1.0'!$D:$D,T_BS!D225,'1.0'!$V:$V)</f>
        <v>0</v>
      </c>
      <c r="O225" s="710">
        <f>-SUMIF('2.0'!$D:$D,T_BS!D225,'2.0'!$V:$V)</f>
        <v>0</v>
      </c>
      <c r="P225" s="509">
        <f>-ROUND(SUMIF('3.0'!$D:$D,T_BS!D225,'3.0'!$H:$H),0)</f>
        <v>0</v>
      </c>
      <c r="Q225" s="720">
        <f>-ROUND(SUMIF('4.0'!$D:$D,T_BS!D225,'4.0'!$V:$V),0)</f>
        <v>0</v>
      </c>
      <c r="R225" s="509">
        <f>-ROUND(SUMIF('5.0'!$D:$D,T_BS!D225,'5.0'!$V:$V),0)</f>
        <v>0</v>
      </c>
      <c r="S225" s="720">
        <f>-ROUND(SUMIF('6.0'!$D:$D,T_BS!D225,'6.0'!$V:$V),0)</f>
        <v>0</v>
      </c>
      <c r="T225" s="720">
        <f>ROUND(SUMIF('7.0'!$D:$D,T_BS!D225,'7.0'!$V:$V),0)</f>
        <v>0</v>
      </c>
      <c r="U225" s="720">
        <f>-ROUND(SUMIF('8.0'!$D:$D,T_BS!D225,'8.0'!$H:$H),0)</f>
        <v>0</v>
      </c>
      <c r="V225" s="510">
        <f>SUM(N225:U225)</f>
        <v>0</v>
      </c>
      <c r="X225" s="1616">
        <f>V225+L225</f>
        <v>0</v>
      </c>
      <c r="Z225" s="1616">
        <f>X225-AI225</f>
        <v>0</v>
      </c>
      <c r="AB225" s="1616">
        <v>0</v>
      </c>
      <c r="AC225" s="1616">
        <v>0</v>
      </c>
      <c r="AD225" s="1616">
        <v>0</v>
      </c>
      <c r="AE225" s="1616">
        <v>0</v>
      </c>
      <c r="AF225" s="1616">
        <v>0</v>
      </c>
      <c r="AG225" s="1616">
        <v>0</v>
      </c>
      <c r="AH225" s="1616">
        <v>0</v>
      </c>
      <c r="AI225" s="1616">
        <v>0</v>
      </c>
      <c r="AJ225" s="1616">
        <v>0</v>
      </c>
      <c r="AK225" s="1616">
        <v>0</v>
      </c>
      <c r="AL225" s="1616">
        <v>0</v>
      </c>
      <c r="AM225" s="1616">
        <v>0</v>
      </c>
      <c r="AN225" s="1616">
        <v>0</v>
      </c>
      <c r="AP225" s="498"/>
    </row>
    <row r="226" spans="1:42" ht="18" customHeight="1">
      <c r="A226" s="498"/>
      <c r="D226" s="1588"/>
      <c r="E226" s="1589"/>
      <c r="F226" s="1590"/>
      <c r="G226" s="1589" t="s">
        <v>1537</v>
      </c>
      <c r="H226" s="520">
        <f>SUM(H227:H230)</f>
        <v>1017763600</v>
      </c>
      <c r="I226" s="506">
        <f>SUM(I227:I230)</f>
        <v>0</v>
      </c>
      <c r="J226" s="506">
        <f>SUM(J227:J230)</f>
        <v>0</v>
      </c>
      <c r="K226" s="506">
        <f>SUM(K227:K230)</f>
        <v>0</v>
      </c>
      <c r="L226" s="507">
        <f>SUM(L227:L230)</f>
        <v>1017763600</v>
      </c>
      <c r="N226" s="1631">
        <f t="shared" ref="N226:U226" si="68">SUM(N227:N230)</f>
        <v>0</v>
      </c>
      <c r="O226" s="506">
        <f t="shared" si="68"/>
        <v>0</v>
      </c>
      <c r="P226" s="506">
        <f t="shared" si="68"/>
        <v>0</v>
      </c>
      <c r="Q226" s="506">
        <f t="shared" si="68"/>
        <v>0</v>
      </c>
      <c r="R226" s="506">
        <f t="shared" si="68"/>
        <v>0</v>
      </c>
      <c r="S226" s="506">
        <f t="shared" si="68"/>
        <v>0</v>
      </c>
      <c r="T226" s="506">
        <f t="shared" si="68"/>
        <v>0</v>
      </c>
      <c r="U226" s="506">
        <f t="shared" si="68"/>
        <v>0</v>
      </c>
      <c r="V226" s="507">
        <f>SUM(V227:V230)</f>
        <v>0</v>
      </c>
      <c r="X226" s="1630">
        <f>SUM(X227:X230)</f>
        <v>1017763600</v>
      </c>
      <c r="Z226" s="1630">
        <f>SUM(Z227:Z230)</f>
        <v>550001400</v>
      </c>
      <c r="AB226" s="1630">
        <v>1017671200</v>
      </c>
      <c r="AC226" s="1630">
        <v>989094200</v>
      </c>
      <c r="AD226" s="1630">
        <v>994339200</v>
      </c>
      <c r="AE226" s="1630">
        <v>984339200</v>
      </c>
      <c r="AF226" s="1630">
        <v>984339200</v>
      </c>
      <c r="AG226" s="1630">
        <v>955294200</v>
      </c>
      <c r="AH226" s="1630">
        <v>482502200</v>
      </c>
      <c r="AI226" s="1630">
        <v>467762200</v>
      </c>
      <c r="AJ226" s="1630">
        <v>296006200</v>
      </c>
      <c r="AK226" s="1630">
        <v>252641200</v>
      </c>
      <c r="AL226" s="1630">
        <v>231325200</v>
      </c>
      <c r="AM226" s="1630">
        <f>SUM(AM227:AM229)</f>
        <v>214493200</v>
      </c>
      <c r="AN226" s="1630">
        <v>222809200</v>
      </c>
      <c r="AP226" s="498"/>
    </row>
    <row r="227" spans="1:42" ht="18" customHeight="1">
      <c r="A227" s="498"/>
      <c r="B227" s="1362"/>
      <c r="D227" s="1633" t="s">
        <v>1540</v>
      </c>
      <c r="E227" s="1359" t="s">
        <v>2806</v>
      </c>
      <c r="F227" s="1634">
        <v>4103</v>
      </c>
      <c r="G227" s="1359" t="s">
        <v>1538</v>
      </c>
      <c r="H227" s="498">
        <v>0</v>
      </c>
      <c r="I227" s="498">
        <v>0</v>
      </c>
      <c r="J227" s="710">
        <v>0</v>
      </c>
      <c r="K227" s="710">
        <v>0</v>
      </c>
      <c r="L227" s="510">
        <f>SUM(H227:K227)</f>
        <v>0</v>
      </c>
      <c r="N227" s="1667">
        <f>-SUMIF('1.0'!$D:$D,T_BS!D227,'1.0'!$V:$V)</f>
        <v>0</v>
      </c>
      <c r="O227" s="710">
        <f>-SUMIF('2.0'!$D:$D,T_BS!D227,'2.0'!$V:$V)</f>
        <v>0</v>
      </c>
      <c r="P227" s="509">
        <f>-ROUND(SUMIF('3.0'!$D:$D,T_BS!D227,'3.0'!$H:$H),0)</f>
        <v>0</v>
      </c>
      <c r="Q227" s="720">
        <f>-ROUND(SUMIF('4.0'!$D:$D,T_BS!D227,'4.0'!$V:$V),0)</f>
        <v>0</v>
      </c>
      <c r="R227" s="509">
        <f>-ROUND(SUMIF('5.0'!$D:$D,T_BS!D227,'5.0'!$V:$V),0)</f>
        <v>0</v>
      </c>
      <c r="S227" s="720">
        <f>-ROUND(SUMIF('6.0'!$D:$D,T_BS!D227,'6.0'!$V:$V),0)</f>
        <v>0</v>
      </c>
      <c r="T227" s="720">
        <f>ROUND(SUMIF('7.0'!$D:$D,T_BS!D227,'7.0'!$V:$V),0)</f>
        <v>0</v>
      </c>
      <c r="U227" s="720">
        <f>-ROUND(SUMIF('8.0'!$D:$D,T_BS!D227,'8.0'!$H:$H),0)</f>
        <v>0</v>
      </c>
      <c r="V227" s="510">
        <f>SUM(N227:U227)</f>
        <v>0</v>
      </c>
      <c r="X227" s="1616">
        <f>V227+L227</f>
        <v>0</v>
      </c>
      <c r="Z227" s="1616">
        <f>X227-AI227</f>
        <v>0</v>
      </c>
      <c r="AB227" s="1616">
        <v>0</v>
      </c>
      <c r="AC227" s="1616">
        <v>0</v>
      </c>
      <c r="AD227" s="1616">
        <v>0</v>
      </c>
      <c r="AE227" s="1616">
        <v>0</v>
      </c>
      <c r="AF227" s="1616">
        <v>0</v>
      </c>
      <c r="AG227" s="1616">
        <v>0</v>
      </c>
      <c r="AH227" s="1616">
        <v>0</v>
      </c>
      <c r="AI227" s="1616">
        <v>0</v>
      </c>
      <c r="AJ227" s="1616">
        <v>0</v>
      </c>
      <c r="AK227" s="1616">
        <v>0</v>
      </c>
      <c r="AL227" s="1616">
        <v>0</v>
      </c>
      <c r="AM227" s="1616">
        <v>0</v>
      </c>
      <c r="AN227" s="1616">
        <v>0</v>
      </c>
      <c r="AP227" s="498"/>
    </row>
    <row r="228" spans="1:42" ht="18" customHeight="1">
      <c r="A228" s="498"/>
      <c r="B228" s="1362"/>
      <c r="D228" s="1644">
        <v>231200</v>
      </c>
      <c r="E228" s="1547" t="s">
        <v>2805</v>
      </c>
      <c r="F228" s="1645">
        <v>4104</v>
      </c>
      <c r="G228" s="1547" t="s">
        <v>1695</v>
      </c>
      <c r="H228" s="498">
        <v>0</v>
      </c>
      <c r="I228" s="498">
        <v>0</v>
      </c>
      <c r="J228" s="710">
        <v>0</v>
      </c>
      <c r="K228" s="710">
        <v>0</v>
      </c>
      <c r="L228" s="510">
        <f>SUM(H228:K228)</f>
        <v>0</v>
      </c>
      <c r="N228" s="1667">
        <f>-SUMIF('1.0'!$D:$D,T_BS!D228,'1.0'!$V:$V)</f>
        <v>0</v>
      </c>
      <c r="O228" s="710">
        <f>-SUMIF('2.0'!$D:$D,T_BS!D228,'2.0'!$V:$V)</f>
        <v>0</v>
      </c>
      <c r="P228" s="509">
        <f>-ROUND(SUMIF('3.0'!$D:$D,T_BS!D228,'3.0'!$H:$H),0)</f>
        <v>0</v>
      </c>
      <c r="Q228" s="720">
        <f>-ROUND(SUMIF('4.0'!$D:$D,T_BS!D228,'4.0'!$V:$V),0)</f>
        <v>0</v>
      </c>
      <c r="R228" s="509">
        <f>-ROUND(SUMIF('5.0'!$D:$D,T_BS!D228,'5.0'!$V:$V),0)</f>
        <v>0</v>
      </c>
      <c r="S228" s="720">
        <f>-ROUND(SUMIF('6.0'!$D:$D,T_BS!D228,'6.0'!$V:$V),0)</f>
        <v>0</v>
      </c>
      <c r="T228" s="720">
        <f>ROUND(SUMIF('7.0'!$D:$D,T_BS!D228,'7.0'!$V:$V),0)</f>
        <v>0</v>
      </c>
      <c r="U228" s="720">
        <f>-ROUND(SUMIF('8.0'!$D:$D,T_BS!D228,'8.0'!$H:$H),0)</f>
        <v>0</v>
      </c>
      <c r="V228" s="510">
        <f>SUM(N228:U228)</f>
        <v>0</v>
      </c>
      <c r="X228" s="1616">
        <f>V228+L228</f>
        <v>0</v>
      </c>
      <c r="Z228" s="1616">
        <f>X228-AI228</f>
        <v>0</v>
      </c>
      <c r="AB228" s="1616">
        <v>0</v>
      </c>
      <c r="AC228" s="1616">
        <v>0</v>
      </c>
      <c r="AD228" s="1616">
        <v>0</v>
      </c>
      <c r="AE228" s="1616">
        <v>0</v>
      </c>
      <c r="AF228" s="1616">
        <v>0</v>
      </c>
      <c r="AG228" s="1616">
        <v>0</v>
      </c>
      <c r="AH228" s="1616">
        <v>0</v>
      </c>
      <c r="AI228" s="1616">
        <v>0</v>
      </c>
      <c r="AJ228" s="1616">
        <v>0</v>
      </c>
      <c r="AK228" s="1616">
        <v>252641200</v>
      </c>
      <c r="AL228" s="1616">
        <v>231325200</v>
      </c>
      <c r="AM228" s="1616">
        <v>214493200</v>
      </c>
      <c r="AN228" s="1616">
        <v>222809200</v>
      </c>
      <c r="AP228" s="498"/>
    </row>
    <row r="229" spans="1:42" ht="18" customHeight="1">
      <c r="A229" s="498"/>
      <c r="B229" s="1362"/>
      <c r="D229" s="1633" t="s">
        <v>1541</v>
      </c>
      <c r="E229" s="1359" t="s">
        <v>2805</v>
      </c>
      <c r="F229" s="1634">
        <v>4103</v>
      </c>
      <c r="G229" s="1359" t="s">
        <v>1539</v>
      </c>
      <c r="H229" s="498">
        <v>0</v>
      </c>
      <c r="I229" s="498">
        <v>0</v>
      </c>
      <c r="J229" s="710">
        <v>0</v>
      </c>
      <c r="K229" s="710">
        <v>0</v>
      </c>
      <c r="L229" s="510">
        <f>SUM(H229:K229)</f>
        <v>0</v>
      </c>
      <c r="N229" s="1667">
        <f>-SUMIF('1.0'!$D:$D,T_BS!D229,'1.0'!$V:$V)</f>
        <v>0</v>
      </c>
      <c r="O229" s="710">
        <f>-SUMIF('2.0'!$D:$D,T_BS!D229,'2.0'!$V:$V)</f>
        <v>0</v>
      </c>
      <c r="P229" s="509">
        <f>-ROUND(SUMIF('3.0'!$D:$D,T_BS!D229,'3.0'!$H:$H),0)</f>
        <v>0</v>
      </c>
      <c r="Q229" s="720">
        <f>-ROUND(SUMIF('4.0'!$D:$D,T_BS!D229,'4.0'!$V:$V),0)</f>
        <v>0</v>
      </c>
      <c r="R229" s="509">
        <f>-ROUND(SUMIF('5.0'!$D:$D,T_BS!D229,'5.0'!$V:$V),0)</f>
        <v>0</v>
      </c>
      <c r="S229" s="720">
        <f>-ROUND(SUMIF('6.0'!$D:$D,T_BS!D229,'6.0'!$V:$V),0)</f>
        <v>0</v>
      </c>
      <c r="T229" s="720">
        <f>ROUND(SUMIF('7.0'!$D:$D,T_BS!D229,'7.0'!$V:$V),0)</f>
        <v>0</v>
      </c>
      <c r="U229" s="720">
        <f>-ROUND(SUMIF('8.0'!$D:$D,T_BS!D229,'8.0'!$H:$H),0)</f>
        <v>0</v>
      </c>
      <c r="V229" s="510">
        <f>SUM(N229:U229)</f>
        <v>0</v>
      </c>
      <c r="X229" s="1616">
        <f>V229+L229</f>
        <v>0</v>
      </c>
      <c r="Z229" s="1616">
        <f>X229-AI229</f>
        <v>0</v>
      </c>
      <c r="AB229" s="1616">
        <v>0</v>
      </c>
      <c r="AC229" s="1616">
        <v>0</v>
      </c>
      <c r="AD229" s="1616">
        <v>0</v>
      </c>
      <c r="AE229" s="1616">
        <v>0</v>
      </c>
      <c r="AF229" s="1616">
        <v>0</v>
      </c>
      <c r="AG229" s="1616">
        <v>0</v>
      </c>
      <c r="AH229" s="1616">
        <v>0</v>
      </c>
      <c r="AI229" s="1616">
        <v>0</v>
      </c>
      <c r="AJ229" s="1616">
        <v>0</v>
      </c>
      <c r="AK229" s="1616">
        <v>0</v>
      </c>
      <c r="AL229" s="1616">
        <v>0</v>
      </c>
      <c r="AM229" s="1616">
        <v>0</v>
      </c>
      <c r="AN229" s="1616">
        <v>0</v>
      </c>
      <c r="AP229" s="498"/>
    </row>
    <row r="230" spans="1:42" s="1653" customFormat="1" ht="18" customHeight="1">
      <c r="A230" s="575"/>
      <c r="B230" s="1638"/>
      <c r="C230" s="1086"/>
      <c r="D230" s="1675">
        <v>231300</v>
      </c>
      <c r="E230" s="1086" t="s">
        <v>2805</v>
      </c>
      <c r="F230" s="1674">
        <v>4438</v>
      </c>
      <c r="G230" s="1086" t="s">
        <v>2321</v>
      </c>
      <c r="H230" s="498">
        <v>1017763600</v>
      </c>
      <c r="I230" s="498">
        <v>0</v>
      </c>
      <c r="J230" s="710">
        <v>0</v>
      </c>
      <c r="K230" s="710">
        <v>0</v>
      </c>
      <c r="L230" s="1640">
        <f>SUM(H230:K230)</f>
        <v>1017763600</v>
      </c>
      <c r="N230" s="1636">
        <f>-SUMIF('1.0'!$D:$D,T_BS!D230,'1.0'!$V:$V)</f>
        <v>0</v>
      </c>
      <c r="O230" s="925">
        <f>-SUMIF('2.0'!$D:$D,T_BS!D230,'2.0'!$V:$V)</f>
        <v>0</v>
      </c>
      <c r="P230" s="925">
        <f>-ROUND(SUMIF('3.0'!$D:$D,T_BS!D230,'3.0'!$H:$H),0)</f>
        <v>0</v>
      </c>
      <c r="Q230" s="1115">
        <f>-ROUND(SUMIF('4.0'!$D:$D,T_BS!D230,'4.0'!$V:$V),0)</f>
        <v>0</v>
      </c>
      <c r="R230" s="925">
        <f>-ROUND(SUMIF('5.0'!$D:$D,T_BS!D230,'5.0'!$V:$V),0)</f>
        <v>0</v>
      </c>
      <c r="S230" s="1115">
        <f>-ROUND(SUMIF('6.0'!$D:$D,T_BS!D230,'6.0'!$V:$V),0)</f>
        <v>0</v>
      </c>
      <c r="T230" s="720">
        <f>ROUND(SUMIF('7.0'!$D:$D,T_BS!D230,'7.0'!$V:$V),0)</f>
        <v>0</v>
      </c>
      <c r="U230" s="1115">
        <f>-ROUND(SUMIF('8.0'!$D:$D,T_BS!D230,'8.0'!$H:$H),0)</f>
        <v>0</v>
      </c>
      <c r="V230" s="1640">
        <f>SUM(N230:U230)</f>
        <v>0</v>
      </c>
      <c r="X230" s="1641">
        <f>V230+L230</f>
        <v>1017763600</v>
      </c>
      <c r="Z230" s="1616">
        <f>X230-AI230</f>
        <v>550001400</v>
      </c>
      <c r="AB230" s="1641">
        <v>1017671200</v>
      </c>
      <c r="AC230" s="1641">
        <v>989094200</v>
      </c>
      <c r="AD230" s="1641">
        <v>994339200</v>
      </c>
      <c r="AE230" s="1641">
        <v>984339200</v>
      </c>
      <c r="AF230" s="1641">
        <v>984339200</v>
      </c>
      <c r="AG230" s="1641">
        <v>955294200</v>
      </c>
      <c r="AH230" s="1641">
        <v>482502200</v>
      </c>
      <c r="AI230" s="1641">
        <v>467762200</v>
      </c>
      <c r="AJ230" s="1641">
        <v>296006200</v>
      </c>
      <c r="AK230" s="1641">
        <v>0</v>
      </c>
      <c r="AL230" s="1641">
        <v>0</v>
      </c>
      <c r="AM230" s="1641">
        <v>0</v>
      </c>
      <c r="AN230" s="1641">
        <v>0</v>
      </c>
      <c r="AP230" s="498"/>
    </row>
    <row r="231" spans="1:42" ht="18" customHeight="1">
      <c r="A231" s="498"/>
      <c r="D231" s="1578"/>
      <c r="E231" s="1579"/>
      <c r="F231" s="1580"/>
      <c r="G231" s="1579" t="s">
        <v>14</v>
      </c>
      <c r="H231" s="1664">
        <f>SUM(H232,H255)</f>
        <v>172003850785</v>
      </c>
      <c r="I231" s="500">
        <f>SUM(I232,I255)</f>
        <v>643721799</v>
      </c>
      <c r="J231" s="500">
        <f>SUM(J232,J255)</f>
        <v>-398706243</v>
      </c>
      <c r="K231" s="500">
        <f>SUM(K232,K255)</f>
        <v>3910903550</v>
      </c>
      <c r="L231" s="501">
        <f>SUM(L232,L255)</f>
        <v>176159769891</v>
      </c>
      <c r="N231" s="1665">
        <f t="shared" ref="N231:S231" si="69">SUM(N232,N255)</f>
        <v>19842800</v>
      </c>
      <c r="O231" s="500">
        <f t="shared" si="69"/>
        <v>0</v>
      </c>
      <c r="P231" s="500">
        <f t="shared" si="69"/>
        <v>-8280001</v>
      </c>
      <c r="Q231" s="500">
        <f t="shared" si="69"/>
        <v>-26099026</v>
      </c>
      <c r="R231" s="500">
        <f t="shared" si="69"/>
        <v>1787221215</v>
      </c>
      <c r="S231" s="500">
        <f t="shared" si="69"/>
        <v>-20000000</v>
      </c>
      <c r="T231" s="500">
        <f>SUM(T232,T255)</f>
        <v>-182737552</v>
      </c>
      <c r="U231" s="500">
        <f>SUM(U232,U255)</f>
        <v>-7410958471</v>
      </c>
      <c r="V231" s="501">
        <f>SUM(V232,V255)</f>
        <v>-5841011035</v>
      </c>
      <c r="X231" s="1666">
        <f>SUM(X232,X255)</f>
        <v>170318758856</v>
      </c>
      <c r="Z231" s="1666">
        <f>SUM(Z232,Z255)</f>
        <v>90679544379</v>
      </c>
      <c r="AB231" s="1666">
        <v>124794087162</v>
      </c>
      <c r="AC231" s="1666">
        <v>126082156761</v>
      </c>
      <c r="AD231" s="1666">
        <v>126285242180</v>
      </c>
      <c r="AE231" s="1666">
        <v>117113674853</v>
      </c>
      <c r="AF231" s="1666">
        <v>117105471521</v>
      </c>
      <c r="AG231" s="1666">
        <v>116259659086</v>
      </c>
      <c r="AH231" s="1666">
        <v>91716882595</v>
      </c>
      <c r="AI231" s="1666">
        <v>79639214477</v>
      </c>
      <c r="AJ231" s="1666">
        <v>95867330326</v>
      </c>
      <c r="AK231" s="1666">
        <v>95168013581</v>
      </c>
      <c r="AL231" s="1666">
        <v>81128321240</v>
      </c>
      <c r="AM231" s="1666">
        <f>SUM(AM232,AM255)</f>
        <v>97962288029</v>
      </c>
      <c r="AN231" s="1666">
        <v>95801398968</v>
      </c>
      <c r="AP231" s="498"/>
    </row>
    <row r="232" spans="1:42" ht="18" customHeight="1">
      <c r="A232" s="498"/>
      <c r="D232" s="1583"/>
      <c r="E232" s="1584"/>
      <c r="F232" s="1585"/>
      <c r="G232" s="1584" t="s">
        <v>11</v>
      </c>
      <c r="H232" s="1619">
        <f>SUM(H233,H236,H241,H251)</f>
        <v>172003850785</v>
      </c>
      <c r="I232" s="503">
        <f>SUM(I233,I236,I241,I251)</f>
        <v>643721799</v>
      </c>
      <c r="J232" s="503">
        <f>SUM(J233,J236,J241,J251)</f>
        <v>-398706243</v>
      </c>
      <c r="K232" s="503">
        <f>SUM(K233,K236,K241,K251)</f>
        <v>3910903550</v>
      </c>
      <c r="L232" s="504">
        <f>SUM(L233,L236,L241,L251)</f>
        <v>176159769891</v>
      </c>
      <c r="N232" s="1623">
        <f t="shared" ref="N232:S232" si="70">SUM(N233,N236,N241,N251)</f>
        <v>19842800</v>
      </c>
      <c r="O232" s="503">
        <f t="shared" si="70"/>
        <v>0</v>
      </c>
      <c r="P232" s="503">
        <f t="shared" si="70"/>
        <v>-8280001</v>
      </c>
      <c r="Q232" s="503">
        <f t="shared" si="70"/>
        <v>-26099026</v>
      </c>
      <c r="R232" s="503">
        <f t="shared" si="70"/>
        <v>1787221215</v>
      </c>
      <c r="S232" s="503">
        <f t="shared" si="70"/>
        <v>-20000000</v>
      </c>
      <c r="T232" s="503">
        <f>SUM(T233,T236,T241,T251)</f>
        <v>-182737552</v>
      </c>
      <c r="U232" s="503">
        <f>SUM(U233,U236,U241,U251)</f>
        <v>-7410958471</v>
      </c>
      <c r="V232" s="504">
        <f>SUM(V233,V236,V241,V251)</f>
        <v>-5841011035</v>
      </c>
      <c r="X232" s="1622">
        <f>SUM(X233,X236,X241,X251)</f>
        <v>170318758856</v>
      </c>
      <c r="Z232" s="1622">
        <f>SUM(Z233,Z236,Z241,Z251)</f>
        <v>90679544379</v>
      </c>
      <c r="AB232" s="1622">
        <v>124794087162</v>
      </c>
      <c r="AC232" s="1622">
        <v>126082156761</v>
      </c>
      <c r="AD232" s="1622">
        <v>126285242180</v>
      </c>
      <c r="AE232" s="1622">
        <v>117113674853</v>
      </c>
      <c r="AF232" s="1622">
        <v>117105471521</v>
      </c>
      <c r="AG232" s="1622">
        <v>116259659086</v>
      </c>
      <c r="AH232" s="1622">
        <v>91716882595</v>
      </c>
      <c r="AI232" s="1622">
        <v>79639214477</v>
      </c>
      <c r="AJ232" s="1622">
        <v>95867330326</v>
      </c>
      <c r="AK232" s="1622">
        <v>95168013581</v>
      </c>
      <c r="AL232" s="1622">
        <v>81128321240</v>
      </c>
      <c r="AM232" s="1622">
        <f>SUM(AM233,AM236,AM241,AM251)</f>
        <v>97962288029</v>
      </c>
      <c r="AN232" s="1622">
        <v>95801398968</v>
      </c>
      <c r="AP232" s="498"/>
    </row>
    <row r="233" spans="1:42" ht="18" customHeight="1">
      <c r="A233" s="498"/>
      <c r="D233" s="1588"/>
      <c r="E233" s="1589"/>
      <c r="F233" s="1590"/>
      <c r="G233" s="1589" t="s">
        <v>10</v>
      </c>
      <c r="H233" s="520">
        <f>H234+H235</f>
        <v>37810786500</v>
      </c>
      <c r="I233" s="520">
        <f t="shared" ref="I233:L233" si="71">I234+I235</f>
        <v>11666500</v>
      </c>
      <c r="J233" s="520">
        <f t="shared" si="71"/>
        <v>37013277500</v>
      </c>
      <c r="K233" s="520">
        <f t="shared" si="71"/>
        <v>511470000</v>
      </c>
      <c r="L233" s="507">
        <f t="shared" si="71"/>
        <v>75347200500</v>
      </c>
      <c r="N233" s="1631">
        <f>N234+N235</f>
        <v>0</v>
      </c>
      <c r="O233" s="506">
        <f t="shared" ref="O233:V233" si="72">O234+O235</f>
        <v>0</v>
      </c>
      <c r="P233" s="506">
        <f t="shared" si="72"/>
        <v>0</v>
      </c>
      <c r="Q233" s="506">
        <f t="shared" si="72"/>
        <v>0</v>
      </c>
      <c r="R233" s="506">
        <f t="shared" si="72"/>
        <v>0</v>
      </c>
      <c r="S233" s="506">
        <f t="shared" si="72"/>
        <v>0</v>
      </c>
      <c r="T233" s="506">
        <f t="shared" si="72"/>
        <v>0</v>
      </c>
      <c r="U233" s="506">
        <f t="shared" si="72"/>
        <v>-37536414000</v>
      </c>
      <c r="V233" s="507">
        <f t="shared" si="72"/>
        <v>-37536414000</v>
      </c>
      <c r="X233" s="1630">
        <f>X234+X235</f>
        <v>37810786500</v>
      </c>
      <c r="Z233" s="1630">
        <f>Z234+Z235</f>
        <v>9380863000</v>
      </c>
      <c r="AB233" s="1630">
        <v>28429923500</v>
      </c>
      <c r="AC233" s="1630">
        <v>28429923500</v>
      </c>
      <c r="AD233" s="1630">
        <v>28429923500</v>
      </c>
      <c r="AE233" s="1630">
        <v>28429923500</v>
      </c>
      <c r="AF233" s="1630">
        <v>28429923500</v>
      </c>
      <c r="AG233" s="1630">
        <v>28429923500</v>
      </c>
      <c r="AH233" s="1630">
        <v>28429923500</v>
      </c>
      <c r="AI233" s="1630">
        <v>28429923500</v>
      </c>
      <c r="AJ233" s="1630">
        <v>28429923500</v>
      </c>
      <c r="AK233" s="1630">
        <v>28429923500</v>
      </c>
      <c r="AL233" s="1630">
        <v>28429923500</v>
      </c>
      <c r="AM233" s="1630">
        <f t="shared" ref="AM233" si="73">AM234</f>
        <v>28429923500</v>
      </c>
      <c r="AN233" s="1630">
        <v>28429923500</v>
      </c>
      <c r="AP233" s="498"/>
    </row>
    <row r="234" spans="1:42" ht="18" customHeight="1">
      <c r="A234" s="498"/>
      <c r="D234" s="1593">
        <v>310100</v>
      </c>
      <c r="E234" s="1359" t="s">
        <v>10</v>
      </c>
      <c r="F234" s="1361">
        <v>5101</v>
      </c>
      <c r="G234" s="1359" t="s">
        <v>190</v>
      </c>
      <c r="H234" s="498">
        <v>28429923500</v>
      </c>
      <c r="I234" s="498">
        <v>11666500</v>
      </c>
      <c r="J234" s="710">
        <v>37013277500</v>
      </c>
      <c r="K234" s="710">
        <v>511470000</v>
      </c>
      <c r="L234" s="510">
        <f>SUM(H234:K234)</f>
        <v>65966337500</v>
      </c>
      <c r="N234" s="1667">
        <f>-SUMIF('1.0'!$D:$D,T_BS!D234,'1.0'!$V:$V)</f>
        <v>0</v>
      </c>
      <c r="O234" s="710">
        <f>-SUMIF('2.0'!$D:$D,T_BS!D234,'2.0'!$V:$V)</f>
        <v>0</v>
      </c>
      <c r="P234" s="509">
        <f>-ROUND(SUMIF('3.0'!$D:$D,T_BS!D234,'3.0'!$H:$H),0)</f>
        <v>0</v>
      </c>
      <c r="Q234" s="720">
        <f>-ROUND(SUMIF('4.0'!$D:$D,T_BS!D234,'4.0'!$V:$V),0)</f>
        <v>0</v>
      </c>
      <c r="R234" s="509">
        <f>-ROUND(SUMIF('5.0'!$D:$D,T_BS!D234,'5.0'!$V:$V),0)</f>
        <v>0</v>
      </c>
      <c r="S234" s="720">
        <f>-ROUND(SUMIF('6.0'!$D:$D,T_BS!D234,'6.0'!$V:$V),0)</f>
        <v>0</v>
      </c>
      <c r="T234" s="720">
        <f>ROUND(SUMIF('7.0'!$D:$D,T_BS!D234,'7.0'!$V:$V),0)</f>
        <v>0</v>
      </c>
      <c r="U234" s="720">
        <f>-ROUND(SUMIF('8.0'!$D:$D,T_BS!D234,'8.0'!$H:$H),0)</f>
        <v>-37536414000</v>
      </c>
      <c r="V234" s="510">
        <f t="shared" ref="V234:V235" si="74">SUM(N234:U234)</f>
        <v>-37536414000</v>
      </c>
      <c r="X234" s="1641">
        <f>V234+L234</f>
        <v>28429923500</v>
      </c>
      <c r="Z234" s="1616">
        <f>X234-AI234</f>
        <v>0</v>
      </c>
      <c r="AB234" s="1616">
        <v>28429923500</v>
      </c>
      <c r="AC234" s="1616">
        <v>28429923500</v>
      </c>
      <c r="AD234" s="1616">
        <v>28429923500</v>
      </c>
      <c r="AE234" s="1616">
        <v>28429923500</v>
      </c>
      <c r="AF234" s="1616">
        <v>28429923500</v>
      </c>
      <c r="AG234" s="1616">
        <v>28429923500</v>
      </c>
      <c r="AH234" s="1616">
        <v>28429923500</v>
      </c>
      <c r="AI234" s="1616">
        <v>28429923500</v>
      </c>
      <c r="AJ234" s="1616">
        <v>28429923500</v>
      </c>
      <c r="AK234" s="1616">
        <v>28429923500</v>
      </c>
      <c r="AL234" s="1616">
        <v>28429923500</v>
      </c>
      <c r="AM234" s="1616">
        <v>28429923500</v>
      </c>
      <c r="AN234" s="1616">
        <v>28429923500</v>
      </c>
      <c r="AP234" s="498"/>
    </row>
    <row r="235" spans="1:42" ht="18" customHeight="1">
      <c r="A235" s="498"/>
      <c r="D235" s="2058">
        <v>310300</v>
      </c>
      <c r="E235" s="2059" t="s">
        <v>2913</v>
      </c>
      <c r="F235" s="2060">
        <v>5102</v>
      </c>
      <c r="G235" s="2059" t="s">
        <v>2914</v>
      </c>
      <c r="H235" s="2061">
        <v>9380863000</v>
      </c>
      <c r="I235" s="2061">
        <v>0</v>
      </c>
      <c r="J235" s="2062">
        <v>0</v>
      </c>
      <c r="K235" s="2062">
        <v>0</v>
      </c>
      <c r="L235" s="2063">
        <f>SUM(H235:K235)</f>
        <v>9380863000</v>
      </c>
      <c r="N235" s="2064">
        <f>-SUMIF('1.0'!$D:$D,T_BS!D235,'1.0'!$V:$V)</f>
        <v>0</v>
      </c>
      <c r="O235" s="2062">
        <f>-SUMIF('2.0'!$D:$D,T_BS!D235,'2.0'!$V:$V)</f>
        <v>0</v>
      </c>
      <c r="P235" s="2062">
        <f>-ROUND(SUMIF('3.0'!$D:$D,T_BS!D235,'3.0'!$H:$H),0)</f>
        <v>0</v>
      </c>
      <c r="Q235" s="2065">
        <f>-ROUND(SUMIF('4.0'!$D:$D,T_BS!D235,'4.0'!$V:$V),0)</f>
        <v>0</v>
      </c>
      <c r="R235" s="2062">
        <f>-ROUND(SUMIF('5.0'!$D:$D,T_BS!D235,'5.0'!$V:$V),0)</f>
        <v>0</v>
      </c>
      <c r="S235" s="2065">
        <f>-ROUND(SUMIF('6.0'!$D:$D,T_BS!D235,'6.0'!$V:$V),0)</f>
        <v>0</v>
      </c>
      <c r="T235" s="2065">
        <f>ROUND(SUMIF('7.0'!$D:$D,T_BS!D235,'7.0'!$V:$V),0)</f>
        <v>0</v>
      </c>
      <c r="U235" s="2065">
        <f>-ROUND(SUMIF('8.0'!$D:$D,T_BS!D235,'8.0'!$H:$H),0)</f>
        <v>0</v>
      </c>
      <c r="V235" s="2063">
        <f t="shared" si="74"/>
        <v>0</v>
      </c>
      <c r="X235" s="2066">
        <f>V235+L235</f>
        <v>9380863000</v>
      </c>
      <c r="Z235" s="2066">
        <f>X235-AI235</f>
        <v>9380863000</v>
      </c>
      <c r="AB235" s="2066">
        <v>0</v>
      </c>
      <c r="AC235" s="2066">
        <v>0</v>
      </c>
      <c r="AD235" s="2066">
        <v>0</v>
      </c>
      <c r="AE235" s="2066">
        <v>0</v>
      </c>
      <c r="AF235" s="2066">
        <v>0</v>
      </c>
      <c r="AG235" s="2066">
        <v>0</v>
      </c>
      <c r="AH235" s="2066">
        <v>0</v>
      </c>
      <c r="AI235" s="2066">
        <v>0</v>
      </c>
      <c r="AJ235" s="2066">
        <v>0</v>
      </c>
      <c r="AK235" s="2066">
        <v>0</v>
      </c>
      <c r="AL235" s="2066">
        <v>0</v>
      </c>
      <c r="AM235" s="2066">
        <v>0</v>
      </c>
      <c r="AN235" s="2066">
        <v>0</v>
      </c>
      <c r="AP235" s="498"/>
    </row>
    <row r="236" spans="1:42" ht="18" customHeight="1">
      <c r="A236" s="498"/>
      <c r="D236" s="1588"/>
      <c r="E236" s="1589"/>
      <c r="F236" s="1590"/>
      <c r="G236" s="1589" t="s">
        <v>12</v>
      </c>
      <c r="H236" s="520">
        <f>SUM(H237:H240)</f>
        <v>110823464474</v>
      </c>
      <c r="I236" s="506">
        <f>SUM(I237:I240)</f>
        <v>1992475900</v>
      </c>
      <c r="J236" s="506">
        <f>SUM(J237:J240)</f>
        <v>0</v>
      </c>
      <c r="K236" s="506">
        <f>SUM(K237:K240)</f>
        <v>0</v>
      </c>
      <c r="L236" s="507">
        <f>SUM(L237:L240)</f>
        <v>112815940374</v>
      </c>
      <c r="N236" s="1631">
        <f t="shared" ref="N236:S236" si="75">SUM(N237:N240)</f>
        <v>-118784521</v>
      </c>
      <c r="O236" s="506">
        <f t="shared" si="75"/>
        <v>0</v>
      </c>
      <c r="P236" s="506">
        <f t="shared" si="75"/>
        <v>0</v>
      </c>
      <c r="Q236" s="506">
        <f t="shared" si="75"/>
        <v>0</v>
      </c>
      <c r="R236" s="506">
        <f t="shared" si="75"/>
        <v>0</v>
      </c>
      <c r="S236" s="506">
        <f t="shared" si="75"/>
        <v>0</v>
      </c>
      <c r="T236" s="506">
        <f>SUM(T237:T240)</f>
        <v>0</v>
      </c>
      <c r="U236" s="506">
        <f>SUM(U237:U240)</f>
        <v>-1992475900</v>
      </c>
      <c r="V236" s="507">
        <f>SUM(V237:V240)</f>
        <v>-2111260421</v>
      </c>
      <c r="X236" s="1630">
        <f>SUM(X237:X240)</f>
        <v>110704679953</v>
      </c>
      <c r="Z236" s="1630">
        <f>SUM(Z237:Z240)</f>
        <v>-68039313150</v>
      </c>
      <c r="AB236" s="1630">
        <v>60141828383</v>
      </c>
      <c r="AC236" s="1630">
        <v>60141828383</v>
      </c>
      <c r="AD236" s="1630">
        <v>60141828383</v>
      </c>
      <c r="AE236" s="1630">
        <v>60086299529</v>
      </c>
      <c r="AF236" s="1630">
        <v>60086299529</v>
      </c>
      <c r="AG236" s="1630">
        <v>60086299529</v>
      </c>
      <c r="AH236" s="1630">
        <v>59989124475</v>
      </c>
      <c r="AI236" s="1630">
        <v>178743993103</v>
      </c>
      <c r="AJ236" s="1630">
        <v>178691304444</v>
      </c>
      <c r="AK236" s="1630">
        <v>178678131785</v>
      </c>
      <c r="AL236" s="1630">
        <v>178605820232</v>
      </c>
      <c r="AM236" s="1630">
        <f>SUM(AM237:AM240)</f>
        <v>178559577856</v>
      </c>
      <c r="AN236" s="1630">
        <v>178559577856</v>
      </c>
      <c r="AP236" s="498"/>
    </row>
    <row r="237" spans="1:42" ht="18" customHeight="1">
      <c r="A237" s="498"/>
      <c r="D237" s="1593">
        <v>320100</v>
      </c>
      <c r="E237" s="1359" t="s">
        <v>12</v>
      </c>
      <c r="F237" s="1361">
        <v>5201</v>
      </c>
      <c r="G237" s="1359" t="s">
        <v>191</v>
      </c>
      <c r="H237" s="498">
        <v>59065212344</v>
      </c>
      <c r="I237" s="498">
        <v>1992475900</v>
      </c>
      <c r="J237" s="710">
        <v>0</v>
      </c>
      <c r="K237" s="710">
        <v>0</v>
      </c>
      <c r="L237" s="510">
        <f>SUM(H237:K237)</f>
        <v>61057688244</v>
      </c>
      <c r="N237" s="1667">
        <f>-SUMIF('1.0'!$D:$D,T_BS!D237,'1.0'!$V:$V)</f>
        <v>0</v>
      </c>
      <c r="O237" s="710">
        <f>-SUMIF('2.0'!$D:$D,T_BS!D237,'2.0'!$V:$V)</f>
        <v>0</v>
      </c>
      <c r="P237" s="509">
        <f>-ROUND(SUMIF('3.0'!$D:$D,T_BS!D237,'3.0'!$H:$H),0)</f>
        <v>0</v>
      </c>
      <c r="Q237" s="720">
        <f>-ROUND(SUMIF('4.0'!$D:$D,T_BS!D237,'4.0'!$V:$V),0)</f>
        <v>0</v>
      </c>
      <c r="R237" s="509">
        <f>-ROUND(SUMIF('5.0'!$D:$D,T_BS!D237,'5.0'!$V:$V),0)</f>
        <v>0</v>
      </c>
      <c r="S237" s="720">
        <f>-ROUND(SUMIF('6.0'!$D:$D,T_BS!D237,'6.0'!$V:$V),0)</f>
        <v>0</v>
      </c>
      <c r="T237" s="720">
        <f>ROUND(SUMIF('7.0'!$D:$D,T_BS!D237,'7.0'!$V:$V),0)</f>
        <v>0</v>
      </c>
      <c r="U237" s="720">
        <f>-ROUND(SUMIF('8.0'!$D:$D,T_BS!D237,'8.0'!$H:$H),0)</f>
        <v>-1992475900</v>
      </c>
      <c r="V237" s="510">
        <f t="shared" ref="V237:V256" si="76">SUM(N237:U237)</f>
        <v>-1992475900</v>
      </c>
      <c r="X237" s="1641">
        <f>V237+L237</f>
        <v>59065212344</v>
      </c>
      <c r="Z237" s="1616">
        <f>X237-AI237</f>
        <v>-118931789842</v>
      </c>
      <c r="AB237" s="1616">
        <v>59065212344</v>
      </c>
      <c r="AC237" s="1616">
        <v>59065212344</v>
      </c>
      <c r="AD237" s="1616">
        <v>59065212344</v>
      </c>
      <c r="AE237" s="1616">
        <v>59065212344</v>
      </c>
      <c r="AF237" s="1616">
        <v>59065212344</v>
      </c>
      <c r="AG237" s="1616">
        <v>59065212344</v>
      </c>
      <c r="AH237" s="1616">
        <v>59065212344</v>
      </c>
      <c r="AI237" s="1616">
        <v>177997002186</v>
      </c>
      <c r="AJ237" s="1616">
        <v>177997002186</v>
      </c>
      <c r="AK237" s="1616">
        <v>177997002186</v>
      </c>
      <c r="AL237" s="1616">
        <v>177997002186</v>
      </c>
      <c r="AM237" s="1616">
        <v>177997002186</v>
      </c>
      <c r="AN237" s="1616">
        <v>177997002186</v>
      </c>
      <c r="AP237" s="498"/>
    </row>
    <row r="238" spans="1:42" ht="18" customHeight="1">
      <c r="A238" s="498"/>
      <c r="D238" s="2058">
        <v>320101</v>
      </c>
      <c r="E238" s="2059" t="s">
        <v>12</v>
      </c>
      <c r="F238" s="2060">
        <v>5201</v>
      </c>
      <c r="G238" s="2059" t="s">
        <v>2915</v>
      </c>
      <c r="H238" s="2061">
        <v>50562851570</v>
      </c>
      <c r="I238" s="2061">
        <v>0</v>
      </c>
      <c r="J238" s="2062">
        <v>0</v>
      </c>
      <c r="K238" s="2062">
        <f>IFERROR(SUMIF([2]BS_INPUT!$D:$D,D238,[2]BS_INPUT!$Q:$Q),0)</f>
        <v>0</v>
      </c>
      <c r="L238" s="2063">
        <f>SUM(H238:K238)</f>
        <v>50562851570</v>
      </c>
      <c r="N238" s="2064">
        <f>-SUMIF('1.0'!$D:$D,T_BS!D238,'1.0'!$V:$V)</f>
        <v>0</v>
      </c>
      <c r="O238" s="2062">
        <f>-SUMIF('2.0'!$D:$D,T_BS!D238,'2.0'!$V:$V)</f>
        <v>0</v>
      </c>
      <c r="P238" s="2062">
        <f>-ROUND(SUMIF('3.0'!$D:$D,T_BS!D238,'3.0'!$H:$H),0)</f>
        <v>0</v>
      </c>
      <c r="Q238" s="2065">
        <f>-ROUND(SUMIF('4.0'!$D:$D,T_BS!D238,'4.0'!$V:$V),0)</f>
        <v>0</v>
      </c>
      <c r="R238" s="2062">
        <f>-ROUND(SUMIF('5.0'!$D:$D,T_BS!D238,'5.0'!$V:$V),0)</f>
        <v>0</v>
      </c>
      <c r="S238" s="2065">
        <f>-ROUND(SUMIF('6.0'!$D:$D,T_BS!D238,'6.0'!$V:$V),0)</f>
        <v>0</v>
      </c>
      <c r="T238" s="2065">
        <f>ROUND(SUMIF('7.0'!$D:$D,T_BS!D238,'7.0'!$V:$V),0)</f>
        <v>0</v>
      </c>
      <c r="U238" s="2065">
        <f>-ROUND(SUMIF('8.0'!$D:$D,T_BS!D238,'8.0'!$H:$H),0)</f>
        <v>0</v>
      </c>
      <c r="V238" s="2063">
        <f t="shared" si="76"/>
        <v>0</v>
      </c>
      <c r="X238" s="2066">
        <f>V238+L238</f>
        <v>50562851570</v>
      </c>
      <c r="Z238" s="2066">
        <f>X238-AI238</f>
        <v>50562851570</v>
      </c>
      <c r="AB238" s="2066">
        <v>0</v>
      </c>
      <c r="AC238" s="2066">
        <v>0</v>
      </c>
      <c r="AD238" s="2066">
        <v>0</v>
      </c>
      <c r="AE238" s="2066">
        <v>0</v>
      </c>
      <c r="AF238" s="2066">
        <v>0</v>
      </c>
      <c r="AG238" s="2066">
        <v>0</v>
      </c>
      <c r="AH238" s="2066">
        <v>0</v>
      </c>
      <c r="AI238" s="2066">
        <v>0</v>
      </c>
      <c r="AJ238" s="2066">
        <v>0</v>
      </c>
      <c r="AK238" s="2066">
        <v>0</v>
      </c>
      <c r="AL238" s="2066">
        <v>0</v>
      </c>
      <c r="AM238" s="2066">
        <v>0</v>
      </c>
      <c r="AN238" s="2066">
        <v>0</v>
      </c>
      <c r="AP238" s="498"/>
    </row>
    <row r="239" spans="1:42" ht="18" customHeight="1">
      <c r="A239" s="498"/>
      <c r="D239" s="1593">
        <v>320500</v>
      </c>
      <c r="E239" s="1359" t="s">
        <v>12</v>
      </c>
      <c r="F239" s="1361">
        <v>5203</v>
      </c>
      <c r="G239" s="1359" t="s">
        <v>192</v>
      </c>
      <c r="H239" s="498">
        <v>0</v>
      </c>
      <c r="I239" s="498">
        <v>0</v>
      </c>
      <c r="J239" s="710">
        <v>0</v>
      </c>
      <c r="K239" s="710">
        <v>0</v>
      </c>
      <c r="L239" s="510">
        <f>SUM(H239:K239)</f>
        <v>0</v>
      </c>
      <c r="N239" s="1667">
        <f>-SUMIF('1.0'!$D:$D,T_BS!D239,'1.0'!$V:$V)</f>
        <v>0</v>
      </c>
      <c r="O239" s="710">
        <f>-SUMIF('2.0'!$D:$D,T_BS!D239,'2.0'!$V:$V)</f>
        <v>0</v>
      </c>
      <c r="P239" s="509">
        <f>-ROUND(SUMIF('3.0'!$D:$D,T_BS!D239,'3.0'!$H:$H),0)</f>
        <v>0</v>
      </c>
      <c r="Q239" s="720">
        <f>-ROUND(SUMIF('4.0'!$D:$D,T_BS!D239,'4.0'!$V:$V),0)</f>
        <v>0</v>
      </c>
      <c r="R239" s="509">
        <f>-ROUND(SUMIF('5.0'!$D:$D,T_BS!D239,'5.0'!$V:$V),0)</f>
        <v>0</v>
      </c>
      <c r="S239" s="720">
        <f>-ROUND(SUMIF('6.0'!$D:$D,T_BS!D239,'6.0'!$V:$V),0)</f>
        <v>0</v>
      </c>
      <c r="T239" s="720">
        <f>ROUND(SUMIF('7.0'!$D:$D,T_BS!D239,'7.0'!$V:$V),0)</f>
        <v>0</v>
      </c>
      <c r="U239" s="720">
        <f>-ROUND(SUMIF('8.0'!$D:$D,T_BS!D239,'8.0'!$H:$H),0)</f>
        <v>0</v>
      </c>
      <c r="V239" s="510">
        <f t="shared" si="76"/>
        <v>0</v>
      </c>
      <c r="X239" s="1641">
        <f>V239+L239</f>
        <v>0</v>
      </c>
      <c r="Z239" s="1616">
        <f>X239-AI239</f>
        <v>0</v>
      </c>
      <c r="AB239" s="1616">
        <v>0</v>
      </c>
      <c r="AC239" s="1616">
        <v>0</v>
      </c>
      <c r="AD239" s="1616">
        <v>0</v>
      </c>
      <c r="AE239" s="1616">
        <v>0</v>
      </c>
      <c r="AF239" s="1616">
        <v>0</v>
      </c>
      <c r="AG239" s="1616">
        <v>0</v>
      </c>
      <c r="AH239" s="1616">
        <v>0</v>
      </c>
      <c r="AI239" s="1616">
        <v>0</v>
      </c>
      <c r="AJ239" s="1616">
        <v>0</v>
      </c>
      <c r="AK239" s="1616">
        <v>0</v>
      </c>
      <c r="AL239" s="1616">
        <v>0</v>
      </c>
      <c r="AM239" s="1616">
        <v>0</v>
      </c>
      <c r="AN239" s="1616">
        <v>0</v>
      </c>
      <c r="AP239" s="498"/>
    </row>
    <row r="240" spans="1:42" ht="18" customHeight="1">
      <c r="A240" s="498"/>
      <c r="D240" s="1593">
        <v>320300</v>
      </c>
      <c r="E240" s="1359" t="s">
        <v>12</v>
      </c>
      <c r="F240" s="1361">
        <v>5202</v>
      </c>
      <c r="G240" s="1359" t="s">
        <v>193</v>
      </c>
      <c r="H240" s="498">
        <v>1195400560</v>
      </c>
      <c r="I240" s="498">
        <v>0</v>
      </c>
      <c r="J240" s="710">
        <v>0</v>
      </c>
      <c r="K240" s="710">
        <v>0</v>
      </c>
      <c r="L240" s="510">
        <f>SUM(H240:K240)</f>
        <v>1195400560</v>
      </c>
      <c r="N240" s="1667">
        <f>-SUMIF('1.0'!$D:$D,T_BS!D240,'1.0'!$V:$V)</f>
        <v>-118784521</v>
      </c>
      <c r="O240" s="710">
        <f>-SUMIF('2.0'!$D:$D,T_BS!D240,'2.0'!$V:$V)</f>
        <v>0</v>
      </c>
      <c r="P240" s="509">
        <f>-ROUND(SUMIF('3.0'!$D:$D,T_BS!D240,'3.0'!$H:$H),0)</f>
        <v>0</v>
      </c>
      <c r="Q240" s="720">
        <f>-ROUND(SUMIF('4.0'!$D:$D,T_BS!D240,'4.0'!$V:$V),0)</f>
        <v>0</v>
      </c>
      <c r="R240" s="509">
        <f>-ROUND(SUMIF('5.0'!$D:$D,T_BS!D240,'5.0'!$V:$V),0)</f>
        <v>0</v>
      </c>
      <c r="S240" s="720">
        <f>-ROUND(SUMIF('6.0'!$D:$D,T_BS!D240,'6.0'!$V:$V),0)</f>
        <v>0</v>
      </c>
      <c r="T240" s="720">
        <f>ROUND(SUMIF('7.0'!$D:$D,T_BS!D240,'7.0'!$V:$V),0)</f>
        <v>0</v>
      </c>
      <c r="U240" s="720">
        <f>-ROUND(SUMIF('8.0'!$D:$D,T_BS!D240,'8.0'!$H:$H),0)</f>
        <v>0</v>
      </c>
      <c r="V240" s="510">
        <f t="shared" si="76"/>
        <v>-118784521</v>
      </c>
      <c r="X240" s="1641">
        <f>V240+L240</f>
        <v>1076616039</v>
      </c>
      <c r="Z240" s="1616">
        <f>X240-AI240</f>
        <v>329625122</v>
      </c>
      <c r="AB240" s="1616">
        <v>1076616039</v>
      </c>
      <c r="AC240" s="1616">
        <v>1076616039</v>
      </c>
      <c r="AD240" s="1616">
        <v>1076616039</v>
      </c>
      <c r="AE240" s="1616">
        <v>1021087185</v>
      </c>
      <c r="AF240" s="1616">
        <v>1021087185</v>
      </c>
      <c r="AG240" s="1616">
        <v>1021087185</v>
      </c>
      <c r="AH240" s="1616">
        <v>923912131</v>
      </c>
      <c r="AI240" s="1616">
        <v>746990917</v>
      </c>
      <c r="AJ240" s="1616">
        <v>694302258</v>
      </c>
      <c r="AK240" s="1616">
        <v>681129599</v>
      </c>
      <c r="AL240" s="1616">
        <v>608818046</v>
      </c>
      <c r="AM240" s="1616">
        <v>562575670</v>
      </c>
      <c r="AN240" s="1616">
        <v>562575670</v>
      </c>
      <c r="AP240" s="498"/>
    </row>
    <row r="241" spans="1:42" ht="18" customHeight="1">
      <c r="A241" s="498"/>
      <c r="D241" s="1588"/>
      <c r="E241" s="1589"/>
      <c r="F241" s="1590"/>
      <c r="G241" s="1589" t="s">
        <v>194</v>
      </c>
      <c r="H241" s="520">
        <f>SUM(H242:H250)</f>
        <v>-7930555229</v>
      </c>
      <c r="I241" s="506">
        <f>SUM(I242:I250)</f>
        <v>0</v>
      </c>
      <c r="J241" s="506">
        <f>SUM(J242:J250)</f>
        <v>936609346</v>
      </c>
      <c r="K241" s="506">
        <f>SUM(K242:K250)</f>
        <v>-1065782088</v>
      </c>
      <c r="L241" s="507">
        <f>SUM(L242:L250)</f>
        <v>-8059727971</v>
      </c>
      <c r="N241" s="1631">
        <f t="shared" ref="N241:V241" si="77">SUM(N242:N250)</f>
        <v>0</v>
      </c>
      <c r="O241" s="506">
        <f t="shared" si="77"/>
        <v>0</v>
      </c>
      <c r="P241" s="506">
        <f t="shared" si="77"/>
        <v>0</v>
      </c>
      <c r="Q241" s="506">
        <f t="shared" si="77"/>
        <v>0</v>
      </c>
      <c r="R241" s="506">
        <f t="shared" si="77"/>
        <v>913444479</v>
      </c>
      <c r="S241" s="506">
        <f t="shared" si="77"/>
        <v>0</v>
      </c>
      <c r="T241" s="506">
        <f t="shared" si="77"/>
        <v>0</v>
      </c>
      <c r="U241" s="506">
        <f t="shared" si="77"/>
        <v>6036794558</v>
      </c>
      <c r="V241" s="507">
        <f t="shared" si="77"/>
        <v>6950239037</v>
      </c>
      <c r="X241" s="1630">
        <f>SUM(X242:X250)</f>
        <v>-1109488934</v>
      </c>
      <c r="Z241" s="1630">
        <f>SUM(Z242:Z250)</f>
        <v>-794207542</v>
      </c>
      <c r="AB241" s="1630">
        <v>-1094761793</v>
      </c>
      <c r="AC241" s="1630">
        <v>-1111589738</v>
      </c>
      <c r="AD241" s="1630">
        <v>-940175661</v>
      </c>
      <c r="AE241" s="1630">
        <v>-984674566</v>
      </c>
      <c r="AF241" s="1630">
        <v>-957802263</v>
      </c>
      <c r="AG241" s="1630">
        <v>-1080384069</v>
      </c>
      <c r="AH241" s="1630">
        <v>-711898852</v>
      </c>
      <c r="AI241" s="1630">
        <v>-315281392</v>
      </c>
      <c r="AJ241" s="1630">
        <v>-309935198</v>
      </c>
      <c r="AK241" s="1630">
        <v>-187097655</v>
      </c>
      <c r="AL241" s="1630">
        <v>-375677574</v>
      </c>
      <c r="AM241" s="1630">
        <f>SUM(AM242:AM250)</f>
        <v>-325190951</v>
      </c>
      <c r="AN241" s="1630">
        <v>-310683954</v>
      </c>
      <c r="AP241" s="498"/>
    </row>
    <row r="242" spans="1:42" ht="18" customHeight="1">
      <c r="A242" s="498"/>
      <c r="D242" s="1593">
        <v>350300</v>
      </c>
      <c r="E242" s="1359" t="s">
        <v>194</v>
      </c>
      <c r="F242" s="1361">
        <v>5304</v>
      </c>
      <c r="G242" s="1359" t="s">
        <v>195</v>
      </c>
      <c r="H242" s="498">
        <v>0</v>
      </c>
      <c r="I242" s="498">
        <v>0</v>
      </c>
      <c r="J242" s="710">
        <v>0</v>
      </c>
      <c r="K242" s="710">
        <v>0</v>
      </c>
      <c r="L242" s="510">
        <f t="shared" ref="L242:L250" si="78">SUM(H242:K242)</f>
        <v>0</v>
      </c>
      <c r="N242" s="1667">
        <f>-SUMIF('1.0'!$D:$D,T_BS!D242,'1.0'!$V:$V)</f>
        <v>0</v>
      </c>
      <c r="O242" s="710">
        <f>-SUMIF('2.0'!$D:$D,T_BS!D242,'2.0'!$V:$V)</f>
        <v>0</v>
      </c>
      <c r="P242" s="509">
        <f>-ROUND(SUMIF('3.0'!$D:$D,T_BS!D242,'3.0'!$H:$H),0)</f>
        <v>0</v>
      </c>
      <c r="Q242" s="710">
        <f>-ROUND(SUMIF('4.0'!$D:$D,T_BS!D242,'4.0'!$V:$V),0)</f>
        <v>0</v>
      </c>
      <c r="R242" s="509">
        <f>-ROUND(SUMIF('5.0'!$D:$D,T_BS!D242,'5.0'!$V:$V),0)</f>
        <v>0</v>
      </c>
      <c r="S242" s="710">
        <f>-ROUND(SUMIF('6.0'!$D:$D,T_BS!D242,'6.0'!$V:$V),0)</f>
        <v>0</v>
      </c>
      <c r="T242" s="720">
        <f>-ROUND(SUMIF('7.0'!$D:$D,T_BS!D242,'7.0'!$V:$V),0)</f>
        <v>0</v>
      </c>
      <c r="U242" s="710">
        <f>-ROUND(SUMIF('8.0'!$D:$D,T_BS!D242,'8.0'!$H:$H),0)</f>
        <v>0</v>
      </c>
      <c r="V242" s="510">
        <f t="shared" si="76"/>
        <v>0</v>
      </c>
      <c r="X242" s="1641">
        <f t="shared" ref="X242:X250" si="79">V242+L242</f>
        <v>0</v>
      </c>
      <c r="Z242" s="1616">
        <f t="shared" ref="Z242:Z250" si="80">X242-AI242</f>
        <v>4240000</v>
      </c>
      <c r="AB242" s="1616">
        <v>0</v>
      </c>
      <c r="AC242" s="1616">
        <v>0</v>
      </c>
      <c r="AD242" s="1616">
        <v>0</v>
      </c>
      <c r="AE242" s="1616">
        <v>-4240000</v>
      </c>
      <c r="AF242" s="1616">
        <v>-4240000</v>
      </c>
      <c r="AG242" s="1616">
        <v>-4240000</v>
      </c>
      <c r="AH242" s="1616">
        <v>-4240000</v>
      </c>
      <c r="AI242" s="1616">
        <v>-4240000</v>
      </c>
      <c r="AJ242" s="1616">
        <v>-4240000</v>
      </c>
      <c r="AK242" s="1616">
        <v>-4240000</v>
      </c>
      <c r="AL242" s="1616">
        <v>-4240000</v>
      </c>
      <c r="AM242" s="1616">
        <v>-4240000</v>
      </c>
      <c r="AN242" s="1616">
        <v>-4240000</v>
      </c>
      <c r="AP242" s="498"/>
    </row>
    <row r="243" spans="1:42" ht="18" customHeight="1">
      <c r="A243" s="498"/>
      <c r="D243" s="1593">
        <v>350350</v>
      </c>
      <c r="E243" s="1359" t="s">
        <v>194</v>
      </c>
      <c r="F243" s="1361">
        <v>5301</v>
      </c>
      <c r="G243" s="1359" t="s">
        <v>196</v>
      </c>
      <c r="H243" s="498">
        <v>-1293810742</v>
      </c>
      <c r="I243" s="498">
        <v>0</v>
      </c>
      <c r="J243" s="710">
        <v>0</v>
      </c>
      <c r="K243" s="710">
        <v>0</v>
      </c>
      <c r="L243" s="510">
        <f t="shared" si="78"/>
        <v>-1293810742</v>
      </c>
      <c r="N243" s="1667">
        <f>-SUMIF('1.0'!$D:$D,T_BS!D243,'1.0'!$V:$V)</f>
        <v>0</v>
      </c>
      <c r="O243" s="710">
        <f>-SUMIF('2.0'!$D:$D,T_BS!D243,'2.0'!$V:$V)</f>
        <v>0</v>
      </c>
      <c r="P243" s="509">
        <f>-ROUND(SUMIF('3.0'!$D:$D,T_BS!D243,'3.0'!$H:$H),0)</f>
        <v>0</v>
      </c>
      <c r="Q243" s="710">
        <f>-ROUND(SUMIF('4.0'!$D:$D,T_BS!D243,'4.0'!$V:$V),0)</f>
        <v>0</v>
      </c>
      <c r="R243" s="509">
        <f>-ROUND(SUMIF('5.0'!$D:$D,T_BS!D243,'5.0'!$V:$V),0)</f>
        <v>0</v>
      </c>
      <c r="S243" s="710">
        <f>-ROUND(SUMIF('6.0'!$D:$D,T_BS!D243,'6.0'!$V:$V),0)</f>
        <v>0</v>
      </c>
      <c r="T243" s="720">
        <f>-ROUND(SUMIF('7.0'!$D:$D,T_BS!D243,'7.0'!$V:$V),0)</f>
        <v>0</v>
      </c>
      <c r="U243" s="710">
        <f>-ROUND(SUMIF('8.0'!$D:$D,T_BS!D243,'8.0'!$H:$H),0)</f>
        <v>0</v>
      </c>
      <c r="V243" s="510">
        <f t="shared" si="76"/>
        <v>0</v>
      </c>
      <c r="X243" s="1641">
        <f t="shared" si="79"/>
        <v>-1293810742</v>
      </c>
      <c r="Z243" s="1616">
        <f t="shared" si="80"/>
        <v>-1771023</v>
      </c>
      <c r="AB243" s="1616">
        <v>-1293810742</v>
      </c>
      <c r="AC243" s="1616">
        <v>-1293810742</v>
      </c>
      <c r="AD243" s="1616">
        <v>-1293810742</v>
      </c>
      <c r="AE243" s="1616">
        <v>-1292039719</v>
      </c>
      <c r="AF243" s="1616">
        <v>-1292039719</v>
      </c>
      <c r="AG243" s="1616">
        <v>-1292039719</v>
      </c>
      <c r="AH243" s="1616">
        <v>-1292039719</v>
      </c>
      <c r="AI243" s="1616">
        <v>-1292039719</v>
      </c>
      <c r="AJ243" s="1616">
        <v>-1292039719</v>
      </c>
      <c r="AK243" s="1616">
        <v>-1292039719</v>
      </c>
      <c r="AL243" s="1616">
        <v>-1292039719</v>
      </c>
      <c r="AM243" s="1616">
        <v>-1292039719</v>
      </c>
      <c r="AN243" s="1616">
        <v>-1292039719</v>
      </c>
      <c r="AP243" s="498"/>
    </row>
    <row r="244" spans="1:42" ht="18" customHeight="1">
      <c r="A244" s="498"/>
      <c r="D244" s="1593" t="s">
        <v>1347</v>
      </c>
      <c r="E244" s="1359" t="s">
        <v>194</v>
      </c>
      <c r="F244" s="1361" t="s">
        <v>611</v>
      </c>
      <c r="G244" s="1359" t="s">
        <v>225</v>
      </c>
      <c r="H244" s="498">
        <v>0</v>
      </c>
      <c r="I244" s="498">
        <v>0</v>
      </c>
      <c r="J244" s="710">
        <v>0</v>
      </c>
      <c r="K244" s="710">
        <v>0</v>
      </c>
      <c r="L244" s="510">
        <f t="shared" si="78"/>
        <v>0</v>
      </c>
      <c r="N244" s="1667">
        <f>-SUMIF('1.0'!$D:$D,T_BS!D244,'1.0'!$V:$V)</f>
        <v>0</v>
      </c>
      <c r="O244" s="710">
        <f>-SUMIF('2.0'!$D:$D,T_BS!D244,'2.0'!$V:$V)</f>
        <v>0</v>
      </c>
      <c r="P244" s="509">
        <f>-ROUND(SUMIF('3.0'!$D:$D,T_BS!D244,'3.0'!$H:$H),0)</f>
        <v>0</v>
      </c>
      <c r="Q244" s="710">
        <f>-ROUND(SUMIF('4.0'!$D:$D,T_BS!D244,'4.0'!$V:$V),0)</f>
        <v>0</v>
      </c>
      <c r="R244" s="509">
        <f>-ROUND(SUMIF('5.0'!$D:$D,T_BS!D244,'5.0'!$V:$V),0)</f>
        <v>0</v>
      </c>
      <c r="S244" s="710">
        <f>-ROUND(SUMIF('6.0'!$D:$D,T_BS!D244,'6.0'!$V:$V),0)</f>
        <v>0</v>
      </c>
      <c r="T244" s="720">
        <f>-ROUND(SUMIF('7.0'!$D:$D,T_BS!D244,'7.0'!$V:$V),0)</f>
        <v>0</v>
      </c>
      <c r="U244" s="710">
        <f>-ROUND(SUMIF('8.0'!$D:$D,T_BS!D244,'8.0'!$H:$H),0)</f>
        <v>0</v>
      </c>
      <c r="V244" s="510">
        <f t="shared" si="76"/>
        <v>0</v>
      </c>
      <c r="X244" s="1641">
        <f t="shared" si="79"/>
        <v>0</v>
      </c>
      <c r="Z244" s="1616">
        <f t="shared" si="80"/>
        <v>0</v>
      </c>
      <c r="AB244" s="1616">
        <v>0</v>
      </c>
      <c r="AC244" s="1616">
        <v>0</v>
      </c>
      <c r="AD244" s="1616">
        <v>0</v>
      </c>
      <c r="AE244" s="1616">
        <v>0</v>
      </c>
      <c r="AF244" s="1616">
        <v>0</v>
      </c>
      <c r="AG244" s="1616">
        <v>0</v>
      </c>
      <c r="AH244" s="1616">
        <v>0</v>
      </c>
      <c r="AI244" s="1616">
        <v>0</v>
      </c>
      <c r="AJ244" s="1616">
        <v>0</v>
      </c>
      <c r="AK244" s="1616">
        <v>0</v>
      </c>
      <c r="AL244" s="1616">
        <v>0</v>
      </c>
      <c r="AM244" s="1616">
        <v>0</v>
      </c>
      <c r="AN244" s="1616">
        <v>0</v>
      </c>
      <c r="AP244" s="498"/>
    </row>
    <row r="245" spans="1:42" ht="18" customHeight="1">
      <c r="A245" s="498"/>
      <c r="D245" s="1593">
        <v>350400</v>
      </c>
      <c r="E245" s="1359" t="s">
        <v>194</v>
      </c>
      <c r="F245" s="1361">
        <v>5302</v>
      </c>
      <c r="G245" s="1359" t="s">
        <v>197</v>
      </c>
      <c r="H245" s="498">
        <v>1083527473</v>
      </c>
      <c r="I245" s="498">
        <v>0</v>
      </c>
      <c r="J245" s="710">
        <v>0</v>
      </c>
      <c r="K245" s="710">
        <v>0</v>
      </c>
      <c r="L245" s="510">
        <f t="shared" si="78"/>
        <v>1083527473</v>
      </c>
      <c r="N245" s="1667">
        <f>-SUMIF('1.0'!$D:$D,T_BS!D245,'1.0'!$V:$V)</f>
        <v>0</v>
      </c>
      <c r="O245" s="710">
        <f>-SUMIF('2.0'!$D:$D,T_BS!D245,'2.0'!$V:$V)</f>
        <v>0</v>
      </c>
      <c r="P245" s="509">
        <f>-ROUND(SUMIF('3.0'!$D:$D,T_BS!D245,'3.0'!$H:$H),0)</f>
        <v>0</v>
      </c>
      <c r="Q245" s="710">
        <f>-ROUND(SUMIF('4.0'!$D:$D,T_BS!D245,'4.0'!$V:$V),0)</f>
        <v>0</v>
      </c>
      <c r="R245" s="509">
        <f>-ROUND(SUMIF('5.0'!$D:$D,T_BS!D245,'5.0'!$V:$V),0)</f>
        <v>0</v>
      </c>
      <c r="S245" s="710">
        <f>-ROUND(SUMIF('6.0'!$D:$D,T_BS!D245,'6.0'!$V:$V),0)</f>
        <v>0</v>
      </c>
      <c r="T245" s="720">
        <f>-ROUND(SUMIF('7.0'!$D:$D,T_BS!D245,'7.0'!$V:$V),0)</f>
        <v>0</v>
      </c>
      <c r="U245" s="710">
        <f>-ROUND(SUMIF('8.0'!$D:$D,T_BS!D245,'8.0'!$H:$H),0)</f>
        <v>0</v>
      </c>
      <c r="V245" s="510">
        <f t="shared" si="76"/>
        <v>0</v>
      </c>
      <c r="X245" s="1641">
        <f t="shared" si="79"/>
        <v>1083527473</v>
      </c>
      <c r="Z245" s="1616">
        <f t="shared" si="80"/>
        <v>-360723780</v>
      </c>
      <c r="AB245" s="1616">
        <v>1075182459</v>
      </c>
      <c r="AC245" s="1616">
        <v>1066837445</v>
      </c>
      <c r="AD245" s="1616">
        <v>1058492431</v>
      </c>
      <c r="AE245" s="1616">
        <v>1132511796</v>
      </c>
      <c r="AF245" s="1616">
        <v>1123512257</v>
      </c>
      <c r="AG245" s="1616">
        <v>1114512718</v>
      </c>
      <c r="AH245" s="1616">
        <v>1225924657</v>
      </c>
      <c r="AI245" s="1616">
        <v>1444251253</v>
      </c>
      <c r="AJ245" s="1616">
        <v>1463961213</v>
      </c>
      <c r="AK245" s="1616">
        <v>1448605611</v>
      </c>
      <c r="AL245" s="1616">
        <v>1445992555</v>
      </c>
      <c r="AM245" s="1616">
        <v>1430524615</v>
      </c>
      <c r="AN245" s="1616">
        <v>1298943576</v>
      </c>
      <c r="AP245" s="498"/>
    </row>
    <row r="246" spans="1:42" ht="18" customHeight="1">
      <c r="A246" s="498"/>
      <c r="D246" s="1593">
        <v>350210</v>
      </c>
      <c r="E246" s="1359" t="s">
        <v>194</v>
      </c>
      <c r="F246" s="1361">
        <v>5304</v>
      </c>
      <c r="G246" s="1359" t="s">
        <v>198</v>
      </c>
      <c r="H246" s="498">
        <v>-7720271960</v>
      </c>
      <c r="I246" s="498">
        <v>0</v>
      </c>
      <c r="J246" s="710">
        <v>0</v>
      </c>
      <c r="K246" s="710">
        <v>-778091133</v>
      </c>
      <c r="L246" s="510">
        <f t="shared" si="78"/>
        <v>-8498363093</v>
      </c>
      <c r="N246" s="1667">
        <f>-SUMIF('1.0'!$D:$D,T_BS!D246,'1.0'!$V:$V)</f>
        <v>0</v>
      </c>
      <c r="O246" s="710">
        <f>-SUMIF('2.0'!$D:$D,T_BS!D246,'2.0'!$V:$V)</f>
        <v>0</v>
      </c>
      <c r="P246" s="509">
        <f>-ROUND(SUMIF('3.0'!$D:$D,T_BS!D246,'3.0'!$H:$H),0)</f>
        <v>0</v>
      </c>
      <c r="Q246" s="710">
        <f>-ROUND(SUMIF('4.0'!$D:$D,T_BS!D246,'4.0'!$V:$V),0)</f>
        <v>0</v>
      </c>
      <c r="R246" s="509">
        <f>-ROUND(SUMIF('5.0'!$D:$D,T_BS!D246,'5.0'!$V:$V),0)</f>
        <v>0</v>
      </c>
      <c r="S246" s="710">
        <f>-ROUND(SUMIF('6.0'!$D:$D,T_BS!D246,'6.0'!$V:$V),0)</f>
        <v>0</v>
      </c>
      <c r="T246" s="720">
        <f>-ROUND(SUMIF('7.0'!$D:$D,T_BS!D246,'7.0'!$V:$V),0)</f>
        <v>0</v>
      </c>
      <c r="U246" s="710">
        <f>-ROUND(SUMIF('8.0'!$D:$D,T_BS!D246,'8.0'!$H:$H),0)</f>
        <v>5766494005</v>
      </c>
      <c r="V246" s="510">
        <f t="shared" si="76"/>
        <v>5766494005</v>
      </c>
      <c r="X246" s="1641">
        <f t="shared" si="79"/>
        <v>-2731869088</v>
      </c>
      <c r="Z246" s="1616">
        <f t="shared" si="80"/>
        <v>0</v>
      </c>
      <c r="AB246" s="1616">
        <v>-2731869088</v>
      </c>
      <c r="AC246" s="1616">
        <v>-2731869088</v>
      </c>
      <c r="AD246" s="1616">
        <v>-2731869088</v>
      </c>
      <c r="AE246" s="1616">
        <v>-2731869088</v>
      </c>
      <c r="AF246" s="1616">
        <v>-2731869088</v>
      </c>
      <c r="AG246" s="1616">
        <v>-2731869088</v>
      </c>
      <c r="AH246" s="1616">
        <v>-2731869088</v>
      </c>
      <c r="AI246" s="1616">
        <v>-2731869088</v>
      </c>
      <c r="AJ246" s="1616">
        <v>-2731869088</v>
      </c>
      <c r="AK246" s="1616">
        <v>-2731869088</v>
      </c>
      <c r="AL246" s="1616">
        <v>-2731869088</v>
      </c>
      <c r="AM246" s="1616">
        <v>-2731869088</v>
      </c>
      <c r="AN246" s="1616">
        <v>-2731869088</v>
      </c>
      <c r="AP246" s="498"/>
    </row>
    <row r="247" spans="1:42" ht="18" customHeight="1">
      <c r="A247" s="498"/>
      <c r="D247" s="1633" t="s">
        <v>1350</v>
      </c>
      <c r="E247" s="1501" t="s">
        <v>194</v>
      </c>
      <c r="F247" s="1634">
        <v>5305</v>
      </c>
      <c r="G247" s="1501" t="s">
        <v>200</v>
      </c>
      <c r="H247" s="498">
        <v>0</v>
      </c>
      <c r="I247" s="498">
        <v>0</v>
      </c>
      <c r="J247" s="710">
        <v>0</v>
      </c>
      <c r="K247" s="710">
        <v>0</v>
      </c>
      <c r="L247" s="510">
        <f t="shared" si="78"/>
        <v>0</v>
      </c>
      <c r="N247" s="1667">
        <f>-SUMIF('1.0'!$D:$D,T_BS!D247,'1.0'!$V:$V)</f>
        <v>0</v>
      </c>
      <c r="O247" s="710">
        <f>-SUMIF('2.0'!$D:$D,T_BS!D247,'2.0'!$V:$V)</f>
        <v>0</v>
      </c>
      <c r="P247" s="509">
        <f>-ROUND(SUMIF('3.0'!$D:$D,T_BS!D247,'3.0'!$H:$H),0)</f>
        <v>0</v>
      </c>
      <c r="Q247" s="710">
        <f>-ROUND(SUMIF('4.0'!$D:$D,T_BS!D247,'4.0'!$V:$V),0)</f>
        <v>0</v>
      </c>
      <c r="R247" s="509">
        <f>-ROUND(SUMIF('5.0'!$D:$D,T_BS!D247,'5.0'!$V:$V),0)</f>
        <v>0</v>
      </c>
      <c r="S247" s="710">
        <f>-ROUND(SUMIF('6.0'!$D:$D,T_BS!D247,'6.0'!$V:$V),0)</f>
        <v>0</v>
      </c>
      <c r="T247" s="720">
        <f>-ROUND(SUMIF('7.0'!$D:$D,T_BS!D247,'7.0'!$V:$V),0)</f>
        <v>0</v>
      </c>
      <c r="U247" s="710">
        <f>-ROUND(SUMIF('8.0'!$D:$D,T_BS!D247,'8.0'!$H:$H),0)</f>
        <v>0</v>
      </c>
      <c r="V247" s="510">
        <f t="shared" si="76"/>
        <v>0</v>
      </c>
      <c r="X247" s="1641">
        <f t="shared" si="79"/>
        <v>0</v>
      </c>
      <c r="Z247" s="1616">
        <f t="shared" si="80"/>
        <v>0</v>
      </c>
      <c r="AB247" s="1616">
        <v>7009247</v>
      </c>
      <c r="AC247" s="1616">
        <v>7009247</v>
      </c>
      <c r="AD247" s="1616">
        <v>7009247</v>
      </c>
      <c r="AE247" s="1616">
        <v>2520421</v>
      </c>
      <c r="AF247" s="1616">
        <v>2520421</v>
      </c>
      <c r="AG247" s="1616">
        <v>2520421</v>
      </c>
      <c r="AH247" s="1616">
        <v>0</v>
      </c>
      <c r="AI247" s="1616">
        <v>0</v>
      </c>
      <c r="AJ247" s="1616">
        <v>0</v>
      </c>
      <c r="AK247" s="1616">
        <v>0</v>
      </c>
      <c r="AL247" s="1616">
        <v>0</v>
      </c>
      <c r="AM247" s="1616">
        <v>0</v>
      </c>
      <c r="AN247" s="1616">
        <v>0</v>
      </c>
      <c r="AP247" s="498"/>
    </row>
    <row r="248" spans="1:42" ht="18" customHeight="1">
      <c r="A248" s="498"/>
      <c r="D248" s="1633" t="s">
        <v>1351</v>
      </c>
      <c r="E248" s="1501" t="s">
        <v>194</v>
      </c>
      <c r="F248" s="1634" t="s">
        <v>611</v>
      </c>
      <c r="G248" s="1501" t="s">
        <v>202</v>
      </c>
      <c r="H248" s="498">
        <v>0</v>
      </c>
      <c r="I248" s="498">
        <v>0</v>
      </c>
      <c r="J248" s="710">
        <v>0</v>
      </c>
      <c r="K248" s="710">
        <v>0</v>
      </c>
      <c r="L248" s="510">
        <f t="shared" si="78"/>
        <v>0</v>
      </c>
      <c r="N248" s="1667">
        <f>-SUMIF('1.0'!$D:$D,T_BS!D248,'1.0'!$V:$V)</f>
        <v>0</v>
      </c>
      <c r="O248" s="710">
        <f>-SUMIF('2.0'!$D:$D,T_BS!D248,'2.0'!$V:$V)</f>
        <v>0</v>
      </c>
      <c r="P248" s="509">
        <f>-ROUND(SUMIF('3.0'!$D:$D,T_BS!D248,'3.0'!$H:$H),0)</f>
        <v>0</v>
      </c>
      <c r="Q248" s="710">
        <f>-ROUND(SUMIF('4.0'!$D:$D,T_BS!D248,'4.0'!$V:$V),0)</f>
        <v>0</v>
      </c>
      <c r="R248" s="509">
        <f>-ROUND(SUMIF('5.0'!$D:$D,T_BS!D248,'5.0'!$V:$V),0)</f>
        <v>0</v>
      </c>
      <c r="S248" s="710">
        <f>-ROUND(SUMIF('6.0'!$D:$D,T_BS!D248,'6.0'!$V:$V),0)</f>
        <v>0</v>
      </c>
      <c r="T248" s="720">
        <f>-ROUND(SUMIF('7.0'!$D:$D,T_BS!D248,'7.0'!$V:$V),0)</f>
        <v>0</v>
      </c>
      <c r="U248" s="710">
        <f>-ROUND(SUMIF('8.0'!$D:$D,T_BS!D248,'8.0'!$H:$H),0)</f>
        <v>0</v>
      </c>
      <c r="V248" s="510">
        <f t="shared" si="76"/>
        <v>0</v>
      </c>
      <c r="X248" s="1641">
        <f t="shared" si="79"/>
        <v>0</v>
      </c>
      <c r="Z248" s="1616">
        <f t="shared" si="80"/>
        <v>0</v>
      </c>
      <c r="AB248" s="1616">
        <v>0</v>
      </c>
      <c r="AC248" s="1616">
        <v>0</v>
      </c>
      <c r="AD248" s="1616">
        <v>0</v>
      </c>
      <c r="AE248" s="1616">
        <v>0</v>
      </c>
      <c r="AF248" s="1616">
        <v>0</v>
      </c>
      <c r="AG248" s="1616">
        <v>0</v>
      </c>
      <c r="AH248" s="1616">
        <v>0</v>
      </c>
      <c r="AI248" s="1616">
        <v>0</v>
      </c>
      <c r="AJ248" s="1616">
        <v>0</v>
      </c>
      <c r="AK248" s="1616">
        <v>0</v>
      </c>
      <c r="AL248" s="1616">
        <v>0</v>
      </c>
      <c r="AM248" s="1616">
        <v>0</v>
      </c>
      <c r="AN248" s="1616">
        <v>0</v>
      </c>
      <c r="AP248" s="498"/>
    </row>
    <row r="249" spans="1:42" ht="18" customHeight="1">
      <c r="A249" s="498"/>
      <c r="D249" s="1633" t="s">
        <v>1352</v>
      </c>
      <c r="E249" s="1501" t="s">
        <v>194</v>
      </c>
      <c r="F249" s="1634">
        <v>5307</v>
      </c>
      <c r="G249" s="1501" t="s">
        <v>1348</v>
      </c>
      <c r="H249" s="498">
        <v>0</v>
      </c>
      <c r="I249" s="498">
        <v>0</v>
      </c>
      <c r="J249" s="710">
        <v>936609346</v>
      </c>
      <c r="K249" s="710">
        <v>-287690955</v>
      </c>
      <c r="L249" s="510">
        <f t="shared" si="78"/>
        <v>648918391</v>
      </c>
      <c r="N249" s="1667">
        <f>-SUMIF('1.0'!$D:$D,T_BS!D249,'1.0'!$V:$V)</f>
        <v>0</v>
      </c>
      <c r="O249" s="710">
        <f>-SUMIF('2.0'!$D:$D,T_BS!D249,'2.0'!$V:$V)</f>
        <v>0</v>
      </c>
      <c r="P249" s="509">
        <f>-ROUND(SUMIF('3.0'!$D:$D,T_BS!D249,'3.0'!$H:$H),0)</f>
        <v>0</v>
      </c>
      <c r="Q249" s="710">
        <f>-ROUND(SUMIF('4.0'!$D:$D,T_BS!D249,'4.0'!$V:$V),0)</f>
        <v>0</v>
      </c>
      <c r="R249" s="509">
        <f>-ROUND(SUMIF('5.0'!$D:$D,T_BS!D249,'5.0'!$V:$V),0)</f>
        <v>913444479</v>
      </c>
      <c r="S249" s="710">
        <f>-ROUND(SUMIF('6.0'!$D:$D,T_BS!D249,'6.0'!$V:$V),0)</f>
        <v>0</v>
      </c>
      <c r="T249" s="720">
        <f>-ROUND(SUMIF('7.0'!$D:$D,T_BS!D249,'7.0'!$V:$V),0)</f>
        <v>0</v>
      </c>
      <c r="U249" s="710">
        <f>-ROUND(SUMIF('8.0'!$D:$D,T_BS!D249,'8.0'!$H:$H),0)</f>
        <v>270300553</v>
      </c>
      <c r="V249" s="510">
        <f t="shared" si="76"/>
        <v>1183745032</v>
      </c>
      <c r="X249" s="1641">
        <f t="shared" si="79"/>
        <v>1832663423</v>
      </c>
      <c r="Z249" s="1616">
        <f t="shared" si="80"/>
        <v>-435952739</v>
      </c>
      <c r="AB249" s="1616">
        <v>1848726331</v>
      </c>
      <c r="AC249" s="1616">
        <v>1840243400</v>
      </c>
      <c r="AD249" s="1616">
        <v>2020002491</v>
      </c>
      <c r="AE249" s="1616">
        <v>1908442024</v>
      </c>
      <c r="AF249" s="1616">
        <v>1944313866</v>
      </c>
      <c r="AG249" s="1616">
        <v>1830731599</v>
      </c>
      <c r="AH249" s="1616">
        <v>2090325298</v>
      </c>
      <c r="AI249" s="1616">
        <v>2268616162</v>
      </c>
      <c r="AJ249" s="1616">
        <v>2254252396</v>
      </c>
      <c r="AK249" s="1616">
        <v>2392445541</v>
      </c>
      <c r="AL249" s="1616">
        <v>2206478678</v>
      </c>
      <c r="AM249" s="1616">
        <v>2272433241</v>
      </c>
      <c r="AN249" s="1616">
        <v>2418521277</v>
      </c>
      <c r="AP249" s="498"/>
    </row>
    <row r="250" spans="1:42" ht="18" customHeight="1">
      <c r="A250" s="498"/>
      <c r="D250" s="1593" t="s">
        <v>1353</v>
      </c>
      <c r="E250" s="1359" t="s">
        <v>194</v>
      </c>
      <c r="F250" s="1361"/>
      <c r="G250" s="1359" t="s">
        <v>1349</v>
      </c>
      <c r="H250" s="498">
        <v>0</v>
      </c>
      <c r="I250" s="498">
        <v>0</v>
      </c>
      <c r="J250" s="710">
        <v>0</v>
      </c>
      <c r="K250" s="710">
        <v>0</v>
      </c>
      <c r="L250" s="510">
        <f t="shared" si="78"/>
        <v>0</v>
      </c>
      <c r="N250" s="1667">
        <f>-SUMIF('1.0'!$D:$D,T_BS!D250,'1.0'!$V:$V)</f>
        <v>0</v>
      </c>
      <c r="O250" s="710">
        <f>-SUMIF('2.0'!$D:$D,T_BS!D250,'2.0'!$V:$V)</f>
        <v>0</v>
      </c>
      <c r="P250" s="509">
        <f>-ROUND(SUMIF('3.0'!$D:$D,T_BS!D250,'3.0'!$H:$H),0)</f>
        <v>0</v>
      </c>
      <c r="Q250" s="710">
        <f>-ROUND(SUMIF('4.0'!$D:$D,T_BS!D250,'4.0'!$V:$V),0)</f>
        <v>0</v>
      </c>
      <c r="R250" s="509">
        <f>-ROUND(SUMIF('5.0'!$D:$D,T_BS!D250,'5.0'!$V:$V),0)</f>
        <v>0</v>
      </c>
      <c r="S250" s="710">
        <f>-ROUND(SUMIF('6.0'!$D:$D,T_BS!D250,'6.0'!$V:$V),0)</f>
        <v>0</v>
      </c>
      <c r="T250" s="720">
        <f>-ROUND(SUMIF('7.0'!$D:$D,T_BS!D250,'7.0'!$V:$V),0)</f>
        <v>0</v>
      </c>
      <c r="U250" s="710">
        <f>-ROUND(SUMIF('8.0'!$D:$D,T_BS!D250,'8.0'!$H:$H),0)</f>
        <v>0</v>
      </c>
      <c r="V250" s="510">
        <f t="shared" si="76"/>
        <v>0</v>
      </c>
      <c r="X250" s="1641">
        <f t="shared" si="79"/>
        <v>0</v>
      </c>
      <c r="Z250" s="1616">
        <f t="shared" si="80"/>
        <v>0</v>
      </c>
      <c r="AB250" s="1616">
        <v>0</v>
      </c>
      <c r="AC250" s="1616">
        <v>0</v>
      </c>
      <c r="AD250" s="1616">
        <v>0</v>
      </c>
      <c r="AE250" s="1616">
        <v>0</v>
      </c>
      <c r="AF250" s="1616">
        <v>0</v>
      </c>
      <c r="AG250" s="1616">
        <v>0</v>
      </c>
      <c r="AH250" s="1616">
        <v>0</v>
      </c>
      <c r="AI250" s="1616">
        <v>0</v>
      </c>
      <c r="AJ250" s="1616">
        <v>0</v>
      </c>
      <c r="AK250" s="1616">
        <v>0</v>
      </c>
      <c r="AL250" s="1616">
        <v>0</v>
      </c>
      <c r="AM250" s="1616">
        <v>0</v>
      </c>
      <c r="AN250" s="1616">
        <v>0</v>
      </c>
      <c r="AP250" s="498"/>
    </row>
    <row r="251" spans="1:42" ht="18" customHeight="1">
      <c r="A251" s="498"/>
      <c r="D251" s="1588"/>
      <c r="E251" s="1589"/>
      <c r="F251" s="1590"/>
      <c r="G251" s="1589" t="s">
        <v>13</v>
      </c>
      <c r="H251" s="520">
        <f>SUM(H252:H254)</f>
        <v>31300155040</v>
      </c>
      <c r="I251" s="506">
        <f>SUM(I252:I254)</f>
        <v>-1360420601</v>
      </c>
      <c r="J251" s="506">
        <f>SUM(J252:J254)</f>
        <v>-38348593089</v>
      </c>
      <c r="K251" s="506">
        <f>SUM(K252:K254)</f>
        <v>4465215638</v>
      </c>
      <c r="L251" s="507">
        <f>SUM(L252:L254)</f>
        <v>-3943643012</v>
      </c>
      <c r="N251" s="1631">
        <f t="shared" ref="N251:S251" si="81">SUM(N252:N254)</f>
        <v>138627321</v>
      </c>
      <c r="O251" s="506">
        <f t="shared" si="81"/>
        <v>0</v>
      </c>
      <c r="P251" s="506">
        <f t="shared" si="81"/>
        <v>-8280001</v>
      </c>
      <c r="Q251" s="506">
        <f t="shared" si="81"/>
        <v>-26099026</v>
      </c>
      <c r="R251" s="506">
        <f t="shared" si="81"/>
        <v>873776736</v>
      </c>
      <c r="S251" s="506">
        <f t="shared" si="81"/>
        <v>-20000000</v>
      </c>
      <c r="T251" s="506">
        <f>SUM(T252:T254)</f>
        <v>-182737552</v>
      </c>
      <c r="U251" s="506">
        <f>SUM(U252:U254)</f>
        <v>26081136871</v>
      </c>
      <c r="V251" s="507">
        <f>SUM(V252:V254)</f>
        <v>26856424349</v>
      </c>
      <c r="X251" s="1630">
        <f>SUM(X252:X254)</f>
        <v>22912781337</v>
      </c>
      <c r="Z251" s="1630">
        <f>SUM(Z252:Z254)</f>
        <v>150132202071</v>
      </c>
      <c r="AB251" s="1630">
        <v>37317097072</v>
      </c>
      <c r="AC251" s="1630">
        <v>38621994616</v>
      </c>
      <c r="AD251" s="1630">
        <v>38653665958</v>
      </c>
      <c r="AE251" s="1630">
        <v>29582126390</v>
      </c>
      <c r="AF251" s="1630">
        <v>29547050755</v>
      </c>
      <c r="AG251" s="1630">
        <v>28823820126</v>
      </c>
      <c r="AH251" s="1630">
        <v>4009733472</v>
      </c>
      <c r="AI251" s="1630">
        <v>-127219420734</v>
      </c>
      <c r="AJ251" s="1630">
        <v>-110943962420</v>
      </c>
      <c r="AK251" s="1630">
        <v>-111752944049</v>
      </c>
      <c r="AL251" s="1630">
        <v>-125531744918</v>
      </c>
      <c r="AM251" s="1630">
        <f>SUM(AM252:AM254)</f>
        <v>-108702022376</v>
      </c>
      <c r="AN251" s="1630">
        <v>-110877418434</v>
      </c>
      <c r="AP251" s="498"/>
    </row>
    <row r="252" spans="1:42" ht="18" customHeight="1">
      <c r="A252" s="498"/>
      <c r="D252" s="1633">
        <v>350951</v>
      </c>
      <c r="E252" s="1359" t="s">
        <v>13</v>
      </c>
      <c r="F252" s="1361">
        <v>5401</v>
      </c>
      <c r="G252" s="1359" t="s">
        <v>205</v>
      </c>
      <c r="H252" s="498">
        <v>1963915128</v>
      </c>
      <c r="I252" s="498">
        <v>0</v>
      </c>
      <c r="J252" s="710">
        <v>0</v>
      </c>
      <c r="K252" s="710">
        <v>0</v>
      </c>
      <c r="L252" s="510">
        <f>SUM(H252:K252)</f>
        <v>1963915128</v>
      </c>
      <c r="N252" s="1667">
        <f>-SUMIF('1.0'!$D:$D,T_BS!D252,'1.0'!$V:$V)</f>
        <v>622390102</v>
      </c>
      <c r="O252" s="710">
        <f>-SUMIF('2.0'!$D:$D,T_BS!D252,'2.0'!$V:$V)</f>
        <v>0</v>
      </c>
      <c r="P252" s="509">
        <f>-ROUND(SUMIF('3.0'!$D:$D,T_BS!D252,'3.0'!$H:$H),0)</f>
        <v>0</v>
      </c>
      <c r="Q252" s="710">
        <f>-ROUND(SUMIF('4.0'!$D:$D,T_BS!D252,'4.0'!$V:$V),0)</f>
        <v>0</v>
      </c>
      <c r="R252" s="509">
        <f>-ROUND(SUMIF('5.0'!$D:$D,T_BS!D252,'5.0'!$V:$V),0)</f>
        <v>0</v>
      </c>
      <c r="S252" s="710">
        <f>-ROUND(SUMIF('6.0'!$D:$D,T_BS!D252,'6.0'!$V:$V),0)</f>
        <v>0</v>
      </c>
      <c r="T252" s="720">
        <f>ROUND(SUMIF('7.0'!$D:$D,T_BS!D252,'7.0'!$V:$V),0)</f>
        <v>0</v>
      </c>
      <c r="U252" s="710">
        <f>-ROUND(SUMIF('8.0'!$D:$D,T_BS!D252,'8.0'!$H:$H),0)</f>
        <v>0</v>
      </c>
      <c r="V252" s="510">
        <f>SUM(N252:U252)</f>
        <v>622390102</v>
      </c>
      <c r="X252" s="1641">
        <f>V252+L252</f>
        <v>2586305230</v>
      </c>
      <c r="Z252" s="1616">
        <f>X252-AI252</f>
        <v>3104359571</v>
      </c>
      <c r="AB252" s="1616">
        <v>1835024545</v>
      </c>
      <c r="AC252" s="1616">
        <v>1835024545</v>
      </c>
      <c r="AD252" s="1616">
        <v>1835024545</v>
      </c>
      <c r="AE252" s="1616">
        <v>1835024545</v>
      </c>
      <c r="AF252" s="1616">
        <v>1835024545</v>
      </c>
      <c r="AG252" s="1616">
        <v>1835024545</v>
      </c>
      <c r="AH252" s="1616">
        <v>622390102</v>
      </c>
      <c r="AI252" s="1616">
        <v>-518054341</v>
      </c>
      <c r="AJ252" s="1616">
        <v>-31934104</v>
      </c>
      <c r="AK252" s="1616">
        <v>-31934104</v>
      </c>
      <c r="AL252" s="1616">
        <v>-31934104</v>
      </c>
      <c r="AM252" s="1616">
        <v>-279145066</v>
      </c>
      <c r="AN252" s="1616">
        <v>-279145066</v>
      </c>
      <c r="AP252" s="498"/>
    </row>
    <row r="253" spans="1:42" ht="18" customHeight="1">
      <c r="A253" s="498"/>
      <c r="D253" s="1633" t="s">
        <v>1354</v>
      </c>
      <c r="E253" s="1359" t="s">
        <v>13</v>
      </c>
      <c r="F253" s="1361">
        <v>5402</v>
      </c>
      <c r="G253" s="1359" t="s">
        <v>207</v>
      </c>
      <c r="H253" s="498">
        <v>0</v>
      </c>
      <c r="I253" s="498">
        <v>-1005025891</v>
      </c>
      <c r="J253" s="710">
        <v>-38587039942</v>
      </c>
      <c r="K253" s="710">
        <v>3058983333</v>
      </c>
      <c r="L253" s="510">
        <f>SUM(H253:K253)</f>
        <v>-36533082500</v>
      </c>
      <c r="N253" s="1667">
        <f>-SUMIF('1.0'!$D:$D,T_BS!D253,'1.0'!$V:$V)</f>
        <v>-1037224188</v>
      </c>
      <c r="O253" s="710">
        <f>-SUMIF('2.0'!$D:$D,T_BS!D253,'2.0'!$V:$V)</f>
        <v>0</v>
      </c>
      <c r="P253" s="509">
        <f>-ROUND(SUMIF('3.0'!$D:$D,T_BS!D253,'3.0'!$H:$H),0)</f>
        <v>1541524202</v>
      </c>
      <c r="Q253" s="710">
        <f>-ROUND(SUMIF('4.0'!$D:$D,T_BS!D253,'4.0'!$V:$V),0)</f>
        <v>139847805</v>
      </c>
      <c r="R253" s="509">
        <f>-ROUND(SUMIF('5.0'!$D:$D,T_BS!D253,'5.0'!$V:$V),0)</f>
        <v>893619536</v>
      </c>
      <c r="S253" s="710">
        <f>-ROUND(SUMIF('6.0'!$D:$D,T_BS!D253,'6.0'!$V:$V),0)</f>
        <v>-20000000</v>
      </c>
      <c r="T253" s="710">
        <f>-ROUND(SUMIF('7.0'!$D:$D,T_BS!D253,'7.0'!$V:$V),0)</f>
        <v>24157280</v>
      </c>
      <c r="U253" s="710">
        <f>-ROUND(SUMIF('8.0'!$D:$D,T_BS!D253,'8.0'!$H:$H),0)</f>
        <v>26081136871</v>
      </c>
      <c r="V253" s="510">
        <f t="shared" si="76"/>
        <v>27623061506</v>
      </c>
      <c r="X253" s="1641">
        <f>V253+L253</f>
        <v>-8910020994</v>
      </c>
      <c r="Z253" s="1616">
        <f>X253-AI253</f>
        <v>101688252374</v>
      </c>
      <c r="AB253" s="1616">
        <v>-8910020994</v>
      </c>
      <c r="AC253" s="1616">
        <v>-8910020994</v>
      </c>
      <c r="AD253" s="1616">
        <v>-8910020994</v>
      </c>
      <c r="AE253" s="1616">
        <v>-8910020994</v>
      </c>
      <c r="AF253" s="1616">
        <v>-8910020994</v>
      </c>
      <c r="AG253" s="1616">
        <v>-8910020994</v>
      </c>
      <c r="AH253" s="1616">
        <v>-8910020994</v>
      </c>
      <c r="AI253" s="1616">
        <v>-110598273368</v>
      </c>
      <c r="AJ253" s="1616">
        <v>-110598273368</v>
      </c>
      <c r="AK253" s="1616">
        <v>-110598273368</v>
      </c>
      <c r="AL253" s="1616">
        <v>-110598273368</v>
      </c>
      <c r="AM253" s="1616">
        <v>-110598273368</v>
      </c>
      <c r="AN253" s="1616">
        <v>-87530400767</v>
      </c>
      <c r="AP253" s="498"/>
    </row>
    <row r="254" spans="1:42" ht="18" customHeight="1">
      <c r="A254" s="498"/>
      <c r="D254" s="1633" t="s">
        <v>1355</v>
      </c>
      <c r="E254" s="1359" t="s">
        <v>13</v>
      </c>
      <c r="F254" s="1361" t="s">
        <v>611</v>
      </c>
      <c r="G254" s="1359" t="s">
        <v>209</v>
      </c>
      <c r="H254" s="498">
        <f>T_IS!H127</f>
        <v>29336239912</v>
      </c>
      <c r="I254" s="498">
        <f>T_IS!I127</f>
        <v>-355394710</v>
      </c>
      <c r="J254" s="498">
        <f>T_IS!J127</f>
        <v>238446853</v>
      </c>
      <c r="K254" s="498">
        <f>T_IS!K127</f>
        <v>1406232305</v>
      </c>
      <c r="L254" s="510">
        <f>SUM(H254:K254)</f>
        <v>30625524360</v>
      </c>
      <c r="N254" s="1667">
        <f>+T_IS!N127</f>
        <v>553461407</v>
      </c>
      <c r="O254" s="710">
        <f>+T_IS!O127</f>
        <v>0</v>
      </c>
      <c r="P254" s="509">
        <f>+T_IS!P127</f>
        <v>-1549804203</v>
      </c>
      <c r="Q254" s="710">
        <f>+T_IS!Q127</f>
        <v>-165946831</v>
      </c>
      <c r="R254" s="509">
        <f>+T_IS!R127</f>
        <v>-19842800</v>
      </c>
      <c r="S254" s="710">
        <f>+T_IS!S127</f>
        <v>0</v>
      </c>
      <c r="T254" s="710">
        <f>+T_IS!T127</f>
        <v>-206894832</v>
      </c>
      <c r="U254" s="710">
        <f>+T_IS!U127</f>
        <v>0</v>
      </c>
      <c r="V254" s="510">
        <f>SUM(N254:U254)</f>
        <v>-1389027259</v>
      </c>
      <c r="X254" s="1641">
        <f>V254+L254</f>
        <v>29236497101</v>
      </c>
      <c r="Z254" s="1616">
        <f>X254-AI254</f>
        <v>45339590126</v>
      </c>
      <c r="AB254" s="1616">
        <v>44392093521</v>
      </c>
      <c r="AC254" s="1616">
        <v>45696991065</v>
      </c>
      <c r="AD254" s="1616">
        <v>45728662407</v>
      </c>
      <c r="AE254" s="1616">
        <v>36657122839</v>
      </c>
      <c r="AF254" s="1616">
        <v>36622047204</v>
      </c>
      <c r="AG254" s="1616">
        <v>35898816575</v>
      </c>
      <c r="AH254" s="1616">
        <v>12297364364</v>
      </c>
      <c r="AI254" s="1616">
        <v>-16103093025</v>
      </c>
      <c r="AJ254" s="1616">
        <v>-313754948</v>
      </c>
      <c r="AK254" s="1616">
        <v>-1122736577</v>
      </c>
      <c r="AL254" s="1616">
        <v>-14901537446</v>
      </c>
      <c r="AM254" s="1616">
        <v>2175396058</v>
      </c>
      <c r="AN254" s="1616">
        <v>-23067872601</v>
      </c>
      <c r="AP254" s="498"/>
    </row>
    <row r="255" spans="1:42" ht="18" customHeight="1">
      <c r="A255" s="498"/>
      <c r="D255" s="1583"/>
      <c r="E255" s="1584"/>
      <c r="F255" s="1585"/>
      <c r="G255" s="1584" t="s">
        <v>210</v>
      </c>
      <c r="H255" s="1619">
        <f>H256</f>
        <v>0</v>
      </c>
      <c r="I255" s="503">
        <f>I256</f>
        <v>0</v>
      </c>
      <c r="J255" s="503">
        <f>J256</f>
        <v>0</v>
      </c>
      <c r="K255" s="503">
        <f>K256</f>
        <v>0</v>
      </c>
      <c r="L255" s="504">
        <f>L256</f>
        <v>0</v>
      </c>
      <c r="N255" s="1623">
        <f t="shared" ref="N255:AM255" si="82">N256</f>
        <v>0</v>
      </c>
      <c r="O255" s="503">
        <f t="shared" si="82"/>
        <v>0</v>
      </c>
      <c r="P255" s="503">
        <f t="shared" si="82"/>
        <v>0</v>
      </c>
      <c r="Q255" s="503">
        <f t="shared" si="82"/>
        <v>0</v>
      </c>
      <c r="R255" s="503">
        <f t="shared" si="82"/>
        <v>0</v>
      </c>
      <c r="S255" s="503">
        <f t="shared" si="82"/>
        <v>0</v>
      </c>
      <c r="T255" s="503">
        <f t="shared" si="82"/>
        <v>0</v>
      </c>
      <c r="U255" s="503">
        <f t="shared" si="82"/>
        <v>0</v>
      </c>
      <c r="V255" s="504">
        <f t="shared" si="82"/>
        <v>0</v>
      </c>
      <c r="X255" s="1622">
        <f t="shared" si="82"/>
        <v>0</v>
      </c>
      <c r="Z255" s="1622">
        <f t="shared" si="82"/>
        <v>0</v>
      </c>
      <c r="AB255" s="1622">
        <v>0</v>
      </c>
      <c r="AC255" s="1622">
        <v>0</v>
      </c>
      <c r="AD255" s="1622">
        <v>0</v>
      </c>
      <c r="AE255" s="1622">
        <v>0</v>
      </c>
      <c r="AF255" s="1622">
        <v>0</v>
      </c>
      <c r="AG255" s="1622">
        <v>0</v>
      </c>
      <c r="AH255" s="1622">
        <v>0</v>
      </c>
      <c r="AI255" s="1622">
        <v>0</v>
      </c>
      <c r="AJ255" s="1622">
        <v>0</v>
      </c>
      <c r="AK255" s="1622">
        <v>0</v>
      </c>
      <c r="AL255" s="1622">
        <v>0</v>
      </c>
      <c r="AM255" s="1622">
        <f t="shared" si="82"/>
        <v>0</v>
      </c>
      <c r="AN255" s="1622">
        <v>0</v>
      </c>
      <c r="AP255" s="498"/>
    </row>
    <row r="256" spans="1:42" ht="18" customHeight="1">
      <c r="A256" s="498"/>
      <c r="D256" s="1633" t="s">
        <v>492</v>
      </c>
      <c r="E256" s="1506"/>
      <c r="F256" s="1361"/>
      <c r="G256" s="1506" t="s">
        <v>210</v>
      </c>
      <c r="H256" s="498">
        <v>0</v>
      </c>
      <c r="I256" s="498">
        <v>0</v>
      </c>
      <c r="J256" s="710">
        <v>0</v>
      </c>
      <c r="K256" s="710">
        <v>0</v>
      </c>
      <c r="L256" s="510">
        <f>SUM(H256:K256)</f>
        <v>0</v>
      </c>
      <c r="N256" s="1667">
        <f>-SUMIF('1.0'!$D:$D,T_BS!D256,'1.0'!$V:$V)</f>
        <v>0</v>
      </c>
      <c r="O256" s="710">
        <f>-SUMIF('2.0'!$D:$D,T_BS!D256,'2.0'!$V:$V)</f>
        <v>0</v>
      </c>
      <c r="P256" s="509">
        <f>-ROUND(SUMIF('3.0'!$D:$D,T_BS!D256,'3.0'!$H:$H),0)</f>
        <v>0</v>
      </c>
      <c r="Q256" s="720">
        <f>-ROUND(SUMIF('4.0'!$D:$D,T_BS!D256,'4.0'!$V:$V),0)</f>
        <v>0</v>
      </c>
      <c r="R256" s="509">
        <f>-ROUND(SUMIF('5.0'!$D:$D,T_BS!D256,'5.0'!$V:$V),0)</f>
        <v>0</v>
      </c>
      <c r="S256" s="952">
        <v>0</v>
      </c>
      <c r="T256" s="720">
        <f>-ROUND(SUMIF('7.0'!$D:$D,T_BS!D256,'7.0'!$I:$I),0)</f>
        <v>0</v>
      </c>
      <c r="U256" s="720">
        <f>-ROUND(SUMIF('8.0'!$D:$D,T_BS!D256,'8.0'!$H:$H),0)</f>
        <v>0</v>
      </c>
      <c r="V256" s="510">
        <f t="shared" si="76"/>
        <v>0</v>
      </c>
      <c r="X256" s="1616">
        <f>V256+L256</f>
        <v>0</v>
      </c>
      <c r="Z256" s="1616">
        <f>X256+N256</f>
        <v>0</v>
      </c>
      <c r="AB256" s="1616">
        <v>0</v>
      </c>
      <c r="AC256" s="1616">
        <v>0</v>
      </c>
      <c r="AD256" s="1616">
        <v>0</v>
      </c>
      <c r="AE256" s="1616">
        <v>0</v>
      </c>
      <c r="AF256" s="1616">
        <v>0</v>
      </c>
      <c r="AG256" s="1616">
        <v>0</v>
      </c>
      <c r="AH256" s="1616">
        <v>0</v>
      </c>
      <c r="AI256" s="1616">
        <v>0</v>
      </c>
      <c r="AJ256" s="1616">
        <v>0</v>
      </c>
      <c r="AK256" s="1616">
        <v>0</v>
      </c>
      <c r="AL256" s="1616">
        <v>0</v>
      </c>
      <c r="AM256" s="1616"/>
      <c r="AN256" s="1616">
        <v>0</v>
      </c>
      <c r="AP256" s="498"/>
    </row>
    <row r="257" spans="2:42" s="1412" customFormat="1" ht="18" customHeight="1" thickBot="1">
      <c r="B257" s="1359"/>
      <c r="C257" s="1359"/>
      <c r="D257" s="1679"/>
      <c r="E257" s="1680"/>
      <c r="F257" s="1681"/>
      <c r="G257" s="1680" t="s">
        <v>212</v>
      </c>
      <c r="H257" s="1682">
        <f>SUM(H232,H150)</f>
        <v>273496102034</v>
      </c>
      <c r="I257" s="1682">
        <f>SUM(I232,I150)</f>
        <v>1076990862</v>
      </c>
      <c r="J257" s="1682">
        <f>SUM(J232,J150)</f>
        <v>337517275</v>
      </c>
      <c r="K257" s="1682">
        <f>SUM(K232,K150)</f>
        <v>7378594887</v>
      </c>
      <c r="L257" s="1683">
        <f>SUM(L232,L150)</f>
        <v>282289205058</v>
      </c>
      <c r="M257" s="1653"/>
      <c r="N257" s="1684">
        <f t="shared" ref="N257:S257" si="83">SUM(N232,N150)</f>
        <v>19842800</v>
      </c>
      <c r="O257" s="1682">
        <f t="shared" si="83"/>
        <v>0</v>
      </c>
      <c r="P257" s="1682">
        <f t="shared" si="83"/>
        <v>-34015833</v>
      </c>
      <c r="Q257" s="1682">
        <f t="shared" si="83"/>
        <v>-26099026</v>
      </c>
      <c r="R257" s="1682">
        <f t="shared" si="83"/>
        <v>1787221215</v>
      </c>
      <c r="S257" s="1682">
        <f t="shared" si="83"/>
        <v>-1532524639</v>
      </c>
      <c r="T257" s="1682">
        <f>SUM(T232,T150)</f>
        <v>-182737552</v>
      </c>
      <c r="U257" s="1682">
        <f>SUM(U232,U150)</f>
        <v>-7410958471</v>
      </c>
      <c r="V257" s="1683">
        <f>SUM(V232,V150)</f>
        <v>-7379271506</v>
      </c>
      <c r="W257" s="1653"/>
      <c r="X257" s="1678">
        <f>SUM(X232,X150)</f>
        <v>274909933552</v>
      </c>
      <c r="Y257" s="1653"/>
      <c r="Z257" s="1678">
        <f>SUM(Z232,Z150)</f>
        <v>20005364373</v>
      </c>
      <c r="AA257" s="1653"/>
      <c r="AB257" s="1678">
        <v>257942062953</v>
      </c>
      <c r="AC257" s="1678">
        <v>273580395770</v>
      </c>
      <c r="AD257" s="1678">
        <v>264821711447</v>
      </c>
      <c r="AE257" s="1678">
        <v>260522455553</v>
      </c>
      <c r="AF257" s="1678">
        <v>263664328406</v>
      </c>
      <c r="AG257" s="1678">
        <v>260602005740</v>
      </c>
      <c r="AH257" s="1678">
        <v>277445840316</v>
      </c>
      <c r="AI257" s="1678">
        <v>254904569179</v>
      </c>
      <c r="AJ257" s="1678">
        <v>244862741802</v>
      </c>
      <c r="AK257" s="1678">
        <v>254444269644</v>
      </c>
      <c r="AL257" s="1678">
        <v>258676373389</v>
      </c>
      <c r="AM257" s="1678">
        <f>SUM(AM232,AM150)</f>
        <v>176086631208</v>
      </c>
      <c r="AN257" s="1678">
        <v>172443439357</v>
      </c>
      <c r="AO257" s="770"/>
      <c r="AP257" s="498"/>
    </row>
    <row r="258" spans="2:42" ht="18" customHeight="1">
      <c r="B258" s="1362"/>
      <c r="C258" s="1362"/>
      <c r="D258" s="1603"/>
      <c r="E258" s="1412"/>
      <c r="F258" s="1603"/>
      <c r="G258" s="1412"/>
      <c r="H258" s="540" t="b">
        <f>H254-T_IS!H127=0</f>
        <v>1</v>
      </c>
      <c r="I258" s="540" t="b">
        <f>I254-T_IS!I127=0</f>
        <v>1</v>
      </c>
      <c r="J258" s="540" t="b">
        <f>J254-T_IS!J127=0</f>
        <v>1</v>
      </c>
      <c r="K258" s="540" t="b">
        <f>K254-T_IS!K127=0</f>
        <v>1</v>
      </c>
      <c r="L258" s="540"/>
      <c r="M258" s="1655"/>
      <c r="N258" s="540" t="b">
        <f>N254=T_IS!N128</f>
        <v>1</v>
      </c>
      <c r="O258" s="540" t="b">
        <f>O254=T_IS!O128</f>
        <v>1</v>
      </c>
      <c r="P258" s="540" t="b">
        <f>P254=T_IS!P128</f>
        <v>1</v>
      </c>
      <c r="Q258" s="540" t="b">
        <f>Q254=T_IS!Q128</f>
        <v>1</v>
      </c>
      <c r="R258" s="540" t="b">
        <f>R254=T_IS!R128</f>
        <v>1</v>
      </c>
      <c r="S258" s="540" t="b">
        <f>S254=T_IS!S128</f>
        <v>1</v>
      </c>
      <c r="T258" s="540" t="b">
        <f>T254=T_IS!T128</f>
        <v>1</v>
      </c>
      <c r="U258" s="540" t="b">
        <f>U254=T_IS!U128</f>
        <v>1</v>
      </c>
      <c r="V258" s="540" t="b">
        <f>V254=T_IS!V128</f>
        <v>1</v>
      </c>
      <c r="W258" s="1655"/>
      <c r="X258" s="540" t="b">
        <f>T_IS!X128=X254</f>
        <v>1</v>
      </c>
      <c r="Y258" s="1655"/>
      <c r="Z258" s="540"/>
      <c r="AA258" s="1655"/>
      <c r="AB258" s="540"/>
      <c r="AC258" s="540"/>
      <c r="AD258" s="540"/>
      <c r="AE258" s="540"/>
      <c r="AF258" s="540"/>
      <c r="AG258" s="540" t="b">
        <f>T_IS!AQ127=AG254</f>
        <v>1</v>
      </c>
      <c r="AH258" s="540" t="b">
        <f>T_IS!AR127=AH254</f>
        <v>1</v>
      </c>
      <c r="AI258" s="1657" t="b">
        <f>AI254=T_IS!AS128</f>
        <v>1</v>
      </c>
      <c r="AJ258" s="1657" t="b">
        <f>AJ254=T_IS!AT128</f>
        <v>1</v>
      </c>
      <c r="AK258" s="1657" t="b">
        <f>AK254=T_IS!AU128</f>
        <v>1</v>
      </c>
      <c r="AL258" s="1657" t="b">
        <f>AL254=T_IS!AV128</f>
        <v>1</v>
      </c>
      <c r="AM258" s="1657" t="b">
        <f>AM254=T_IS!AW128</f>
        <v>1</v>
      </c>
      <c r="AN258" s="540" t="b">
        <f>T_IS!AX128=AN254</f>
        <v>1</v>
      </c>
      <c r="AO258" s="1412"/>
      <c r="AP258" s="1412"/>
    </row>
    <row r="259" spans="2:42" ht="18" customHeight="1">
      <c r="N259" s="498">
        <f>N254-T_IS!N128</f>
        <v>0</v>
      </c>
      <c r="O259" s="498">
        <f>O254-T_IS!O128</f>
        <v>0</v>
      </c>
      <c r="P259" s="498">
        <f>P254-T_IS!P128</f>
        <v>0</v>
      </c>
      <c r="Q259" s="498">
        <f>Q254-T_IS!Q128</f>
        <v>0</v>
      </c>
      <c r="R259" s="498">
        <f>R254-T_IS!R128</f>
        <v>0</v>
      </c>
      <c r="S259" s="498">
        <f>S254-T_IS!S128</f>
        <v>0</v>
      </c>
      <c r="T259" s="498">
        <f>T254-T_IS!T128</f>
        <v>0</v>
      </c>
      <c r="V259" s="575"/>
      <c r="X259" s="575"/>
    </row>
    <row r="260" spans="2:42" ht="18" customHeight="1">
      <c r="E260" s="836"/>
      <c r="G260" s="1685"/>
      <c r="H260" s="1022"/>
      <c r="I260" s="1022"/>
      <c r="J260" s="1022"/>
      <c r="K260" s="1022"/>
      <c r="L260" s="1126"/>
      <c r="M260" s="1686"/>
      <c r="N260" s="1686"/>
      <c r="O260" s="1686"/>
      <c r="P260" s="1686"/>
      <c r="Q260" s="1686"/>
      <c r="R260" s="1686"/>
      <c r="S260" s="1686"/>
      <c r="T260" s="1686"/>
      <c r="U260" s="1686"/>
      <c r="V260" s="740"/>
      <c r="W260" s="1686"/>
      <c r="X260" s="1687"/>
      <c r="Y260" s="1686"/>
      <c r="Z260" s="1688"/>
      <c r="AA260" s="1686"/>
      <c r="AB260" s="1688"/>
      <c r="AC260" s="1688"/>
      <c r="AD260" s="1688"/>
      <c r="AE260" s="1688"/>
      <c r="AF260" s="1688"/>
      <c r="AG260" s="1688"/>
      <c r="AH260" s="1688"/>
      <c r="AI260" s="1688"/>
      <c r="AJ260" s="1688"/>
      <c r="AK260" s="1688"/>
      <c r="AL260" s="1688"/>
      <c r="AM260" s="1688"/>
      <c r="AN260" s="836"/>
    </row>
    <row r="261" spans="2:42" ht="18" hidden="1" customHeight="1">
      <c r="D261" s="836" t="s">
        <v>1926</v>
      </c>
      <c r="E261" s="836" t="s">
        <v>1927</v>
      </c>
      <c r="G261" s="836"/>
      <c r="H261" s="1022"/>
      <c r="I261" s="1022"/>
      <c r="J261" s="1022"/>
      <c r="K261" s="1022"/>
      <c r="L261" s="1126"/>
      <c r="M261" s="1686"/>
      <c r="N261" s="1686"/>
      <c r="O261" s="1686"/>
      <c r="P261" s="1686"/>
      <c r="Q261" s="740"/>
      <c r="R261" s="1686"/>
      <c r="S261" s="1686"/>
      <c r="T261" s="1686"/>
      <c r="U261" s="1686"/>
      <c r="V261" s="1686"/>
      <c r="W261" s="1686"/>
      <c r="X261" s="1686"/>
      <c r="Y261" s="1686"/>
      <c r="Z261" s="1688"/>
      <c r="AA261" s="1686"/>
      <c r="AB261" s="1688"/>
      <c r="AC261" s="1688"/>
      <c r="AD261" s="1688"/>
      <c r="AE261" s="1688"/>
      <c r="AF261" s="1688"/>
      <c r="AG261" s="1688"/>
      <c r="AH261" s="1688"/>
      <c r="AI261" s="1688"/>
      <c r="AJ261" s="1688"/>
      <c r="AK261" s="1688"/>
      <c r="AL261" s="1688"/>
      <c r="AM261" s="1688"/>
      <c r="AN261" s="836"/>
    </row>
    <row r="262" spans="2:42" ht="18" hidden="1" customHeight="1">
      <c r="D262" s="1689" t="s">
        <v>18</v>
      </c>
      <c r="E262" s="1689" t="s">
        <v>19</v>
      </c>
      <c r="G262" s="1625"/>
      <c r="H262" s="1690"/>
      <c r="I262" s="1690"/>
      <c r="J262" s="1690"/>
      <c r="K262" s="1690"/>
      <c r="L262" s="1691"/>
      <c r="M262" s="1686"/>
      <c r="N262" s="1686"/>
      <c r="O262" s="1686"/>
      <c r="P262" s="1686"/>
      <c r="Q262" s="1686"/>
      <c r="R262" s="1686"/>
      <c r="S262" s="1686"/>
      <c r="T262" s="1686"/>
      <c r="U262" s="1686"/>
      <c r="V262" s="1686"/>
      <c r="W262" s="1686"/>
      <c r="X262" s="740"/>
      <c r="Y262" s="1686"/>
      <c r="Z262" s="1688"/>
      <c r="AA262" s="1686"/>
      <c r="AB262" s="1688"/>
      <c r="AC262" s="1688"/>
      <c r="AD262" s="1688"/>
      <c r="AE262" s="1688"/>
      <c r="AF262" s="1688"/>
      <c r="AG262" s="1688"/>
      <c r="AH262" s="1688"/>
      <c r="AI262" s="1688"/>
      <c r="AJ262" s="1688"/>
      <c r="AK262" s="1688"/>
      <c r="AL262" s="1688"/>
      <c r="AM262" s="1688"/>
      <c r="AN262" s="836"/>
    </row>
    <row r="263" spans="2:42" ht="18" hidden="1" customHeight="1">
      <c r="D263" s="1692">
        <v>3404</v>
      </c>
      <c r="E263" s="1692" t="s">
        <v>180</v>
      </c>
      <c r="G263" s="1625"/>
      <c r="H263" s="1690"/>
      <c r="I263" s="1690"/>
      <c r="J263" s="1690"/>
      <c r="K263" s="1690"/>
      <c r="L263" s="1691"/>
      <c r="M263" s="1686"/>
      <c r="N263" s="1686"/>
      <c r="O263" s="1686"/>
      <c r="P263" s="1686"/>
      <c r="Q263" s="1686"/>
      <c r="R263" s="1686"/>
      <c r="S263" s="1686"/>
      <c r="T263" s="1686"/>
      <c r="U263" s="1686"/>
      <c r="V263" s="1686"/>
      <c r="W263" s="1686"/>
      <c r="X263" s="1693"/>
      <c r="Y263" s="1686"/>
      <c r="Z263" s="1688"/>
      <c r="AA263" s="1686"/>
      <c r="AB263" s="1688"/>
      <c r="AC263" s="1688"/>
      <c r="AD263" s="1688"/>
      <c r="AE263" s="1688"/>
      <c r="AF263" s="1688"/>
      <c r="AG263" s="1688"/>
      <c r="AH263" s="1688"/>
      <c r="AI263" s="1688"/>
      <c r="AJ263" s="1688"/>
      <c r="AK263" s="1688"/>
      <c r="AL263" s="1688"/>
      <c r="AM263" s="1688"/>
      <c r="AN263" s="836"/>
      <c r="AO263" s="498"/>
    </row>
    <row r="264" spans="2:42" ht="18" hidden="1" customHeight="1">
      <c r="D264" s="1692">
        <v>3403</v>
      </c>
      <c r="E264" s="1692" t="s">
        <v>661</v>
      </c>
      <c r="G264" s="1694"/>
      <c r="H264" s="923"/>
      <c r="I264" s="710"/>
      <c r="J264" s="923"/>
      <c r="K264" s="923"/>
      <c r="L264" s="1695"/>
      <c r="M264" s="1686"/>
      <c r="N264" s="1686"/>
      <c r="O264" s="1686"/>
      <c r="P264" s="1686"/>
      <c r="Q264" s="1686"/>
      <c r="R264" s="1686"/>
      <c r="S264" s="1686"/>
      <c r="T264" s="1686"/>
      <c r="U264" s="1686"/>
      <c r="V264" s="1686"/>
      <c r="W264" s="1686"/>
      <c r="X264" s="1686"/>
      <c r="Y264" s="1686"/>
      <c r="Z264" s="1688"/>
      <c r="AA264" s="1686"/>
      <c r="AB264" s="1688"/>
      <c r="AC264" s="1688"/>
      <c r="AD264" s="1688"/>
      <c r="AE264" s="1688"/>
      <c r="AF264" s="1688"/>
      <c r="AG264" s="1688"/>
      <c r="AH264" s="1688"/>
      <c r="AI264" s="1688"/>
      <c r="AJ264" s="1688"/>
      <c r="AK264" s="1688"/>
      <c r="AL264" s="1688"/>
      <c r="AM264" s="1688"/>
      <c r="AN264" s="836"/>
    </row>
    <row r="265" spans="2:42" ht="18" hidden="1" customHeight="1">
      <c r="D265" s="1692">
        <v>3406</v>
      </c>
      <c r="E265" s="1692" t="s">
        <v>181</v>
      </c>
      <c r="G265" s="1547"/>
      <c r="H265" s="710"/>
      <c r="I265" s="710"/>
      <c r="J265" s="710"/>
      <c r="K265" s="710"/>
      <c r="L265" s="710"/>
      <c r="M265" s="1686"/>
      <c r="N265" s="836"/>
      <c r="O265" s="836"/>
      <c r="P265" s="836"/>
      <c r="Q265" s="836"/>
      <c r="R265" s="836"/>
      <c r="S265" s="836"/>
      <c r="T265" s="836"/>
      <c r="U265" s="836"/>
      <c r="V265" s="1686"/>
      <c r="W265" s="1686"/>
      <c r="X265" s="1686"/>
      <c r="Y265" s="1686"/>
      <c r="Z265" s="1688"/>
      <c r="AA265" s="1686"/>
      <c r="AB265" s="1688"/>
      <c r="AC265" s="1688"/>
      <c r="AD265" s="1688"/>
      <c r="AE265" s="1688"/>
      <c r="AF265" s="1688"/>
      <c r="AG265" s="1688"/>
      <c r="AH265" s="1688"/>
      <c r="AI265" s="1688"/>
      <c r="AJ265" s="1688"/>
      <c r="AK265" s="1688"/>
      <c r="AL265" s="1688"/>
      <c r="AM265" s="1688"/>
      <c r="AN265" s="836"/>
    </row>
    <row r="266" spans="2:42" ht="18" hidden="1" customHeight="1">
      <c r="D266" s="1692">
        <v>3408</v>
      </c>
      <c r="E266" s="1692" t="s">
        <v>1917</v>
      </c>
      <c r="G266" s="1547"/>
      <c r="H266" s="710"/>
      <c r="I266" s="710"/>
      <c r="J266" s="710"/>
      <c r="K266" s="710"/>
      <c r="L266" s="710"/>
      <c r="M266" s="1686"/>
      <c r="N266" s="836"/>
      <c r="O266" s="836"/>
      <c r="P266" s="836"/>
      <c r="Q266" s="836"/>
      <c r="R266" s="836"/>
      <c r="S266" s="836"/>
      <c r="T266" s="836"/>
      <c r="U266" s="836"/>
      <c r="V266" s="836"/>
      <c r="W266" s="1686"/>
      <c r="X266" s="836"/>
      <c r="Y266" s="1686"/>
      <c r="Z266" s="1688"/>
      <c r="AA266" s="1686"/>
      <c r="AB266" s="1688"/>
      <c r="AC266" s="1688"/>
      <c r="AD266" s="1688"/>
      <c r="AE266" s="1688"/>
      <c r="AF266" s="1688"/>
      <c r="AG266" s="1688"/>
      <c r="AH266" s="1688"/>
      <c r="AI266" s="1688"/>
      <c r="AJ266" s="1688"/>
      <c r="AK266" s="1688"/>
      <c r="AL266" s="1688"/>
      <c r="AM266" s="1688"/>
      <c r="AN266" s="836"/>
      <c r="AO266" s="498"/>
    </row>
    <row r="267" spans="2:42" ht="18" hidden="1" customHeight="1">
      <c r="E267" s="836"/>
      <c r="G267" s="1625"/>
      <c r="H267" s="1625"/>
      <c r="I267" s="1625"/>
      <c r="J267" s="1625"/>
      <c r="K267" s="1625"/>
      <c r="L267" s="1625"/>
      <c r="M267" s="1686"/>
      <c r="N267" s="836"/>
      <c r="O267" s="836"/>
      <c r="P267" s="836"/>
      <c r="Q267" s="836"/>
      <c r="R267" s="836"/>
      <c r="S267" s="836"/>
      <c r="T267" s="836"/>
      <c r="U267" s="836"/>
      <c r="V267" s="836"/>
      <c r="W267" s="1686"/>
      <c r="X267" s="836"/>
      <c r="Y267" s="1686"/>
      <c r="Z267" s="1688"/>
      <c r="AA267" s="1686"/>
      <c r="AB267" s="1688"/>
      <c r="AC267" s="1688"/>
      <c r="AD267" s="1688"/>
      <c r="AE267" s="1688"/>
      <c r="AF267" s="1688"/>
      <c r="AG267" s="1688"/>
      <c r="AH267" s="1688"/>
      <c r="AI267" s="1688"/>
      <c r="AJ267" s="1688"/>
      <c r="AK267" s="1688"/>
      <c r="AL267" s="1688"/>
      <c r="AM267" s="1688"/>
      <c r="AN267" s="836"/>
    </row>
    <row r="268" spans="2:42" ht="18" hidden="1" customHeight="1">
      <c r="E268" s="836"/>
      <c r="G268" s="1547"/>
      <c r="H268" s="712"/>
      <c r="I268" s="712"/>
      <c r="J268" s="712"/>
      <c r="K268" s="712"/>
      <c r="L268" s="1625"/>
      <c r="M268" s="1686"/>
      <c r="N268" s="836"/>
      <c r="O268" s="836"/>
      <c r="P268" s="836"/>
      <c r="Q268" s="836"/>
      <c r="R268" s="836"/>
      <c r="S268" s="836"/>
      <c r="T268" s="836"/>
      <c r="U268" s="836"/>
      <c r="V268" s="836"/>
      <c r="W268" s="1686"/>
      <c r="X268" s="836"/>
      <c r="Y268" s="1686"/>
      <c r="Z268" s="1688"/>
      <c r="AA268" s="1686"/>
      <c r="AB268" s="1688"/>
      <c r="AC268" s="1688"/>
      <c r="AD268" s="1688"/>
      <c r="AE268" s="1688"/>
      <c r="AF268" s="1688"/>
      <c r="AG268" s="1688"/>
      <c r="AH268" s="1688"/>
      <c r="AI268" s="1688"/>
      <c r="AJ268" s="1688"/>
      <c r="AK268" s="1688"/>
      <c r="AL268" s="1688"/>
      <c r="AM268" s="1688"/>
      <c r="AN268" s="836"/>
    </row>
    <row r="269" spans="2:42" ht="18" hidden="1" customHeight="1">
      <c r="D269" s="1696" t="s">
        <v>2281</v>
      </c>
      <c r="E269" s="1696" t="s">
        <v>2282</v>
      </c>
      <c r="F269" s="1696" t="s">
        <v>2283</v>
      </c>
      <c r="G269" s="1696" t="s">
        <v>2289</v>
      </c>
      <c r="H269" s="712"/>
      <c r="I269" s="712"/>
      <c r="J269" s="712"/>
      <c r="K269" s="712"/>
      <c r="L269" s="1625"/>
      <c r="M269" s="1686"/>
      <c r="N269" s="836"/>
      <c r="O269" s="836"/>
      <c r="P269" s="836"/>
      <c r="Q269" s="836"/>
      <c r="R269" s="836"/>
      <c r="S269" s="836"/>
      <c r="T269" s="836"/>
      <c r="U269" s="836"/>
      <c r="V269" s="836"/>
      <c r="W269" s="1686"/>
      <c r="X269" s="836"/>
      <c r="Y269" s="1686"/>
      <c r="Z269" s="1688"/>
      <c r="AA269" s="1686"/>
      <c r="AB269" s="1688"/>
      <c r="AC269" s="1688"/>
      <c r="AD269" s="1688"/>
      <c r="AE269" s="1688"/>
      <c r="AF269" s="1688"/>
      <c r="AG269" s="1688"/>
      <c r="AH269" s="1688"/>
      <c r="AI269" s="1688"/>
      <c r="AJ269" s="1688"/>
      <c r="AK269" s="1688"/>
      <c r="AL269" s="1688"/>
      <c r="AM269" s="1688"/>
      <c r="AN269" s="836"/>
    </row>
    <row r="270" spans="2:42" ht="18" hidden="1" customHeight="1">
      <c r="D270" s="1697" t="s">
        <v>2284</v>
      </c>
      <c r="E270" s="1697" t="s">
        <v>2285</v>
      </c>
      <c r="F270" s="1698" t="s">
        <v>2286</v>
      </c>
      <c r="G270" s="1699">
        <v>-5663506071</v>
      </c>
      <c r="H270" s="1625"/>
      <c r="I270" s="1625"/>
      <c r="J270" s="1625"/>
      <c r="K270" s="1625"/>
      <c r="L270" s="1625"/>
      <c r="M270" s="1686"/>
      <c r="N270" s="836"/>
      <c r="O270" s="836"/>
      <c r="P270" s="836"/>
      <c r="Q270" s="836"/>
      <c r="R270" s="836"/>
      <c r="S270" s="836"/>
      <c r="T270" s="836"/>
      <c r="U270" s="836"/>
      <c r="V270" s="836"/>
      <c r="W270" s="1686"/>
      <c r="X270" s="836"/>
      <c r="Y270" s="1686"/>
      <c r="Z270" s="1688"/>
      <c r="AA270" s="1686"/>
      <c r="AB270" s="1688"/>
      <c r="AC270" s="1688"/>
      <c r="AD270" s="1688"/>
      <c r="AE270" s="1688"/>
      <c r="AF270" s="1688"/>
      <c r="AG270" s="1688"/>
      <c r="AH270" s="1688"/>
      <c r="AI270" s="1688"/>
      <c r="AJ270" s="1688"/>
      <c r="AK270" s="1688"/>
      <c r="AL270" s="1688"/>
      <c r="AM270" s="1688"/>
      <c r="AN270" s="836"/>
    </row>
    <row r="271" spans="2:42" ht="18" hidden="1" customHeight="1">
      <c r="D271" s="1698" t="s">
        <v>2287</v>
      </c>
      <c r="E271" s="1698" t="s">
        <v>2288</v>
      </c>
      <c r="F271" s="1697" t="s">
        <v>1874</v>
      </c>
      <c r="G271" s="1700">
        <v>-181012525</v>
      </c>
      <c r="H271" s="923"/>
      <c r="I271" s="923"/>
      <c r="J271" s="923"/>
      <c r="K271" s="923"/>
      <c r="L271" s="923"/>
      <c r="M271" s="1686"/>
      <c r="N271" s="836"/>
      <c r="O271" s="836"/>
      <c r="P271" s="836"/>
      <c r="Q271" s="836"/>
      <c r="R271" s="836"/>
      <c r="S271" s="836"/>
      <c r="T271" s="836"/>
      <c r="U271" s="836"/>
      <c r="V271" s="836"/>
      <c r="W271" s="1686"/>
      <c r="X271" s="836"/>
      <c r="Y271" s="1686"/>
      <c r="Z271" s="1688"/>
      <c r="AA271" s="1686"/>
      <c r="AB271" s="1688"/>
      <c r="AC271" s="1688"/>
      <c r="AD271" s="1688"/>
      <c r="AE271" s="1688"/>
      <c r="AF271" s="1688"/>
      <c r="AG271" s="1688"/>
      <c r="AH271" s="1688"/>
      <c r="AI271" s="1688"/>
      <c r="AJ271" s="1688"/>
      <c r="AK271" s="1688"/>
      <c r="AL271" s="1688"/>
      <c r="AM271" s="1688"/>
      <c r="AN271" s="836"/>
    </row>
    <row r="272" spans="2:42" ht="18" customHeight="1">
      <c r="E272" s="836"/>
      <c r="G272" s="1542"/>
      <c r="H272" s="1701"/>
      <c r="I272" s="1546"/>
      <c r="J272" s="1546"/>
      <c r="K272" s="1546"/>
      <c r="L272" s="1546"/>
      <c r="M272" s="1686"/>
      <c r="N272" s="836"/>
      <c r="O272" s="836"/>
      <c r="P272" s="836"/>
      <c r="Q272" s="836"/>
      <c r="R272" s="836"/>
      <c r="S272" s="836"/>
      <c r="T272" s="836"/>
      <c r="U272" s="836"/>
      <c r="V272" s="836"/>
      <c r="W272" s="1686"/>
      <c r="X272" s="836"/>
      <c r="Y272" s="1686"/>
      <c r="Z272" s="1688"/>
      <c r="AA272" s="1686"/>
      <c r="AB272" s="1688"/>
      <c r="AC272" s="1688"/>
      <c r="AD272" s="1688"/>
      <c r="AE272" s="1688"/>
      <c r="AF272" s="1688"/>
      <c r="AG272" s="1688"/>
      <c r="AH272" s="1688"/>
      <c r="AI272" s="1688"/>
      <c r="AJ272" s="1688"/>
      <c r="AK272" s="1688"/>
      <c r="AL272" s="1688"/>
      <c r="AM272" s="1688"/>
      <c r="AN272" s="836"/>
    </row>
    <row r="273" spans="5:40" ht="18" customHeight="1">
      <c r="E273" s="836"/>
      <c r="G273" s="1542"/>
      <c r="H273" s="1701"/>
      <c r="I273" s="1701"/>
      <c r="J273" s="1546"/>
      <c r="K273" s="1546"/>
      <c r="L273" s="1546"/>
      <c r="M273" s="1686"/>
      <c r="N273" s="836"/>
      <c r="O273" s="836"/>
      <c r="P273" s="836"/>
      <c r="Q273" s="836"/>
      <c r="R273" s="836"/>
      <c r="S273" s="836"/>
      <c r="T273" s="836"/>
      <c r="U273" s="836"/>
      <c r="V273" s="836"/>
      <c r="W273" s="1686"/>
      <c r="X273" s="836"/>
      <c r="Y273" s="1686"/>
      <c r="Z273" s="1688"/>
      <c r="AA273" s="1686"/>
      <c r="AB273" s="1688"/>
      <c r="AC273" s="1688"/>
      <c r="AD273" s="1688"/>
      <c r="AE273" s="1688"/>
      <c r="AF273" s="1688"/>
      <c r="AG273" s="1688"/>
      <c r="AH273" s="1688"/>
      <c r="AI273" s="1688"/>
      <c r="AJ273" s="1688"/>
      <c r="AK273" s="1688"/>
      <c r="AL273" s="1688"/>
      <c r="AM273" s="1688"/>
      <c r="AN273" s="836"/>
    </row>
    <row r="274" spans="5:40" ht="18" customHeight="1">
      <c r="E274" s="836"/>
      <c r="G274" s="836"/>
      <c r="H274" s="836"/>
      <c r="I274" s="836"/>
      <c r="J274" s="836"/>
      <c r="K274" s="836"/>
      <c r="L274" s="836"/>
      <c r="M274" s="1686"/>
      <c r="N274" s="836"/>
      <c r="O274" s="836"/>
      <c r="P274" s="836"/>
      <c r="Q274" s="836"/>
      <c r="R274" s="836"/>
      <c r="S274" s="836"/>
      <c r="T274" s="836"/>
      <c r="U274" s="836"/>
      <c r="V274" s="836"/>
      <c r="W274" s="1686"/>
      <c r="X274" s="836"/>
      <c r="Y274" s="1686"/>
      <c r="Z274" s="1688"/>
      <c r="AA274" s="1686"/>
      <c r="AB274" s="1688"/>
      <c r="AC274" s="1688"/>
      <c r="AD274" s="1688"/>
      <c r="AE274" s="1688"/>
      <c r="AF274" s="1688"/>
      <c r="AG274" s="1688"/>
      <c r="AH274" s="1688"/>
      <c r="AI274" s="1688"/>
      <c r="AJ274" s="1688"/>
      <c r="AK274" s="1688"/>
      <c r="AL274" s="1688"/>
      <c r="AM274" s="1688"/>
      <c r="AN274" s="836"/>
    </row>
    <row r="275" spans="5:40" ht="18" customHeight="1">
      <c r="E275" s="836"/>
      <c r="G275" s="836"/>
      <c r="H275" s="836"/>
      <c r="I275" s="836"/>
      <c r="J275" s="836"/>
      <c r="K275" s="836"/>
      <c r="L275" s="836"/>
      <c r="M275" s="1686"/>
      <c r="N275" s="836"/>
      <c r="O275" s="836"/>
      <c r="P275" s="836"/>
      <c r="Q275" s="836"/>
      <c r="R275" s="836"/>
      <c r="S275" s="836"/>
      <c r="T275" s="836"/>
      <c r="U275" s="836"/>
      <c r="V275" s="836"/>
      <c r="W275" s="1686"/>
      <c r="X275" s="836"/>
      <c r="Y275" s="1686"/>
      <c r="Z275" s="1688"/>
      <c r="AA275" s="1686"/>
      <c r="AB275" s="1688"/>
      <c r="AC275" s="1688"/>
      <c r="AD275" s="1688"/>
      <c r="AE275" s="1688"/>
      <c r="AF275" s="1688"/>
      <c r="AG275" s="1688"/>
      <c r="AH275" s="1688"/>
      <c r="AI275" s="1688"/>
      <c r="AJ275" s="1688"/>
      <c r="AK275" s="1688"/>
      <c r="AL275" s="1688"/>
      <c r="AM275" s="1688"/>
      <c r="AN275" s="836"/>
    </row>
    <row r="276" spans="5:40" ht="18" customHeight="1">
      <c r="E276" s="836"/>
      <c r="G276" s="836"/>
      <c r="H276" s="836"/>
      <c r="I276" s="836"/>
      <c r="J276" s="836"/>
      <c r="K276" s="836"/>
      <c r="L276" s="836"/>
      <c r="M276" s="1686"/>
      <c r="N276" s="836"/>
      <c r="O276" s="836"/>
      <c r="P276" s="836"/>
      <c r="Q276" s="836"/>
      <c r="R276" s="836"/>
      <c r="S276" s="836"/>
      <c r="T276" s="836"/>
      <c r="U276" s="836"/>
      <c r="V276" s="836"/>
      <c r="W276" s="1686"/>
      <c r="X276" s="836"/>
      <c r="Y276" s="1686"/>
      <c r="Z276" s="1688"/>
      <c r="AA276" s="1686"/>
      <c r="AB276" s="1688"/>
      <c r="AC276" s="1688"/>
      <c r="AD276" s="1688"/>
      <c r="AE276" s="1688"/>
      <c r="AF276" s="1688"/>
      <c r="AG276" s="1688"/>
      <c r="AH276" s="1688"/>
      <c r="AI276" s="1688"/>
      <c r="AJ276" s="1688"/>
      <c r="AK276" s="1688"/>
      <c r="AL276" s="1688"/>
      <c r="AM276" s="1688"/>
      <c r="AN276" s="836"/>
    </row>
    <row r="277" spans="5:40" ht="18" customHeight="1">
      <c r="E277" s="836"/>
      <c r="G277" s="836"/>
      <c r="H277" s="836"/>
      <c r="I277" s="836"/>
      <c r="J277" s="836"/>
      <c r="K277" s="836"/>
      <c r="L277" s="836"/>
      <c r="M277" s="1686"/>
      <c r="N277" s="836"/>
      <c r="O277" s="836"/>
      <c r="P277" s="836"/>
      <c r="Q277" s="836"/>
      <c r="R277" s="836"/>
      <c r="S277" s="836"/>
      <c r="T277" s="836"/>
      <c r="U277" s="836"/>
      <c r="V277" s="836"/>
      <c r="W277" s="1686"/>
      <c r="X277" s="836"/>
      <c r="Y277" s="1686"/>
      <c r="Z277" s="1688"/>
      <c r="AA277" s="1686"/>
      <c r="AB277" s="1688"/>
      <c r="AC277" s="1688"/>
      <c r="AD277" s="1688"/>
      <c r="AE277" s="1688"/>
      <c r="AF277" s="1688"/>
      <c r="AG277" s="1688"/>
      <c r="AH277" s="1688"/>
      <c r="AI277" s="1688"/>
      <c r="AJ277" s="1688"/>
      <c r="AK277" s="1688"/>
      <c r="AL277" s="1688"/>
      <c r="AM277" s="1688"/>
      <c r="AN277" s="836"/>
    </row>
    <row r="278" spans="5:40" ht="18" customHeight="1">
      <c r="E278" s="836"/>
      <c r="G278" s="836"/>
      <c r="H278" s="836"/>
      <c r="I278" s="836"/>
      <c r="J278" s="836"/>
      <c r="K278" s="836"/>
      <c r="L278" s="836"/>
      <c r="M278" s="1686"/>
      <c r="N278" s="836"/>
      <c r="O278" s="836"/>
      <c r="P278" s="836"/>
      <c r="Q278" s="836"/>
      <c r="R278" s="836"/>
      <c r="S278" s="836"/>
      <c r="T278" s="836"/>
      <c r="U278" s="836"/>
      <c r="V278" s="836"/>
      <c r="W278" s="1686"/>
      <c r="X278" s="836"/>
      <c r="Y278" s="1686"/>
      <c r="Z278" s="1688"/>
      <c r="AA278" s="1686"/>
      <c r="AB278" s="1688"/>
      <c r="AC278" s="1688"/>
      <c r="AD278" s="1688"/>
      <c r="AE278" s="1688"/>
      <c r="AF278" s="1688"/>
      <c r="AG278" s="1688"/>
      <c r="AH278" s="1688"/>
      <c r="AI278" s="1688"/>
      <c r="AJ278" s="1688"/>
      <c r="AK278" s="1688"/>
      <c r="AL278" s="1688"/>
      <c r="AM278" s="1688"/>
      <c r="AN278" s="836"/>
    </row>
    <row r="279" spans="5:40" ht="18" customHeight="1">
      <c r="E279" s="836"/>
      <c r="G279" s="836"/>
      <c r="H279" s="836"/>
      <c r="I279" s="836"/>
      <c r="J279" s="836"/>
      <c r="K279" s="836"/>
      <c r="L279" s="836"/>
      <c r="M279" s="1686"/>
      <c r="N279" s="836"/>
      <c r="O279" s="836"/>
      <c r="P279" s="836"/>
      <c r="Q279" s="836"/>
      <c r="R279" s="836"/>
      <c r="S279" s="836"/>
      <c r="T279" s="836"/>
      <c r="U279" s="836"/>
      <c r="V279" s="836"/>
      <c r="W279" s="1686"/>
      <c r="X279" s="836"/>
      <c r="Y279" s="1686"/>
      <c r="Z279" s="1688"/>
      <c r="AA279" s="1686"/>
      <c r="AB279" s="1688"/>
      <c r="AC279" s="1688"/>
      <c r="AD279" s="1688"/>
      <c r="AE279" s="1688"/>
      <c r="AF279" s="1688"/>
      <c r="AG279" s="1688"/>
      <c r="AH279" s="1688"/>
      <c r="AI279" s="1688"/>
      <c r="AJ279" s="1688"/>
      <c r="AK279" s="1688"/>
      <c r="AL279" s="1688"/>
      <c r="AM279" s="1688"/>
      <c r="AN279" s="836"/>
    </row>
    <row r="280" spans="5:40" ht="18" customHeight="1">
      <c r="E280" s="836"/>
      <c r="G280" s="836"/>
      <c r="H280" s="836"/>
      <c r="I280" s="836"/>
      <c r="J280" s="836"/>
      <c r="K280" s="836"/>
      <c r="L280" s="836"/>
      <c r="M280" s="1686"/>
      <c r="N280" s="836"/>
      <c r="O280" s="836"/>
      <c r="P280" s="836"/>
      <c r="Q280" s="836"/>
      <c r="R280" s="836"/>
      <c r="S280" s="836"/>
      <c r="T280" s="836"/>
      <c r="U280" s="836"/>
      <c r="V280" s="836"/>
      <c r="W280" s="1686"/>
      <c r="X280" s="836"/>
      <c r="Y280" s="1686"/>
      <c r="Z280" s="1688"/>
      <c r="AA280" s="1686"/>
      <c r="AB280" s="1688"/>
      <c r="AC280" s="1688"/>
      <c r="AD280" s="1688"/>
      <c r="AE280" s="1688"/>
      <c r="AF280" s="1688"/>
      <c r="AG280" s="1688"/>
      <c r="AH280" s="1688"/>
      <c r="AI280" s="1688"/>
      <c r="AJ280" s="1688"/>
      <c r="AK280" s="1688"/>
      <c r="AL280" s="1688"/>
      <c r="AM280" s="1688"/>
      <c r="AN280" s="836"/>
    </row>
    <row r="281" spans="5:40" ht="18" customHeight="1">
      <c r="E281" s="836"/>
      <c r="G281" s="836"/>
      <c r="H281" s="836"/>
      <c r="I281" s="836"/>
      <c r="J281" s="836"/>
      <c r="K281" s="836"/>
      <c r="L281" s="836"/>
      <c r="M281" s="1686"/>
      <c r="N281" s="836"/>
      <c r="O281" s="836"/>
      <c r="P281" s="836"/>
      <c r="Q281" s="836"/>
      <c r="R281" s="836"/>
      <c r="S281" s="836"/>
      <c r="T281" s="836"/>
      <c r="U281" s="836"/>
      <c r="V281" s="836"/>
      <c r="W281" s="1686"/>
      <c r="X281" s="836"/>
      <c r="Y281" s="1686"/>
      <c r="Z281" s="1688"/>
      <c r="AA281" s="1686"/>
      <c r="AB281" s="1688"/>
      <c r="AC281" s="1688"/>
      <c r="AD281" s="1688"/>
      <c r="AE281" s="1688"/>
      <c r="AF281" s="1688"/>
      <c r="AG281" s="1688"/>
      <c r="AH281" s="1688"/>
      <c r="AI281" s="1688"/>
      <c r="AJ281" s="1688"/>
      <c r="AK281" s="1688"/>
      <c r="AL281" s="1688"/>
      <c r="AM281" s="1688"/>
      <c r="AN281" s="836"/>
    </row>
    <row r="282" spans="5:40" ht="18" customHeight="1">
      <c r="E282" s="836"/>
      <c r="G282" s="836"/>
      <c r="H282" s="836"/>
      <c r="I282" s="836"/>
      <c r="J282" s="836"/>
      <c r="K282" s="836"/>
      <c r="L282" s="836"/>
      <c r="M282" s="1686"/>
      <c r="N282" s="836"/>
      <c r="O282" s="836"/>
      <c r="P282" s="836"/>
      <c r="Q282" s="836"/>
      <c r="R282" s="836"/>
      <c r="S282" s="836"/>
      <c r="T282" s="836"/>
      <c r="U282" s="836"/>
      <c r="V282" s="836"/>
      <c r="W282" s="1686"/>
      <c r="X282" s="836"/>
      <c r="Y282" s="1686"/>
      <c r="Z282" s="1688"/>
      <c r="AA282" s="1686"/>
      <c r="AB282" s="1688"/>
      <c r="AC282" s="1688"/>
      <c r="AD282" s="1688"/>
      <c r="AE282" s="1688"/>
      <c r="AF282" s="1688"/>
      <c r="AG282" s="1688"/>
      <c r="AH282" s="1688"/>
      <c r="AI282" s="1688"/>
      <c r="AJ282" s="1688"/>
      <c r="AK282" s="1688"/>
      <c r="AL282" s="1688"/>
      <c r="AM282" s="1688"/>
      <c r="AN282" s="836"/>
    </row>
    <row r="283" spans="5:40" ht="18" customHeight="1">
      <c r="E283" s="836"/>
      <c r="G283" s="836"/>
      <c r="H283" s="836"/>
      <c r="I283" s="836"/>
      <c r="J283" s="836"/>
      <c r="K283" s="836"/>
      <c r="L283" s="836"/>
      <c r="M283" s="1686"/>
      <c r="N283" s="836"/>
      <c r="O283" s="836"/>
      <c r="P283" s="836"/>
      <c r="Q283" s="836"/>
      <c r="R283" s="836"/>
      <c r="S283" s="836"/>
      <c r="T283" s="836"/>
      <c r="U283" s="836"/>
      <c r="V283" s="836"/>
      <c r="W283" s="1686"/>
      <c r="X283" s="836"/>
      <c r="Y283" s="1686"/>
      <c r="Z283" s="1688"/>
      <c r="AA283" s="1686"/>
      <c r="AB283" s="1688"/>
      <c r="AC283" s="1688"/>
      <c r="AD283" s="1688"/>
      <c r="AE283" s="1688"/>
      <c r="AF283" s="1688"/>
      <c r="AG283" s="1688"/>
      <c r="AH283" s="1688"/>
      <c r="AI283" s="1688"/>
      <c r="AJ283" s="1688"/>
      <c r="AK283" s="1688"/>
      <c r="AL283" s="1688"/>
      <c r="AM283" s="1688"/>
      <c r="AN283" s="836"/>
    </row>
    <row r="284" spans="5:40" ht="18" customHeight="1">
      <c r="E284" s="836"/>
      <c r="G284" s="836"/>
      <c r="H284" s="836"/>
      <c r="I284" s="836"/>
      <c r="J284" s="836"/>
      <c r="K284" s="836"/>
      <c r="L284" s="836"/>
      <c r="M284" s="1686"/>
      <c r="N284" s="836"/>
      <c r="O284" s="836"/>
      <c r="P284" s="836"/>
      <c r="Q284" s="836"/>
      <c r="R284" s="836"/>
      <c r="S284" s="836"/>
      <c r="T284" s="836"/>
      <c r="U284" s="836"/>
      <c r="V284" s="836"/>
      <c r="W284" s="1686"/>
      <c r="X284" s="836"/>
      <c r="Y284" s="1686"/>
      <c r="Z284" s="1688"/>
      <c r="AA284" s="1686"/>
      <c r="AB284" s="1688"/>
      <c r="AC284" s="1688"/>
      <c r="AD284" s="1688"/>
      <c r="AE284" s="1688"/>
      <c r="AF284" s="1688"/>
      <c r="AG284" s="1688"/>
      <c r="AH284" s="1688"/>
      <c r="AI284" s="1688"/>
      <c r="AJ284" s="1688"/>
      <c r="AK284" s="1688"/>
      <c r="AL284" s="1688"/>
      <c r="AM284" s="1688"/>
      <c r="AN284" s="836"/>
    </row>
    <row r="285" spans="5:40" ht="18" customHeight="1">
      <c r="E285" s="836"/>
      <c r="G285" s="836"/>
      <c r="H285" s="836"/>
      <c r="I285" s="836"/>
      <c r="J285" s="836"/>
      <c r="K285" s="836"/>
      <c r="L285" s="836"/>
      <c r="M285" s="1686"/>
      <c r="N285" s="836"/>
      <c r="O285" s="836"/>
      <c r="P285" s="836"/>
      <c r="Q285" s="836"/>
      <c r="R285" s="836"/>
      <c r="S285" s="836"/>
      <c r="T285" s="836"/>
      <c r="U285" s="836"/>
      <c r="V285" s="836"/>
      <c r="W285" s="1686"/>
      <c r="X285" s="836"/>
      <c r="Y285" s="1686"/>
      <c r="Z285" s="1688"/>
      <c r="AA285" s="1686"/>
      <c r="AB285" s="1688"/>
      <c r="AC285" s="1688"/>
      <c r="AD285" s="1688"/>
      <c r="AE285" s="1688"/>
      <c r="AF285" s="1688"/>
      <c r="AG285" s="1688"/>
      <c r="AH285" s="1688"/>
      <c r="AI285" s="1688"/>
      <c r="AJ285" s="1688"/>
      <c r="AK285" s="1688"/>
      <c r="AL285" s="1688"/>
      <c r="AM285" s="1688"/>
      <c r="AN285" s="836"/>
    </row>
    <row r="286" spans="5:40" ht="18" customHeight="1">
      <c r="E286" s="836"/>
      <c r="G286" s="836"/>
      <c r="H286" s="836"/>
      <c r="I286" s="836"/>
      <c r="J286" s="836"/>
      <c r="K286" s="836"/>
      <c r="L286" s="836"/>
      <c r="M286" s="1686"/>
      <c r="N286" s="836"/>
      <c r="O286" s="836"/>
      <c r="P286" s="836"/>
      <c r="Q286" s="836"/>
      <c r="R286" s="836"/>
      <c r="S286" s="836"/>
      <c r="T286" s="836"/>
      <c r="U286" s="836"/>
      <c r="V286" s="836"/>
      <c r="W286" s="1686"/>
      <c r="X286" s="836"/>
      <c r="Y286" s="1686"/>
      <c r="Z286" s="1688"/>
      <c r="AA286" s="1686"/>
      <c r="AB286" s="1688"/>
      <c r="AC286" s="1688"/>
      <c r="AD286" s="1688"/>
      <c r="AE286" s="1688"/>
      <c r="AF286" s="1688"/>
      <c r="AG286" s="1688"/>
      <c r="AH286" s="1688"/>
      <c r="AI286" s="1688"/>
      <c r="AJ286" s="1688"/>
      <c r="AK286" s="1688"/>
      <c r="AL286" s="1688"/>
      <c r="AM286" s="1688"/>
      <c r="AN286" s="836"/>
    </row>
    <row r="287" spans="5:40" ht="18" customHeight="1">
      <c r="E287" s="836"/>
      <c r="G287" s="836"/>
      <c r="H287" s="836"/>
      <c r="I287" s="836"/>
      <c r="J287" s="836"/>
      <c r="K287" s="836"/>
      <c r="L287" s="836"/>
      <c r="M287" s="1686"/>
      <c r="N287" s="836"/>
      <c r="O287" s="836"/>
      <c r="P287" s="836"/>
      <c r="Q287" s="836"/>
      <c r="R287" s="836"/>
      <c r="S287" s="836"/>
      <c r="T287" s="836"/>
      <c r="U287" s="836"/>
      <c r="V287" s="836"/>
      <c r="W287" s="1686"/>
      <c r="X287" s="836"/>
      <c r="Y287" s="1686"/>
      <c r="Z287" s="1688"/>
      <c r="AA287" s="1686"/>
      <c r="AB287" s="1688"/>
      <c r="AC287" s="1688"/>
      <c r="AD287" s="1688"/>
      <c r="AE287" s="1688"/>
      <c r="AF287" s="1688"/>
      <c r="AG287" s="1688"/>
      <c r="AH287" s="1688"/>
      <c r="AI287" s="1688"/>
      <c r="AJ287" s="1688"/>
      <c r="AK287" s="1688"/>
      <c r="AL287" s="1688"/>
      <c r="AM287" s="1688"/>
      <c r="AN287" s="836"/>
    </row>
    <row r="288" spans="5:40" ht="18" customHeight="1">
      <c r="E288" s="836"/>
      <c r="G288" s="836"/>
      <c r="H288" s="836"/>
      <c r="I288" s="836"/>
      <c r="J288" s="836"/>
      <c r="K288" s="836"/>
      <c r="L288" s="836"/>
      <c r="M288" s="1686"/>
      <c r="N288" s="836"/>
      <c r="O288" s="836"/>
      <c r="P288" s="836"/>
      <c r="Q288" s="836"/>
      <c r="R288" s="836"/>
      <c r="S288" s="836"/>
      <c r="T288" s="836"/>
      <c r="U288" s="836"/>
      <c r="V288" s="836"/>
      <c r="W288" s="1686"/>
      <c r="X288" s="836"/>
      <c r="Y288" s="1686"/>
      <c r="Z288" s="1688"/>
      <c r="AA288" s="1686"/>
      <c r="AB288" s="1688"/>
      <c r="AC288" s="1688"/>
      <c r="AD288" s="1688"/>
      <c r="AE288" s="1688"/>
      <c r="AF288" s="1688"/>
      <c r="AG288" s="1688"/>
      <c r="AH288" s="1688"/>
      <c r="AI288" s="1688"/>
      <c r="AJ288" s="1688"/>
      <c r="AK288" s="1688"/>
      <c r="AL288" s="1688"/>
      <c r="AM288" s="1688"/>
      <c r="AN288" s="836"/>
    </row>
    <row r="289" spans="5:40" ht="18" customHeight="1">
      <c r="E289" s="836"/>
      <c r="G289" s="836"/>
      <c r="H289" s="836"/>
      <c r="I289" s="836"/>
      <c r="J289" s="836"/>
      <c r="K289" s="836"/>
      <c r="L289" s="836"/>
      <c r="M289" s="1686"/>
      <c r="N289" s="836"/>
      <c r="O289" s="836"/>
      <c r="P289" s="836"/>
      <c r="Q289" s="836"/>
      <c r="R289" s="836"/>
      <c r="S289" s="836"/>
      <c r="T289" s="836"/>
      <c r="U289" s="836"/>
      <c r="V289" s="836"/>
      <c r="W289" s="1686"/>
      <c r="X289" s="836"/>
      <c r="Y289" s="1686"/>
      <c r="Z289" s="1688"/>
      <c r="AA289" s="1686"/>
      <c r="AB289" s="1688"/>
      <c r="AC289" s="1688"/>
      <c r="AD289" s="1688"/>
      <c r="AE289" s="1688"/>
      <c r="AF289" s="1688"/>
      <c r="AG289" s="1688"/>
      <c r="AH289" s="1688"/>
      <c r="AI289" s="1688"/>
      <c r="AJ289" s="1688"/>
      <c r="AK289" s="1688"/>
      <c r="AL289" s="1688"/>
      <c r="AM289" s="1688"/>
      <c r="AN289" s="836"/>
    </row>
    <row r="290" spans="5:40" ht="18" customHeight="1">
      <c r="E290" s="836"/>
      <c r="G290" s="836"/>
      <c r="H290" s="836"/>
      <c r="I290" s="836"/>
      <c r="J290" s="836"/>
      <c r="K290" s="836"/>
      <c r="L290" s="836"/>
      <c r="M290" s="1686"/>
      <c r="N290" s="836"/>
      <c r="O290" s="836"/>
      <c r="P290" s="836"/>
      <c r="Q290" s="836"/>
      <c r="R290" s="836"/>
      <c r="S290" s="836"/>
      <c r="T290" s="836"/>
      <c r="U290" s="836"/>
      <c r="V290" s="836"/>
      <c r="W290" s="1686"/>
      <c r="X290" s="836"/>
      <c r="Y290" s="1686"/>
      <c r="Z290" s="1688"/>
      <c r="AA290" s="1686"/>
      <c r="AB290" s="1688"/>
      <c r="AC290" s="1688"/>
      <c r="AD290" s="1688"/>
      <c r="AE290" s="1688"/>
      <c r="AF290" s="1688"/>
      <c r="AG290" s="1688"/>
      <c r="AH290" s="1688"/>
      <c r="AI290" s="1688"/>
      <c r="AJ290" s="1688"/>
      <c r="AK290" s="1688"/>
      <c r="AL290" s="1688"/>
      <c r="AM290" s="1688"/>
      <c r="AN290" s="836"/>
    </row>
    <row r="291" spans="5:40" ht="18" customHeight="1">
      <c r="E291" s="836"/>
      <c r="G291" s="836"/>
      <c r="H291" s="836"/>
      <c r="I291" s="836"/>
      <c r="J291" s="836"/>
      <c r="K291" s="836"/>
      <c r="L291" s="836"/>
      <c r="M291" s="1686"/>
      <c r="N291" s="836"/>
      <c r="O291" s="836"/>
      <c r="P291" s="836"/>
      <c r="Q291" s="836"/>
      <c r="R291" s="836"/>
      <c r="S291" s="836"/>
      <c r="T291" s="836"/>
      <c r="U291" s="836"/>
      <c r="V291" s="836"/>
      <c r="W291" s="1686"/>
      <c r="X291" s="836"/>
      <c r="Y291" s="1686"/>
      <c r="Z291" s="1688"/>
      <c r="AA291" s="1686"/>
      <c r="AB291" s="1688"/>
      <c r="AC291" s="1688"/>
      <c r="AD291" s="1688"/>
      <c r="AE291" s="1688"/>
      <c r="AF291" s="1688"/>
      <c r="AG291" s="1688"/>
      <c r="AH291" s="1688"/>
      <c r="AI291" s="1688"/>
      <c r="AJ291" s="1688"/>
      <c r="AK291" s="1688"/>
      <c r="AL291" s="1688"/>
      <c r="AM291" s="1688"/>
      <c r="AN291" s="836"/>
    </row>
    <row r="292" spans="5:40" ht="18" customHeight="1">
      <c r="E292" s="836"/>
      <c r="G292" s="836"/>
      <c r="H292" s="836"/>
      <c r="I292" s="836"/>
      <c r="J292" s="836"/>
      <c r="K292" s="836"/>
      <c r="L292" s="836"/>
      <c r="M292" s="1686"/>
      <c r="N292" s="836"/>
      <c r="O292" s="836"/>
      <c r="P292" s="836"/>
      <c r="Q292" s="836"/>
      <c r="R292" s="836"/>
      <c r="S292" s="836"/>
      <c r="T292" s="836"/>
      <c r="U292" s="836"/>
      <c r="V292" s="836"/>
      <c r="W292" s="1686"/>
      <c r="X292" s="836"/>
      <c r="Y292" s="1686"/>
      <c r="Z292" s="1688"/>
      <c r="AA292" s="1686"/>
      <c r="AB292" s="1688"/>
      <c r="AC292" s="1688"/>
      <c r="AD292" s="1688"/>
      <c r="AE292" s="1688"/>
      <c r="AF292" s="1688"/>
      <c r="AG292" s="1688"/>
      <c r="AH292" s="1688"/>
      <c r="AI292" s="1688"/>
      <c r="AJ292" s="1688"/>
      <c r="AK292" s="1688"/>
      <c r="AL292" s="1688"/>
      <c r="AM292" s="1688"/>
      <c r="AN292" s="836"/>
    </row>
    <row r="293" spans="5:40" ht="18" customHeight="1">
      <c r="E293" s="836"/>
      <c r="G293" s="836"/>
      <c r="H293" s="836"/>
      <c r="I293" s="836"/>
      <c r="J293" s="836"/>
      <c r="K293" s="836"/>
      <c r="L293" s="836"/>
      <c r="M293" s="1686"/>
      <c r="N293" s="836"/>
      <c r="O293" s="836"/>
      <c r="P293" s="836"/>
      <c r="Q293" s="836"/>
      <c r="R293" s="836"/>
      <c r="S293" s="836"/>
      <c r="T293" s="836"/>
      <c r="U293" s="836"/>
      <c r="V293" s="836"/>
      <c r="W293" s="1686"/>
      <c r="X293" s="836"/>
      <c r="Y293" s="1686"/>
      <c r="Z293" s="1688"/>
      <c r="AA293" s="1686"/>
      <c r="AB293" s="1688"/>
      <c r="AC293" s="1688"/>
      <c r="AD293" s="1688"/>
      <c r="AE293" s="1688"/>
      <c r="AF293" s="1688"/>
      <c r="AG293" s="1688"/>
      <c r="AH293" s="1688"/>
      <c r="AI293" s="1688"/>
      <c r="AJ293" s="1688"/>
      <c r="AK293" s="1688"/>
      <c r="AL293" s="1688"/>
      <c r="AM293" s="1688"/>
      <c r="AN293" s="836"/>
    </row>
    <row r="294" spans="5:40" ht="18" customHeight="1">
      <c r="E294" s="836"/>
      <c r="G294" s="836"/>
      <c r="H294" s="836"/>
      <c r="I294" s="836"/>
      <c r="J294" s="836"/>
      <c r="K294" s="836"/>
      <c r="L294" s="836"/>
      <c r="M294" s="1686"/>
      <c r="N294" s="836"/>
      <c r="O294" s="836"/>
      <c r="P294" s="836"/>
      <c r="Q294" s="836"/>
      <c r="R294" s="836"/>
      <c r="S294" s="836"/>
      <c r="T294" s="836"/>
      <c r="U294" s="836"/>
      <c r="V294" s="836"/>
      <c r="W294" s="1686"/>
      <c r="X294" s="836"/>
      <c r="Y294" s="1686"/>
      <c r="Z294" s="1688"/>
      <c r="AA294" s="1686"/>
      <c r="AB294" s="1688"/>
      <c r="AC294" s="1688"/>
      <c r="AD294" s="1688"/>
      <c r="AE294" s="1688"/>
      <c r="AF294" s="1688"/>
      <c r="AG294" s="1688"/>
      <c r="AH294" s="1688"/>
      <c r="AI294" s="1688"/>
      <c r="AJ294" s="1688"/>
      <c r="AK294" s="1688"/>
      <c r="AL294" s="1688"/>
      <c r="AM294" s="1688"/>
      <c r="AN294" s="836"/>
    </row>
    <row r="295" spans="5:40" ht="18" customHeight="1">
      <c r="E295" s="836"/>
      <c r="G295" s="836"/>
      <c r="H295" s="836"/>
      <c r="I295" s="836"/>
      <c r="J295" s="836"/>
      <c r="K295" s="836"/>
      <c r="L295" s="836"/>
      <c r="M295" s="1686"/>
      <c r="N295" s="836"/>
      <c r="O295" s="836"/>
      <c r="P295" s="836"/>
      <c r="Q295" s="836"/>
      <c r="R295" s="836"/>
      <c r="S295" s="836"/>
      <c r="T295" s="836"/>
      <c r="U295" s="836"/>
      <c r="V295" s="836"/>
      <c r="W295" s="1686"/>
      <c r="X295" s="836"/>
      <c r="Y295" s="1686"/>
      <c r="Z295" s="1688"/>
      <c r="AA295" s="1686"/>
      <c r="AB295" s="1688"/>
      <c r="AC295" s="1688"/>
      <c r="AD295" s="1688"/>
      <c r="AE295" s="1688"/>
      <c r="AF295" s="1688"/>
      <c r="AG295" s="1688"/>
      <c r="AH295" s="1688"/>
      <c r="AI295" s="1688"/>
      <c r="AJ295" s="1688"/>
      <c r="AK295" s="1688"/>
      <c r="AL295" s="1688"/>
      <c r="AM295" s="1688"/>
      <c r="AN295" s="836"/>
    </row>
    <row r="296" spans="5:40" ht="18" customHeight="1">
      <c r="E296" s="836"/>
      <c r="G296" s="836"/>
      <c r="H296" s="836"/>
      <c r="I296" s="836"/>
      <c r="J296" s="836"/>
      <c r="K296" s="836"/>
      <c r="L296" s="836"/>
      <c r="M296" s="1686"/>
      <c r="N296" s="836"/>
      <c r="O296" s="836"/>
      <c r="P296" s="836"/>
      <c r="Q296" s="836"/>
      <c r="R296" s="836"/>
      <c r="S296" s="836"/>
      <c r="T296" s="836"/>
      <c r="U296" s="836"/>
      <c r="V296" s="836"/>
      <c r="W296" s="1686"/>
      <c r="X296" s="836"/>
      <c r="Y296" s="1686"/>
      <c r="Z296" s="1688"/>
      <c r="AA296" s="1686"/>
      <c r="AB296" s="1688"/>
      <c r="AC296" s="1688"/>
      <c r="AD296" s="1688"/>
      <c r="AE296" s="1688"/>
      <c r="AF296" s="1688"/>
      <c r="AG296" s="1688"/>
      <c r="AH296" s="1688"/>
      <c r="AI296" s="1688"/>
      <c r="AJ296" s="1688"/>
      <c r="AK296" s="1688"/>
      <c r="AL296" s="1688"/>
      <c r="AM296" s="1688"/>
      <c r="AN296" s="836"/>
    </row>
    <row r="297" spans="5:40" ht="18" customHeight="1">
      <c r="E297" s="836"/>
      <c r="G297" s="836"/>
      <c r="H297" s="836"/>
      <c r="I297" s="836"/>
      <c r="J297" s="836"/>
      <c r="K297" s="836"/>
      <c r="L297" s="836"/>
      <c r="M297" s="1686"/>
      <c r="N297" s="836"/>
      <c r="O297" s="836"/>
      <c r="P297" s="836"/>
      <c r="Q297" s="836"/>
      <c r="R297" s="836"/>
      <c r="S297" s="836"/>
      <c r="T297" s="836"/>
      <c r="U297" s="836"/>
      <c r="V297" s="836"/>
      <c r="W297" s="1686"/>
      <c r="X297" s="836"/>
      <c r="Y297" s="1686"/>
      <c r="Z297" s="1688"/>
      <c r="AA297" s="1686"/>
      <c r="AB297" s="1688"/>
      <c r="AC297" s="1688"/>
      <c r="AD297" s="1688"/>
      <c r="AE297" s="1688"/>
      <c r="AF297" s="1688"/>
      <c r="AG297" s="1688"/>
      <c r="AH297" s="1688"/>
      <c r="AI297" s="1688"/>
      <c r="AJ297" s="1688"/>
      <c r="AK297" s="1688"/>
      <c r="AL297" s="1688"/>
      <c r="AM297" s="1688"/>
      <c r="AN297" s="836"/>
    </row>
    <row r="298" spans="5:40" ht="18" customHeight="1">
      <c r="E298" s="836"/>
      <c r="G298" s="836"/>
      <c r="H298" s="836"/>
      <c r="I298" s="836"/>
      <c r="J298" s="836"/>
      <c r="K298" s="836"/>
      <c r="L298" s="836"/>
      <c r="M298" s="1686"/>
      <c r="N298" s="836"/>
      <c r="O298" s="836"/>
      <c r="P298" s="836"/>
      <c r="Q298" s="836"/>
      <c r="R298" s="836"/>
      <c r="S298" s="836"/>
      <c r="T298" s="836"/>
      <c r="U298" s="836"/>
      <c r="V298" s="836"/>
      <c r="W298" s="1686"/>
      <c r="X298" s="836"/>
      <c r="Y298" s="1686"/>
      <c r="Z298" s="1688"/>
      <c r="AA298" s="1686"/>
      <c r="AB298" s="1688"/>
      <c r="AC298" s="1688"/>
      <c r="AD298" s="1688"/>
      <c r="AE298" s="1688"/>
      <c r="AF298" s="1688"/>
      <c r="AG298" s="1688"/>
      <c r="AH298" s="1688"/>
      <c r="AI298" s="1688"/>
      <c r="AJ298" s="1688"/>
      <c r="AK298" s="1688"/>
      <c r="AL298" s="1688"/>
      <c r="AM298" s="1688"/>
      <c r="AN298" s="836"/>
    </row>
    <row r="299" spans="5:40" ht="18" customHeight="1">
      <c r="E299" s="836"/>
      <c r="G299" s="836"/>
      <c r="H299" s="836"/>
      <c r="I299" s="836"/>
      <c r="J299" s="836"/>
      <c r="K299" s="836"/>
      <c r="L299" s="836"/>
      <c r="M299" s="1686"/>
      <c r="N299" s="836"/>
      <c r="O299" s="836"/>
      <c r="P299" s="836"/>
      <c r="Q299" s="836"/>
      <c r="R299" s="836"/>
      <c r="S299" s="836"/>
      <c r="T299" s="836"/>
      <c r="U299" s="836"/>
      <c r="V299" s="836"/>
      <c r="W299" s="1686"/>
      <c r="X299" s="836"/>
      <c r="Y299" s="1686"/>
      <c r="Z299" s="1688"/>
      <c r="AA299" s="1686"/>
      <c r="AB299" s="1688"/>
      <c r="AC299" s="1688"/>
      <c r="AD299" s="1688"/>
      <c r="AE299" s="1688"/>
      <c r="AF299" s="1688"/>
      <c r="AG299" s="1688"/>
      <c r="AH299" s="1688"/>
      <c r="AI299" s="1688"/>
      <c r="AJ299" s="1688"/>
      <c r="AK299" s="1688"/>
      <c r="AL299" s="1688"/>
      <c r="AM299" s="1688"/>
      <c r="AN299" s="836"/>
    </row>
    <row r="300" spans="5:40" ht="18" customHeight="1">
      <c r="E300" s="836"/>
      <c r="G300" s="836"/>
      <c r="H300" s="836"/>
      <c r="I300" s="836"/>
      <c r="J300" s="836"/>
      <c r="K300" s="836"/>
      <c r="L300" s="836"/>
      <c r="M300" s="1686"/>
      <c r="N300" s="836"/>
      <c r="O300" s="836"/>
      <c r="P300" s="836"/>
      <c r="Q300" s="836"/>
      <c r="R300" s="836"/>
      <c r="S300" s="836"/>
      <c r="T300" s="836"/>
      <c r="U300" s="836"/>
      <c r="V300" s="836"/>
      <c r="W300" s="1686"/>
      <c r="X300" s="836"/>
      <c r="Y300" s="1686"/>
      <c r="Z300" s="1688"/>
      <c r="AA300" s="1686"/>
      <c r="AB300" s="1688"/>
      <c r="AC300" s="1688"/>
      <c r="AD300" s="1688"/>
      <c r="AE300" s="1688"/>
      <c r="AF300" s="1688"/>
      <c r="AG300" s="1688"/>
      <c r="AH300" s="1688"/>
      <c r="AI300" s="1688"/>
      <c r="AJ300" s="1688"/>
      <c r="AK300" s="1688"/>
      <c r="AL300" s="1688"/>
      <c r="AM300" s="1688"/>
      <c r="AN300" s="836"/>
    </row>
    <row r="301" spans="5:40" ht="18" customHeight="1">
      <c r="E301" s="836"/>
      <c r="G301" s="836"/>
      <c r="H301" s="836"/>
      <c r="I301" s="836"/>
      <c r="J301" s="836"/>
      <c r="K301" s="836"/>
      <c r="L301" s="836"/>
      <c r="M301" s="1686"/>
      <c r="N301" s="836"/>
      <c r="O301" s="836"/>
      <c r="P301" s="836"/>
      <c r="Q301" s="836"/>
      <c r="R301" s="836"/>
      <c r="S301" s="836"/>
      <c r="T301" s="836"/>
      <c r="U301" s="836"/>
      <c r="V301" s="836"/>
      <c r="W301" s="1686"/>
      <c r="X301" s="836"/>
      <c r="Y301" s="1686"/>
      <c r="Z301" s="1688"/>
      <c r="AA301" s="1686"/>
      <c r="AB301" s="1688"/>
      <c r="AC301" s="1688"/>
      <c r="AD301" s="1688"/>
      <c r="AE301" s="1688"/>
      <c r="AF301" s="1688"/>
      <c r="AG301" s="1688"/>
      <c r="AH301" s="1688"/>
      <c r="AI301" s="1688"/>
      <c r="AJ301" s="1688"/>
      <c r="AK301" s="1688"/>
      <c r="AL301" s="1688"/>
      <c r="AM301" s="1688"/>
      <c r="AN301" s="836"/>
    </row>
    <row r="302" spans="5:40" ht="18" customHeight="1">
      <c r="E302" s="836"/>
      <c r="G302" s="836"/>
      <c r="H302" s="836"/>
      <c r="I302" s="836"/>
      <c r="J302" s="836"/>
      <c r="K302" s="836"/>
      <c r="L302" s="836"/>
      <c r="M302" s="1686"/>
      <c r="N302" s="836"/>
      <c r="O302" s="836"/>
      <c r="P302" s="836"/>
      <c r="Q302" s="836"/>
      <c r="R302" s="836"/>
      <c r="S302" s="836"/>
      <c r="T302" s="836"/>
      <c r="U302" s="836"/>
      <c r="V302" s="836"/>
      <c r="W302" s="1686"/>
      <c r="X302" s="836"/>
      <c r="Y302" s="1686"/>
      <c r="Z302" s="1688"/>
      <c r="AA302" s="1686"/>
      <c r="AB302" s="1688"/>
      <c r="AC302" s="1688"/>
      <c r="AD302" s="1688"/>
      <c r="AE302" s="1688"/>
      <c r="AF302" s="1688"/>
      <c r="AG302" s="1688"/>
      <c r="AH302" s="1688"/>
      <c r="AI302" s="1688"/>
      <c r="AJ302" s="1688"/>
      <c r="AK302" s="1688"/>
      <c r="AL302" s="1688"/>
      <c r="AM302" s="1688"/>
      <c r="AN302" s="836"/>
    </row>
    <row r="303" spans="5:40" ht="18" customHeight="1">
      <c r="E303" s="836"/>
      <c r="G303" s="836"/>
      <c r="H303" s="836"/>
      <c r="I303" s="836"/>
      <c r="J303" s="836"/>
      <c r="K303" s="836"/>
      <c r="L303" s="836"/>
      <c r="M303" s="1686"/>
      <c r="N303" s="836"/>
      <c r="O303" s="836"/>
      <c r="P303" s="836"/>
      <c r="Q303" s="836"/>
      <c r="R303" s="836"/>
      <c r="S303" s="836"/>
      <c r="T303" s="836"/>
      <c r="U303" s="836"/>
      <c r="V303" s="836"/>
      <c r="W303" s="1686"/>
      <c r="X303" s="836"/>
      <c r="Y303" s="1686"/>
      <c r="Z303" s="1688"/>
      <c r="AA303" s="1686"/>
      <c r="AB303" s="1688"/>
      <c r="AC303" s="1688"/>
      <c r="AD303" s="1688"/>
      <c r="AE303" s="1688"/>
      <c r="AF303" s="1688"/>
      <c r="AG303" s="1688"/>
      <c r="AH303" s="1688"/>
      <c r="AI303" s="1688"/>
      <c r="AJ303" s="1688"/>
      <c r="AK303" s="1688"/>
      <c r="AL303" s="1688"/>
      <c r="AM303" s="1688"/>
      <c r="AN303" s="836"/>
    </row>
    <row r="304" spans="5:40" ht="18" customHeight="1">
      <c r="E304" s="836"/>
      <c r="G304" s="836"/>
      <c r="H304" s="836"/>
      <c r="I304" s="836"/>
      <c r="J304" s="836"/>
      <c r="K304" s="836"/>
      <c r="L304" s="836"/>
      <c r="M304" s="1686"/>
      <c r="N304" s="836"/>
      <c r="O304" s="836"/>
      <c r="P304" s="836"/>
      <c r="Q304" s="836"/>
      <c r="R304" s="836"/>
      <c r="S304" s="836"/>
      <c r="T304" s="836"/>
      <c r="U304" s="836"/>
      <c r="V304" s="836"/>
      <c r="W304" s="1686"/>
      <c r="X304" s="836"/>
      <c r="Y304" s="1686"/>
      <c r="Z304" s="1688"/>
      <c r="AA304" s="1686"/>
      <c r="AB304" s="1688"/>
      <c r="AC304" s="1688"/>
      <c r="AD304" s="1688"/>
      <c r="AE304" s="1688"/>
      <c r="AF304" s="1688"/>
      <c r="AG304" s="1688"/>
      <c r="AH304" s="1688"/>
      <c r="AI304" s="1688"/>
      <c r="AJ304" s="1688"/>
      <c r="AK304" s="1688"/>
      <c r="AL304" s="1688"/>
      <c r="AM304" s="1688"/>
      <c r="AN304" s="836"/>
    </row>
    <row r="305" spans="5:40" ht="18" customHeight="1">
      <c r="E305" s="836"/>
      <c r="G305" s="836"/>
      <c r="H305" s="836"/>
      <c r="I305" s="836"/>
      <c r="J305" s="836"/>
      <c r="K305" s="836"/>
      <c r="L305" s="836"/>
      <c r="M305" s="1686"/>
      <c r="N305" s="836"/>
      <c r="O305" s="836"/>
      <c r="P305" s="836"/>
      <c r="Q305" s="836"/>
      <c r="R305" s="836"/>
      <c r="S305" s="836"/>
      <c r="T305" s="836"/>
      <c r="U305" s="836"/>
      <c r="V305" s="836"/>
      <c r="W305" s="1686"/>
      <c r="X305" s="836"/>
      <c r="Y305" s="1686"/>
      <c r="Z305" s="1688"/>
      <c r="AA305" s="1686"/>
      <c r="AB305" s="1688"/>
      <c r="AC305" s="1688"/>
      <c r="AD305" s="1688"/>
      <c r="AE305" s="1688"/>
      <c r="AF305" s="1688"/>
      <c r="AG305" s="1688"/>
      <c r="AH305" s="1688"/>
      <c r="AI305" s="1688"/>
      <c r="AJ305" s="1688"/>
      <c r="AK305" s="1688"/>
      <c r="AL305" s="1688"/>
      <c r="AM305" s="1688"/>
      <c r="AN305" s="836"/>
    </row>
    <row r="306" spans="5:40" ht="18" customHeight="1">
      <c r="E306" s="836"/>
      <c r="G306" s="836"/>
      <c r="H306" s="836"/>
      <c r="I306" s="836"/>
      <c r="J306" s="836"/>
      <c r="K306" s="836"/>
      <c r="L306" s="836"/>
      <c r="M306" s="1686"/>
      <c r="N306" s="836"/>
      <c r="O306" s="836"/>
      <c r="P306" s="836"/>
      <c r="Q306" s="836"/>
      <c r="R306" s="836"/>
      <c r="S306" s="836"/>
      <c r="T306" s="836"/>
      <c r="U306" s="836"/>
      <c r="V306" s="836"/>
      <c r="W306" s="1686"/>
      <c r="X306" s="836"/>
      <c r="Y306" s="1686"/>
      <c r="Z306" s="1688"/>
      <c r="AA306" s="1686"/>
      <c r="AB306" s="1688"/>
      <c r="AC306" s="1688"/>
      <c r="AD306" s="1688"/>
      <c r="AE306" s="1688"/>
      <c r="AF306" s="1688"/>
      <c r="AG306" s="1688"/>
      <c r="AH306" s="1688"/>
      <c r="AI306" s="1688"/>
      <c r="AJ306" s="1688"/>
      <c r="AK306" s="1688"/>
      <c r="AL306" s="1688"/>
      <c r="AM306" s="1688"/>
      <c r="AN306" s="836"/>
    </row>
    <row r="307" spans="5:40" ht="18" customHeight="1">
      <c r="E307" s="836"/>
      <c r="G307" s="836"/>
      <c r="H307" s="836"/>
      <c r="I307" s="836"/>
      <c r="J307" s="836"/>
      <c r="K307" s="836"/>
      <c r="L307" s="836"/>
      <c r="M307" s="1686"/>
      <c r="N307" s="836"/>
      <c r="O307" s="836"/>
      <c r="P307" s="836"/>
      <c r="Q307" s="836"/>
      <c r="R307" s="836"/>
      <c r="S307" s="836"/>
      <c r="T307" s="836"/>
      <c r="U307" s="836"/>
      <c r="V307" s="836"/>
      <c r="W307" s="1686"/>
      <c r="X307" s="836"/>
      <c r="Y307" s="1686"/>
      <c r="Z307" s="1688"/>
      <c r="AA307" s="1686"/>
      <c r="AB307" s="1688"/>
      <c r="AC307" s="1688"/>
      <c r="AD307" s="1688"/>
      <c r="AE307" s="1688"/>
      <c r="AF307" s="1688"/>
      <c r="AG307" s="1688"/>
      <c r="AH307" s="1688"/>
      <c r="AI307" s="1688"/>
      <c r="AJ307" s="1688"/>
      <c r="AK307" s="1688"/>
      <c r="AL307" s="1688"/>
      <c r="AM307" s="1688"/>
      <c r="AN307" s="836"/>
    </row>
    <row r="308" spans="5:40" ht="18" customHeight="1">
      <c r="E308" s="836"/>
      <c r="G308" s="836"/>
      <c r="H308" s="836"/>
      <c r="I308" s="836"/>
      <c r="J308" s="836"/>
      <c r="K308" s="836"/>
      <c r="L308" s="836"/>
      <c r="M308" s="1686"/>
      <c r="N308" s="836"/>
      <c r="O308" s="836"/>
      <c r="P308" s="836"/>
      <c r="Q308" s="836"/>
      <c r="R308" s="836"/>
      <c r="S308" s="836"/>
      <c r="T308" s="836"/>
      <c r="U308" s="836"/>
      <c r="V308" s="836"/>
      <c r="W308" s="1686"/>
      <c r="X308" s="836"/>
      <c r="Y308" s="1686"/>
      <c r="Z308" s="1688"/>
      <c r="AA308" s="1686"/>
      <c r="AB308" s="1688"/>
      <c r="AC308" s="1688"/>
      <c r="AD308" s="1688"/>
      <c r="AE308" s="1688"/>
      <c r="AF308" s="1688"/>
      <c r="AG308" s="1688"/>
      <c r="AH308" s="1688"/>
      <c r="AI308" s="1688"/>
      <c r="AJ308" s="1688"/>
      <c r="AK308" s="1688"/>
      <c r="AL308" s="1688"/>
      <c r="AM308" s="1688"/>
      <c r="AN308" s="836"/>
    </row>
    <row r="309" spans="5:40" ht="18" customHeight="1">
      <c r="E309" s="836"/>
      <c r="G309" s="836"/>
      <c r="H309" s="836"/>
      <c r="I309" s="836"/>
      <c r="J309" s="836"/>
      <c r="K309" s="836"/>
      <c r="L309" s="836"/>
      <c r="M309" s="1686"/>
      <c r="N309" s="836"/>
      <c r="O309" s="836"/>
      <c r="P309" s="836"/>
      <c r="Q309" s="836"/>
      <c r="R309" s="836"/>
      <c r="S309" s="836"/>
      <c r="T309" s="836"/>
      <c r="U309" s="836"/>
      <c r="V309" s="836"/>
      <c r="W309" s="1686"/>
      <c r="X309" s="836"/>
      <c r="Y309" s="1686"/>
      <c r="Z309" s="1688"/>
      <c r="AA309" s="1686"/>
      <c r="AB309" s="1688"/>
      <c r="AC309" s="1688"/>
      <c r="AD309" s="1688"/>
      <c r="AE309" s="1688"/>
      <c r="AF309" s="1688"/>
      <c r="AG309" s="1688"/>
      <c r="AH309" s="1688"/>
      <c r="AI309" s="1688"/>
      <c r="AJ309" s="1688"/>
      <c r="AK309" s="1688"/>
      <c r="AL309" s="1688"/>
      <c r="AM309" s="1688"/>
      <c r="AN309" s="836"/>
    </row>
    <row r="310" spans="5:40" ht="18" customHeight="1">
      <c r="E310" s="836"/>
      <c r="G310" s="836"/>
      <c r="H310" s="836"/>
      <c r="I310" s="836"/>
      <c r="J310" s="836"/>
      <c r="K310" s="836"/>
      <c r="L310" s="836"/>
      <c r="M310" s="1686"/>
      <c r="N310" s="836"/>
      <c r="O310" s="836"/>
      <c r="P310" s="836"/>
      <c r="Q310" s="836"/>
      <c r="R310" s="836"/>
      <c r="S310" s="836"/>
      <c r="T310" s="836"/>
      <c r="U310" s="836"/>
      <c r="V310" s="836"/>
      <c r="W310" s="1686"/>
      <c r="X310" s="836"/>
      <c r="Y310" s="1686"/>
      <c r="Z310" s="1688"/>
      <c r="AA310" s="1686"/>
      <c r="AB310" s="1688"/>
      <c r="AC310" s="1688"/>
      <c r="AD310" s="1688"/>
      <c r="AE310" s="1688"/>
      <c r="AF310" s="1688"/>
      <c r="AG310" s="1688"/>
      <c r="AH310" s="1688"/>
      <c r="AI310" s="1688"/>
      <c r="AJ310" s="1688"/>
      <c r="AK310" s="1688"/>
      <c r="AL310" s="1688"/>
      <c r="AM310" s="1688"/>
      <c r="AN310" s="836"/>
    </row>
    <row r="311" spans="5:40" ht="18" customHeight="1">
      <c r="E311" s="836"/>
      <c r="G311" s="836"/>
      <c r="H311" s="836"/>
      <c r="I311" s="836"/>
      <c r="J311" s="836"/>
      <c r="K311" s="836"/>
      <c r="L311" s="836"/>
      <c r="M311" s="1686"/>
      <c r="N311" s="836"/>
      <c r="O311" s="836"/>
      <c r="P311" s="836"/>
      <c r="Q311" s="836"/>
      <c r="R311" s="836"/>
      <c r="S311" s="836"/>
      <c r="T311" s="836"/>
      <c r="U311" s="836"/>
      <c r="V311" s="836"/>
      <c r="W311" s="1686"/>
      <c r="X311" s="836"/>
      <c r="Y311" s="1686"/>
      <c r="Z311" s="1688"/>
      <c r="AA311" s="1686"/>
      <c r="AB311" s="1688"/>
      <c r="AC311" s="1688"/>
      <c r="AD311" s="1688"/>
      <c r="AE311" s="1688"/>
      <c r="AF311" s="1688"/>
      <c r="AG311" s="1688"/>
      <c r="AH311" s="1688"/>
      <c r="AI311" s="1688"/>
      <c r="AJ311" s="1688"/>
      <c r="AK311" s="1688"/>
      <c r="AL311" s="1688"/>
      <c r="AM311" s="1688"/>
      <c r="AN311" s="836"/>
    </row>
  </sheetData>
  <autoFilter ref="D5:AN258" xr:uid="{00000000-0009-0000-0000-000005000000}"/>
  <phoneticPr fontId="22" type="noConversion"/>
  <pageMargins left="0.7" right="0.7" top="0.75" bottom="0.75" header="0.3" footer="0.3"/>
  <pageSetup orientation="portrait" r:id="rId1"/>
  <ignoredErrors>
    <ignoredError sqref="G231:G233 G225:G229 D270:F273 D9:F22 D239:F246 D150:F217 D87:F145 D35:F84 D146:E146 D248:F256 D247:E247 D227:D230 F227:F230 D23:D34 F23:F34 D85:E86 D231:F234 D236:F237 D220:F226" numberStoredAsText="1"/>
    <ignoredError sqref="V52:X60 V13:Y24 L252:L256 L258:L259 L242:L250 L214:L215 L212 L39:L41 L239:L240 I241:L241 I42:L42 I213:L213 I15:L15 I38:L38 I52:L52 I216:L217 I220:L220 I251:L251 L8:L14 I57:L57 I75:L75 I84:L84 I90:L90 I94:L94 I144:L144 I150:L152 I174:L174 I182:L182 I211:L211 I222:L222 I224:L224 I226:L226 I231:L232 I236:L236 L16:L37 L43:L51 L53:L56 L58:L73 L76:L83 L85:L89 L91:L93 L95:L143 L145:L147 L153:L173 L175:L181 L183:L210 L218:L219 L221 L223 L225 L227:L230 K13 L234 I6:I7 K6:L7 M211:X218 M38:X45 V84:X84 U227:X232 V220:X220 V90:X97 N221:X226 Z13:Z22 U255:X263 U241:Z254 AC84:AD84 AA85 AC90:AD96 Z86:AA96 Z84:AA84 V236:Z236 L237 W234:X234 W233 U239:U240 W239:Z240 U237 W237:Z237 K147 I74:K74" formula="1"/>
    <ignoredError sqref="H8 H13 J8" formulaRange="1"/>
    <ignoredError sqref="I8 I13:J13 K8" formula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AF133"/>
  <sheetViews>
    <sheetView showGridLines="0" zoomScale="80" zoomScaleNormal="80" workbookViewId="0">
      <pane xSplit="7" ySplit="5" topLeftCell="U21" activePane="bottomRight" state="frozen"/>
      <selection activeCell="H6" sqref="H6"/>
      <selection pane="topRight" activeCell="H6" sqref="H6"/>
      <selection pane="bottomLeft" activeCell="H6" sqref="H6"/>
      <selection pane="bottomRight" activeCell="T51" sqref="T51"/>
    </sheetView>
  </sheetViews>
  <sheetFormatPr defaultColWidth="8.75" defaultRowHeight="18" customHeight="1" outlineLevelCol="1"/>
  <cols>
    <col min="1" max="1" width="13.875" style="3" bestFit="1" customWidth="1"/>
    <col min="2" max="2" width="6.125" style="3" bestFit="1" customWidth="1"/>
    <col min="3" max="3" width="2.375" style="3" customWidth="1"/>
    <col min="4" max="5" width="15.625" style="3" customWidth="1"/>
    <col min="6" max="6" width="15.625" style="23" customWidth="1"/>
    <col min="7" max="7" width="32.625" style="3" bestFit="1" customWidth="1"/>
    <col min="8" max="11" width="20.375" style="3" customWidth="1" outlineLevel="1"/>
    <col min="12" max="12" width="20.375" style="3" customWidth="1"/>
    <col min="13" max="13" width="2.75" style="3" customWidth="1"/>
    <col min="14" max="21" width="20.375" style="3" customWidth="1" outlineLevel="1"/>
    <col min="22" max="22" width="20.375" style="3" customWidth="1"/>
    <col min="23" max="23" width="2.375" style="3" customWidth="1"/>
    <col min="24" max="24" width="20.375" style="3" customWidth="1"/>
    <col min="25" max="25" width="2.375" style="3" customWidth="1"/>
    <col min="26" max="28" width="17.625" style="373" customWidth="1"/>
    <col min="29" max="30" width="17.625" style="3" customWidth="1"/>
    <col min="31" max="32" width="17.625" style="373" customWidth="1"/>
    <col min="33" max="16384" width="8.75" style="3"/>
  </cols>
  <sheetData>
    <row r="1" spans="1:32" ht="18" customHeight="1">
      <c r="H1" s="5"/>
      <c r="I1" s="5"/>
      <c r="L1" s="373"/>
      <c r="X1" s="5"/>
    </row>
    <row r="2" spans="1:32" ht="18" customHeight="1">
      <c r="H2" s="5"/>
      <c r="I2" s="5"/>
      <c r="K2" s="5"/>
      <c r="L2" s="5"/>
    </row>
    <row r="3" spans="1:32" s="23" customFormat="1" ht="18" customHeight="1">
      <c r="H3" s="475" t="s">
        <v>2371</v>
      </c>
      <c r="I3" s="475" t="s">
        <v>2371</v>
      </c>
      <c r="J3" s="475" t="s">
        <v>2371</v>
      </c>
      <c r="K3" s="475" t="s">
        <v>2372</v>
      </c>
      <c r="L3" s="476"/>
      <c r="V3" s="202"/>
      <c r="X3" s="346" t="s">
        <v>538</v>
      </c>
      <c r="Z3" s="374"/>
      <c r="AA3" s="374"/>
      <c r="AB3" s="374"/>
      <c r="AD3" s="202"/>
      <c r="AE3" s="374"/>
      <c r="AF3" s="374"/>
    </row>
    <row r="4" spans="1:32" s="346" customFormat="1" ht="18" customHeight="1" thickBot="1">
      <c r="H4" s="475" t="s">
        <v>2373</v>
      </c>
      <c r="I4" s="475" t="s">
        <v>2373</v>
      </c>
      <c r="J4" s="475" t="s">
        <v>2373</v>
      </c>
      <c r="K4" s="475" t="s">
        <v>2373</v>
      </c>
      <c r="R4" s="335"/>
      <c r="X4" s="346" t="s">
        <v>2374</v>
      </c>
      <c r="Z4" s="375"/>
      <c r="AA4" s="375"/>
      <c r="AB4" s="375"/>
      <c r="AE4" s="375"/>
      <c r="AF4" s="375"/>
    </row>
    <row r="5" spans="1:32" s="477" customFormat="1" ht="26.1" customHeight="1">
      <c r="D5" s="9" t="s">
        <v>16</v>
      </c>
      <c r="E5" s="10" t="s">
        <v>17</v>
      </c>
      <c r="F5" s="10" t="s">
        <v>18</v>
      </c>
      <c r="G5" s="10" t="s">
        <v>19</v>
      </c>
      <c r="H5" s="371" t="s">
        <v>15</v>
      </c>
      <c r="I5" s="371" t="s">
        <v>2189</v>
      </c>
      <c r="J5" s="371" t="s">
        <v>217</v>
      </c>
      <c r="K5" s="371" t="s">
        <v>215</v>
      </c>
      <c r="L5" s="254" t="s">
        <v>227</v>
      </c>
      <c r="N5" s="213" t="s">
        <v>391</v>
      </c>
      <c r="O5" s="214" t="s">
        <v>402</v>
      </c>
      <c r="P5" s="214" t="s">
        <v>403</v>
      </c>
      <c r="Q5" s="214" t="s">
        <v>409</v>
      </c>
      <c r="R5" s="214" t="s">
        <v>410</v>
      </c>
      <c r="S5" s="214" t="s">
        <v>487</v>
      </c>
      <c r="T5" s="214" t="s">
        <v>490</v>
      </c>
      <c r="U5" s="214" t="s">
        <v>491</v>
      </c>
      <c r="V5" s="215" t="s">
        <v>489</v>
      </c>
      <c r="X5" s="372" t="s">
        <v>2325</v>
      </c>
      <c r="Z5" s="466" t="s">
        <v>2375</v>
      </c>
      <c r="AA5" s="466" t="s">
        <v>2376</v>
      </c>
      <c r="AB5" s="466" t="s">
        <v>2377</v>
      </c>
      <c r="AC5" s="10" t="s">
        <v>2378</v>
      </c>
      <c r="AD5" s="466" t="s">
        <v>2379</v>
      </c>
      <c r="AE5" s="466" t="s">
        <v>2380</v>
      </c>
      <c r="AF5" s="332" t="s">
        <v>2381</v>
      </c>
    </row>
    <row r="6" spans="1:32" ht="18" customHeight="1">
      <c r="A6" s="5"/>
      <c r="D6" s="11"/>
      <c r="E6" s="478"/>
      <c r="F6" s="478"/>
      <c r="G6" s="479" t="s">
        <v>228</v>
      </c>
      <c r="H6" s="262">
        <v>193791781952</v>
      </c>
      <c r="I6" s="262">
        <v>244554560</v>
      </c>
      <c r="J6" s="262">
        <v>199528343</v>
      </c>
      <c r="K6" s="262">
        <v>3897133422</v>
      </c>
      <c r="L6" s="336">
        <v>198132998277</v>
      </c>
      <c r="N6" s="337">
        <v>0</v>
      </c>
      <c r="O6" s="262">
        <v>0</v>
      </c>
      <c r="P6" s="262">
        <v>-159412787</v>
      </c>
      <c r="Q6" s="262">
        <v>0</v>
      </c>
      <c r="R6" s="262">
        <v>0</v>
      </c>
      <c r="S6" s="262">
        <v>0</v>
      </c>
      <c r="T6" s="262">
        <v>0</v>
      </c>
      <c r="U6" s="262">
        <v>0</v>
      </c>
      <c r="V6" s="338">
        <v>-159412787</v>
      </c>
      <c r="X6" s="339">
        <v>197973585490</v>
      </c>
      <c r="Z6" s="465">
        <v>177966232980</v>
      </c>
      <c r="AA6" s="465">
        <v>117973208961</v>
      </c>
      <c r="AB6" s="339">
        <v>57684351029</v>
      </c>
      <c r="AC6" s="262">
        <v>226329072223</v>
      </c>
      <c r="AD6" s="339">
        <v>162636464186</v>
      </c>
      <c r="AE6" s="339">
        <v>107602421722</v>
      </c>
      <c r="AF6" s="469">
        <v>50575766432</v>
      </c>
    </row>
    <row r="7" spans="1:32" ht="18" customHeight="1">
      <c r="A7" s="5"/>
      <c r="D7" s="13">
        <v>410100</v>
      </c>
      <c r="E7" s="3" t="s">
        <v>228</v>
      </c>
      <c r="F7" s="23">
        <v>101</v>
      </c>
      <c r="G7" s="3" t="s">
        <v>612</v>
      </c>
      <c r="H7" s="5">
        <v>22374873179</v>
      </c>
      <c r="I7" s="5">
        <v>0</v>
      </c>
      <c r="J7" s="5">
        <v>141340224</v>
      </c>
      <c r="K7" s="5">
        <v>0</v>
      </c>
      <c r="L7" s="14">
        <v>22516213403</v>
      </c>
      <c r="N7" s="216">
        <v>0</v>
      </c>
      <c r="O7" s="5">
        <v>0</v>
      </c>
      <c r="P7" s="5">
        <v>0</v>
      </c>
      <c r="Q7" s="5">
        <v>0</v>
      </c>
      <c r="R7" s="5">
        <v>0</v>
      </c>
      <c r="S7" s="5">
        <v>-3667676</v>
      </c>
      <c r="T7" s="5">
        <v>0</v>
      </c>
      <c r="U7" s="5">
        <v>0</v>
      </c>
      <c r="V7" s="218">
        <v>-3667676</v>
      </c>
      <c r="X7" s="29">
        <v>22512545727</v>
      </c>
      <c r="Z7" s="223">
        <v>20617921776</v>
      </c>
      <c r="AA7" s="223">
        <v>14235080078</v>
      </c>
      <c r="AB7" s="29">
        <v>7931187087</v>
      </c>
      <c r="AC7" s="5">
        <v>25747818985</v>
      </c>
      <c r="AD7" s="29">
        <v>16403967656</v>
      </c>
      <c r="AE7" s="376">
        <v>9722799104</v>
      </c>
      <c r="AF7" s="467">
        <v>3982145814</v>
      </c>
    </row>
    <row r="8" spans="1:32" ht="18" customHeight="1">
      <c r="A8" s="5"/>
      <c r="D8" s="13">
        <v>410120</v>
      </c>
      <c r="E8" s="3" t="s">
        <v>228</v>
      </c>
      <c r="F8" s="23">
        <v>101</v>
      </c>
      <c r="G8" s="3" t="s">
        <v>613</v>
      </c>
      <c r="H8" s="5">
        <v>-18149805</v>
      </c>
      <c r="I8" s="5">
        <v>0</v>
      </c>
      <c r="J8" s="5">
        <v>0</v>
      </c>
      <c r="K8" s="5">
        <v>0</v>
      </c>
      <c r="L8" s="14">
        <v>-18149805</v>
      </c>
      <c r="N8" s="216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218">
        <v>0</v>
      </c>
      <c r="X8" s="29">
        <v>-18149805</v>
      </c>
      <c r="Z8" s="223">
        <v>-18149805</v>
      </c>
      <c r="AA8" s="223">
        <v>-15801350</v>
      </c>
      <c r="AB8" s="29">
        <v>-7018725</v>
      </c>
      <c r="AC8" s="5">
        <v>-21621398</v>
      </c>
      <c r="AD8" s="29">
        <v>-17956314</v>
      </c>
      <c r="AE8" s="376">
        <v>-12493122</v>
      </c>
      <c r="AF8" s="467">
        <v>-4236960</v>
      </c>
    </row>
    <row r="9" spans="1:32" ht="18" customHeight="1">
      <c r="A9" s="5"/>
      <c r="D9" s="13">
        <v>410130</v>
      </c>
      <c r="E9" s="3" t="s">
        <v>228</v>
      </c>
      <c r="F9" s="23">
        <v>105</v>
      </c>
      <c r="G9" s="3" t="s">
        <v>614</v>
      </c>
      <c r="H9" s="5">
        <v>383402098</v>
      </c>
      <c r="I9" s="5">
        <v>0</v>
      </c>
      <c r="J9" s="5">
        <v>5399094</v>
      </c>
      <c r="K9" s="5">
        <v>3788174053</v>
      </c>
      <c r="L9" s="14">
        <v>4176975245</v>
      </c>
      <c r="N9" s="216">
        <v>0</v>
      </c>
      <c r="O9" s="5">
        <v>0</v>
      </c>
      <c r="P9" s="5">
        <v>-32207910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218">
        <v>-32207910</v>
      </c>
      <c r="X9" s="29">
        <v>4144767335</v>
      </c>
      <c r="Z9" s="223">
        <v>3684987281</v>
      </c>
      <c r="AA9" s="223">
        <v>2551516872</v>
      </c>
      <c r="AB9" s="29">
        <v>795584555</v>
      </c>
      <c r="AC9" s="5">
        <v>5965069792</v>
      </c>
      <c r="AD9" s="29">
        <v>5150077146</v>
      </c>
      <c r="AE9" s="376">
        <v>3972489239</v>
      </c>
      <c r="AF9" s="467">
        <v>1395531155</v>
      </c>
    </row>
    <row r="10" spans="1:32" ht="18" customHeight="1">
      <c r="A10" s="5"/>
      <c r="D10" s="13">
        <v>410140</v>
      </c>
      <c r="E10" s="3" t="s">
        <v>228</v>
      </c>
      <c r="F10" s="23">
        <v>105</v>
      </c>
      <c r="G10" s="3" t="s">
        <v>615</v>
      </c>
      <c r="H10" s="5">
        <v>0</v>
      </c>
      <c r="I10" s="5">
        <v>0</v>
      </c>
      <c r="J10" s="5">
        <v>0</v>
      </c>
      <c r="K10" s="5">
        <v>0</v>
      </c>
      <c r="L10" s="14">
        <v>0</v>
      </c>
      <c r="N10" s="216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218">
        <v>0</v>
      </c>
      <c r="X10" s="29">
        <v>0</v>
      </c>
      <c r="Z10" s="223">
        <v>0</v>
      </c>
      <c r="AA10" s="223">
        <v>0</v>
      </c>
      <c r="AB10" s="29">
        <v>0</v>
      </c>
      <c r="AC10" s="5">
        <v>-18771583</v>
      </c>
      <c r="AD10" s="29">
        <v>-18771583</v>
      </c>
      <c r="AE10" s="376">
        <v>-18771583</v>
      </c>
      <c r="AF10" s="467">
        <v>0</v>
      </c>
    </row>
    <row r="11" spans="1:32" ht="18" customHeight="1">
      <c r="A11" s="5"/>
      <c r="C11" s="480" t="s">
        <v>1876</v>
      </c>
      <c r="D11" s="13">
        <v>410250</v>
      </c>
      <c r="E11" s="3" t="s">
        <v>228</v>
      </c>
      <c r="F11" s="23">
        <v>105</v>
      </c>
      <c r="G11" s="3" t="s">
        <v>2382</v>
      </c>
      <c r="H11" s="5">
        <v>-1856758</v>
      </c>
      <c r="I11" s="5">
        <v>0</v>
      </c>
      <c r="J11" s="5">
        <v>0</v>
      </c>
      <c r="K11" s="5">
        <v>0</v>
      </c>
      <c r="L11" s="14">
        <v>-1856758</v>
      </c>
      <c r="N11" s="216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218">
        <v>0</v>
      </c>
      <c r="X11" s="29">
        <v>-1856758</v>
      </c>
      <c r="Z11" s="223">
        <v>-1856758</v>
      </c>
      <c r="AA11" s="223">
        <v>-1472626</v>
      </c>
      <c r="AB11" s="29">
        <v>-537489</v>
      </c>
      <c r="AC11" s="5">
        <v>-5636045</v>
      </c>
      <c r="AD11" s="29">
        <v>-4076194</v>
      </c>
      <c r="AE11" s="376">
        <v>-1392647</v>
      </c>
      <c r="AF11" s="467">
        <v>0</v>
      </c>
    </row>
    <row r="12" spans="1:32" ht="18" customHeight="1">
      <c r="A12" s="5"/>
      <c r="D12" s="13" t="s">
        <v>1763</v>
      </c>
      <c r="E12" s="3" t="s">
        <v>228</v>
      </c>
      <c r="F12" s="23">
        <v>105</v>
      </c>
      <c r="G12" s="3" t="s">
        <v>1764</v>
      </c>
      <c r="H12" s="5">
        <v>0</v>
      </c>
      <c r="I12" s="5">
        <v>0</v>
      </c>
      <c r="J12" s="5">
        <v>0</v>
      </c>
      <c r="K12" s="5">
        <v>0</v>
      </c>
      <c r="L12" s="14">
        <v>0</v>
      </c>
      <c r="N12" s="216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218">
        <v>0</v>
      </c>
      <c r="X12" s="29">
        <v>0</v>
      </c>
      <c r="Z12" s="223">
        <v>0</v>
      </c>
      <c r="AA12" s="223">
        <v>0</v>
      </c>
      <c r="AB12" s="29">
        <v>0</v>
      </c>
      <c r="AC12" s="5">
        <v>0</v>
      </c>
      <c r="AD12" s="29">
        <v>0</v>
      </c>
      <c r="AE12" s="376">
        <v>0</v>
      </c>
      <c r="AF12" s="467">
        <v>0</v>
      </c>
    </row>
    <row r="13" spans="1:32" ht="18" customHeight="1">
      <c r="A13" s="5"/>
      <c r="D13" s="13">
        <v>410200</v>
      </c>
      <c r="E13" s="3" t="s">
        <v>228</v>
      </c>
      <c r="F13" s="23">
        <v>102</v>
      </c>
      <c r="G13" s="3" t="s">
        <v>616</v>
      </c>
      <c r="H13" s="5">
        <v>1823400464</v>
      </c>
      <c r="I13" s="5">
        <v>0</v>
      </c>
      <c r="J13" s="5">
        <v>0</v>
      </c>
      <c r="K13" s="5">
        <v>0</v>
      </c>
      <c r="L13" s="14">
        <v>1823400464</v>
      </c>
      <c r="N13" s="216">
        <v>0</v>
      </c>
      <c r="O13" s="5">
        <v>0</v>
      </c>
      <c r="P13" s="5">
        <v>0</v>
      </c>
      <c r="Q13" s="5">
        <v>0</v>
      </c>
      <c r="R13" s="5">
        <v>0</v>
      </c>
      <c r="S13" s="5">
        <v>3667676</v>
      </c>
      <c r="T13" s="5">
        <v>0</v>
      </c>
      <c r="U13" s="5">
        <v>0</v>
      </c>
      <c r="V13" s="218">
        <v>3667676</v>
      </c>
      <c r="X13" s="29">
        <v>1827068140</v>
      </c>
      <c r="Z13" s="223">
        <v>1414497910</v>
      </c>
      <c r="AA13" s="223">
        <v>720337769</v>
      </c>
      <c r="AB13" s="29">
        <v>298817967</v>
      </c>
      <c r="AC13" s="5">
        <v>5300479614</v>
      </c>
      <c r="AD13" s="29">
        <v>4912041742</v>
      </c>
      <c r="AE13" s="376">
        <v>3683010180</v>
      </c>
      <c r="AF13" s="467">
        <v>2375227116</v>
      </c>
    </row>
    <row r="14" spans="1:32" ht="18" customHeight="1">
      <c r="A14" s="5"/>
      <c r="D14" s="13">
        <v>410220</v>
      </c>
      <c r="E14" s="3" t="s">
        <v>228</v>
      </c>
      <c r="F14" s="23">
        <v>102</v>
      </c>
      <c r="G14" s="3" t="s">
        <v>617</v>
      </c>
      <c r="H14" s="5">
        <v>-635000</v>
      </c>
      <c r="I14" s="5">
        <v>0</v>
      </c>
      <c r="J14" s="5">
        <v>0</v>
      </c>
      <c r="K14" s="5">
        <v>0</v>
      </c>
      <c r="L14" s="14">
        <v>-635000</v>
      </c>
      <c r="N14" s="216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218">
        <v>0</v>
      </c>
      <c r="X14" s="29">
        <v>-635000</v>
      </c>
      <c r="Z14" s="223">
        <v>-635000</v>
      </c>
      <c r="AA14" s="223">
        <v>0</v>
      </c>
      <c r="AB14" s="29">
        <v>0</v>
      </c>
      <c r="AC14" s="5">
        <v>-2402000</v>
      </c>
      <c r="AD14" s="29">
        <v>-2402000</v>
      </c>
      <c r="AE14" s="376">
        <v>-2402000</v>
      </c>
      <c r="AF14" s="467">
        <v>-2402000</v>
      </c>
    </row>
    <row r="15" spans="1:32" ht="18" customHeight="1">
      <c r="A15" s="5"/>
      <c r="D15" s="13" t="s">
        <v>1542</v>
      </c>
      <c r="E15" s="3" t="s">
        <v>228</v>
      </c>
      <c r="F15" s="23">
        <v>102</v>
      </c>
      <c r="G15" s="3" t="s">
        <v>1543</v>
      </c>
      <c r="H15" s="5">
        <v>37035055</v>
      </c>
      <c r="I15" s="5">
        <v>0</v>
      </c>
      <c r="J15" s="5">
        <v>0</v>
      </c>
      <c r="K15" s="5">
        <v>0</v>
      </c>
      <c r="L15" s="14">
        <v>37035055</v>
      </c>
      <c r="N15" s="216">
        <v>0</v>
      </c>
      <c r="O15" s="5">
        <v>0</v>
      </c>
      <c r="P15" s="5">
        <v>0</v>
      </c>
      <c r="Q15" s="5"/>
      <c r="R15" s="5">
        <v>0</v>
      </c>
      <c r="S15" s="5"/>
      <c r="T15" s="5">
        <v>0</v>
      </c>
      <c r="U15" s="5"/>
      <c r="V15" s="218">
        <v>0</v>
      </c>
      <c r="X15" s="29">
        <v>37035055</v>
      </c>
      <c r="Z15" s="223">
        <v>37035055</v>
      </c>
      <c r="AA15" s="223">
        <v>37035055</v>
      </c>
      <c r="AB15" s="29">
        <v>0</v>
      </c>
      <c r="AC15" s="5">
        <v>-119669243</v>
      </c>
      <c r="AD15" s="29">
        <v>-154254245</v>
      </c>
      <c r="AE15" s="376">
        <v>-154254245</v>
      </c>
      <c r="AF15" s="467">
        <v>0</v>
      </c>
    </row>
    <row r="16" spans="1:32" ht="18" customHeight="1">
      <c r="A16" s="5"/>
      <c r="D16" s="13">
        <v>410230</v>
      </c>
      <c r="E16" s="3" t="s">
        <v>228</v>
      </c>
      <c r="F16" s="23">
        <v>106</v>
      </c>
      <c r="G16" s="3" t="s">
        <v>618</v>
      </c>
      <c r="H16" s="5">
        <v>-243176228</v>
      </c>
      <c r="I16" s="5">
        <v>0</v>
      </c>
      <c r="J16" s="5">
        <v>0</v>
      </c>
      <c r="K16" s="5">
        <v>0</v>
      </c>
      <c r="L16" s="14">
        <v>-243176228</v>
      </c>
      <c r="N16" s="216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218">
        <v>0</v>
      </c>
      <c r="X16" s="29">
        <v>-243176228</v>
      </c>
      <c r="Z16" s="223">
        <v>-176501105</v>
      </c>
      <c r="AA16" s="223">
        <v>-108547669</v>
      </c>
      <c r="AB16" s="29">
        <v>-64980052</v>
      </c>
      <c r="AC16" s="5">
        <v>-252852656</v>
      </c>
      <c r="AD16" s="29">
        <v>-209274128</v>
      </c>
      <c r="AE16" s="376">
        <v>-137813060</v>
      </c>
      <c r="AF16" s="467">
        <v>-81191072</v>
      </c>
    </row>
    <row r="17" spans="1:32" ht="18" customHeight="1">
      <c r="A17" s="5"/>
      <c r="D17" s="13">
        <v>410240</v>
      </c>
      <c r="E17" s="3" t="s">
        <v>228</v>
      </c>
      <c r="F17" s="23">
        <v>106</v>
      </c>
      <c r="G17" s="3" t="s">
        <v>619</v>
      </c>
      <c r="H17" s="5">
        <v>13104221858</v>
      </c>
      <c r="I17" s="5">
        <v>0</v>
      </c>
      <c r="J17" s="5">
        <v>0</v>
      </c>
      <c r="K17" s="5">
        <v>0</v>
      </c>
      <c r="L17" s="14">
        <v>13104221858</v>
      </c>
      <c r="N17" s="216">
        <v>0</v>
      </c>
      <c r="O17" s="5">
        <v>0</v>
      </c>
      <c r="P17" s="5">
        <v>-89229471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218">
        <v>-89229471</v>
      </c>
      <c r="X17" s="29">
        <v>13014992387</v>
      </c>
      <c r="Z17" s="223">
        <v>10970627237</v>
      </c>
      <c r="AA17" s="223">
        <v>7333980545</v>
      </c>
      <c r="AB17" s="29">
        <v>3586452331</v>
      </c>
      <c r="AC17" s="5">
        <v>15953956142</v>
      </c>
      <c r="AD17" s="29">
        <v>12131447985</v>
      </c>
      <c r="AE17" s="376">
        <v>8643354358</v>
      </c>
      <c r="AF17" s="467">
        <v>3928003417</v>
      </c>
    </row>
    <row r="18" spans="1:32" ht="18" customHeight="1">
      <c r="A18" s="5"/>
      <c r="D18" s="13">
        <v>410241</v>
      </c>
      <c r="E18" s="3" t="s">
        <v>228</v>
      </c>
      <c r="F18" s="23">
        <v>106</v>
      </c>
      <c r="G18" s="3" t="s">
        <v>620</v>
      </c>
      <c r="H18" s="5">
        <v>-2038700</v>
      </c>
      <c r="I18" s="5">
        <v>0</v>
      </c>
      <c r="J18" s="5">
        <v>0</v>
      </c>
      <c r="K18" s="5">
        <v>0</v>
      </c>
      <c r="L18" s="14">
        <v>-2038700</v>
      </c>
      <c r="N18" s="216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218">
        <v>0</v>
      </c>
      <c r="X18" s="29">
        <v>-2038700</v>
      </c>
      <c r="Z18" s="223">
        <v>-2038700</v>
      </c>
      <c r="AA18" s="223">
        <v>-2038700</v>
      </c>
      <c r="AB18" s="29">
        <v>-1620600</v>
      </c>
      <c r="AC18" s="5">
        <v>-418907882</v>
      </c>
      <c r="AD18" s="29">
        <v>-245082967</v>
      </c>
      <c r="AE18" s="376">
        <v>-244543642</v>
      </c>
      <c r="AF18" s="467">
        <v>-177438173</v>
      </c>
    </row>
    <row r="19" spans="1:32" ht="18" customHeight="1">
      <c r="A19" s="5"/>
      <c r="D19" s="13">
        <v>410610</v>
      </c>
      <c r="E19" s="3" t="s">
        <v>228</v>
      </c>
      <c r="F19" s="23">
        <v>103</v>
      </c>
      <c r="G19" s="3" t="s">
        <v>231</v>
      </c>
      <c r="H19" s="5">
        <v>34352180107</v>
      </c>
      <c r="I19" s="5">
        <v>0</v>
      </c>
      <c r="J19" s="5">
        <v>0</v>
      </c>
      <c r="K19" s="5">
        <v>0</v>
      </c>
      <c r="L19" s="14">
        <v>34352180107</v>
      </c>
      <c r="N19" s="216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218">
        <v>0</v>
      </c>
      <c r="X19" s="29">
        <v>34352180107</v>
      </c>
      <c r="Z19" s="223">
        <v>31225713686</v>
      </c>
      <c r="AA19" s="223">
        <v>20634981857</v>
      </c>
      <c r="AB19" s="29">
        <v>11594263363</v>
      </c>
      <c r="AC19" s="5">
        <v>55164035937</v>
      </c>
      <c r="AD19" s="29">
        <v>41328985405</v>
      </c>
      <c r="AE19" s="376">
        <v>28605751325</v>
      </c>
      <c r="AF19" s="467">
        <v>13482951360</v>
      </c>
    </row>
    <row r="20" spans="1:32" ht="18" customHeight="1">
      <c r="A20" s="5"/>
      <c r="D20" s="13">
        <v>410620</v>
      </c>
      <c r="E20" s="3" t="s">
        <v>228</v>
      </c>
      <c r="F20" s="23">
        <v>103</v>
      </c>
      <c r="G20" s="3" t="s">
        <v>232</v>
      </c>
      <c r="H20" s="5">
        <v>10768569690</v>
      </c>
      <c r="I20" s="5">
        <v>0</v>
      </c>
      <c r="J20" s="5">
        <v>0</v>
      </c>
      <c r="K20" s="5">
        <v>0</v>
      </c>
      <c r="L20" s="14">
        <v>10768569690</v>
      </c>
      <c r="N20" s="216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218">
        <v>0</v>
      </c>
      <c r="X20" s="29">
        <v>10768569690</v>
      </c>
      <c r="Z20" s="223">
        <v>9901822787</v>
      </c>
      <c r="AA20" s="223">
        <v>7071351089</v>
      </c>
      <c r="AB20" s="29">
        <v>2588755754</v>
      </c>
      <c r="AC20" s="5">
        <v>10567744810</v>
      </c>
      <c r="AD20" s="29">
        <v>6647132786</v>
      </c>
      <c r="AE20" s="376">
        <v>5025935915</v>
      </c>
      <c r="AF20" s="467">
        <v>2234898577</v>
      </c>
    </row>
    <row r="21" spans="1:32" ht="18" customHeight="1">
      <c r="A21" s="5"/>
      <c r="D21" s="13">
        <v>410630</v>
      </c>
      <c r="E21" s="3" t="s">
        <v>228</v>
      </c>
      <c r="F21" s="23">
        <v>103</v>
      </c>
      <c r="G21" s="3" t="s">
        <v>233</v>
      </c>
      <c r="H21" s="5">
        <v>101466218976</v>
      </c>
      <c r="I21" s="5">
        <v>0</v>
      </c>
      <c r="J21" s="5">
        <v>0</v>
      </c>
      <c r="K21" s="5">
        <v>0</v>
      </c>
      <c r="L21" s="14">
        <v>101466218976</v>
      </c>
      <c r="N21" s="216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218">
        <v>0</v>
      </c>
      <c r="X21" s="29">
        <v>101466218976</v>
      </c>
      <c r="Z21" s="223">
        <v>90609459282</v>
      </c>
      <c r="AA21" s="223">
        <v>59122191074</v>
      </c>
      <c r="AB21" s="29">
        <v>29036482559</v>
      </c>
      <c r="AC21" s="5">
        <v>103264033490</v>
      </c>
      <c r="AD21" s="29">
        <v>73506280757</v>
      </c>
      <c r="AE21" s="376">
        <v>46836965075</v>
      </c>
      <c r="AF21" s="467">
        <v>22232739982</v>
      </c>
    </row>
    <row r="22" spans="1:32" ht="18" customHeight="1">
      <c r="A22" s="5"/>
      <c r="D22" s="13">
        <v>410640</v>
      </c>
      <c r="E22" s="3" t="s">
        <v>228</v>
      </c>
      <c r="F22" s="23">
        <v>103</v>
      </c>
      <c r="G22" s="3" t="s">
        <v>234</v>
      </c>
      <c r="H22" s="5">
        <v>0</v>
      </c>
      <c r="I22" s="5">
        <v>0</v>
      </c>
      <c r="J22" s="5">
        <v>0</v>
      </c>
      <c r="K22" s="5">
        <v>0</v>
      </c>
      <c r="L22" s="14">
        <v>0</v>
      </c>
      <c r="N22" s="216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218">
        <v>0</v>
      </c>
      <c r="X22" s="29">
        <v>0</v>
      </c>
      <c r="Z22" s="223">
        <v>0</v>
      </c>
      <c r="AA22" s="223">
        <v>0</v>
      </c>
      <c r="AB22" s="29">
        <v>0</v>
      </c>
      <c r="AC22" s="5">
        <v>-2474371</v>
      </c>
      <c r="AD22" s="29">
        <v>-2474371</v>
      </c>
      <c r="AE22" s="376">
        <v>-2474371</v>
      </c>
      <c r="AF22" s="467">
        <v>-2474371</v>
      </c>
    </row>
    <row r="23" spans="1:32" ht="18" customHeight="1">
      <c r="A23" s="5"/>
      <c r="D23" s="13">
        <v>410650</v>
      </c>
      <c r="E23" s="3" t="s">
        <v>228</v>
      </c>
      <c r="F23" s="23">
        <v>103</v>
      </c>
      <c r="G23" s="3" t="s">
        <v>235</v>
      </c>
      <c r="H23" s="5">
        <v>6254373527</v>
      </c>
      <c r="I23" s="5">
        <v>0</v>
      </c>
      <c r="J23" s="5">
        <v>0</v>
      </c>
      <c r="K23" s="5">
        <v>0</v>
      </c>
      <c r="L23" s="14">
        <v>6254373527</v>
      </c>
      <c r="N23" s="216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218">
        <v>0</v>
      </c>
      <c r="X23" s="29">
        <v>6254373527</v>
      </c>
      <c r="Z23" s="223">
        <v>6210981685</v>
      </c>
      <c r="AA23" s="223">
        <v>4335009989</v>
      </c>
      <c r="AB23" s="29">
        <v>751781313</v>
      </c>
      <c r="AC23" s="5">
        <v>4186277157</v>
      </c>
      <c r="AD23" s="29">
        <v>2859598012</v>
      </c>
      <c r="AE23" s="376">
        <v>1393558735</v>
      </c>
      <c r="AF23" s="467">
        <v>1045227331</v>
      </c>
    </row>
    <row r="24" spans="1:32" ht="18" customHeight="1">
      <c r="A24" s="5"/>
      <c r="D24" s="13">
        <v>410660</v>
      </c>
      <c r="E24" s="3" t="s">
        <v>228</v>
      </c>
      <c r="F24" s="23">
        <v>103</v>
      </c>
      <c r="G24" s="3" t="s">
        <v>236</v>
      </c>
      <c r="H24" s="5">
        <v>0</v>
      </c>
      <c r="I24" s="5">
        <v>0</v>
      </c>
      <c r="J24" s="5">
        <v>0</v>
      </c>
      <c r="K24" s="5">
        <v>0</v>
      </c>
      <c r="L24" s="14">
        <v>0</v>
      </c>
      <c r="N24" s="216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218">
        <v>0</v>
      </c>
      <c r="X24" s="29">
        <v>0</v>
      </c>
      <c r="Z24" s="223">
        <v>0</v>
      </c>
      <c r="AA24" s="223">
        <v>0</v>
      </c>
      <c r="AB24" s="29">
        <v>0</v>
      </c>
      <c r="AC24" s="5">
        <v>0</v>
      </c>
      <c r="AD24" s="29">
        <v>0</v>
      </c>
      <c r="AE24" s="376">
        <v>0</v>
      </c>
      <c r="AF24" s="467">
        <v>0</v>
      </c>
    </row>
    <row r="25" spans="1:32" ht="18" customHeight="1">
      <c r="A25" s="5"/>
      <c r="D25" s="13">
        <v>410899</v>
      </c>
      <c r="E25" s="3" t="s">
        <v>228</v>
      </c>
      <c r="F25" s="23">
        <v>103</v>
      </c>
      <c r="G25" s="3" t="s">
        <v>237</v>
      </c>
      <c r="H25" s="5">
        <v>3493363489</v>
      </c>
      <c r="I25" s="5">
        <v>244554560</v>
      </c>
      <c r="J25" s="5">
        <v>52789025</v>
      </c>
      <c r="K25" s="5">
        <v>108959369</v>
      </c>
      <c r="L25" s="14">
        <v>3899666443</v>
      </c>
      <c r="N25" s="216">
        <v>0</v>
      </c>
      <c r="O25" s="5">
        <v>0</v>
      </c>
      <c r="P25" s="5">
        <v>-37975406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218">
        <v>-37975406</v>
      </c>
      <c r="X25" s="29">
        <v>3861691037</v>
      </c>
      <c r="Z25" s="223">
        <v>3492367649</v>
      </c>
      <c r="AA25" s="223">
        <v>2059584978</v>
      </c>
      <c r="AB25" s="29">
        <v>1175182966</v>
      </c>
      <c r="AC25" s="5">
        <v>1021991474</v>
      </c>
      <c r="AD25" s="29">
        <v>351224499</v>
      </c>
      <c r="AE25" s="376">
        <v>292702461</v>
      </c>
      <c r="AF25" s="467">
        <v>166784256</v>
      </c>
    </row>
    <row r="26" spans="1:32" ht="18" customHeight="1">
      <c r="A26" s="5"/>
      <c r="D26" s="11"/>
      <c r="E26" s="481"/>
      <c r="F26" s="478"/>
      <c r="G26" s="481" t="s">
        <v>238</v>
      </c>
      <c r="H26" s="260">
        <v>148672233514</v>
      </c>
      <c r="I26" s="260">
        <v>0</v>
      </c>
      <c r="J26" s="260">
        <v>136491839</v>
      </c>
      <c r="K26" s="260">
        <v>2859252695</v>
      </c>
      <c r="L26" s="256">
        <v>151667978048</v>
      </c>
      <c r="N26" s="340">
        <v>0</v>
      </c>
      <c r="O26" s="260">
        <v>0</v>
      </c>
      <c r="P26" s="260">
        <v>-120147576</v>
      </c>
      <c r="Q26" s="260">
        <v>16226007</v>
      </c>
      <c r="R26" s="260">
        <v>0</v>
      </c>
      <c r="S26" s="260">
        <v>0</v>
      </c>
      <c r="T26" s="260">
        <v>0</v>
      </c>
      <c r="U26" s="260">
        <v>0</v>
      </c>
      <c r="V26" s="341">
        <v>-103921569</v>
      </c>
      <c r="X26" s="26">
        <v>151564056479</v>
      </c>
      <c r="Z26" s="255">
        <v>136737922106</v>
      </c>
      <c r="AA26" s="255">
        <v>91374419912</v>
      </c>
      <c r="AB26" s="26">
        <v>44994036091</v>
      </c>
      <c r="AC26" s="260">
        <v>181205387327</v>
      </c>
      <c r="AD26" s="26">
        <v>130389155182</v>
      </c>
      <c r="AE26" s="26">
        <v>85703512987</v>
      </c>
      <c r="AF26" s="256">
        <v>39300752333</v>
      </c>
    </row>
    <row r="27" spans="1:32" ht="18" customHeight="1">
      <c r="A27" s="5"/>
      <c r="D27" s="13" t="s">
        <v>239</v>
      </c>
      <c r="E27" s="3" t="s">
        <v>238</v>
      </c>
      <c r="F27" s="23">
        <v>201</v>
      </c>
      <c r="G27" s="3" t="s">
        <v>240</v>
      </c>
      <c r="H27" s="5">
        <v>19207555335</v>
      </c>
      <c r="I27" s="5">
        <v>0</v>
      </c>
      <c r="J27" s="5">
        <v>136491839</v>
      </c>
      <c r="K27" s="5">
        <v>2859252695</v>
      </c>
      <c r="L27" s="14">
        <v>22203299869</v>
      </c>
      <c r="N27" s="216">
        <v>0</v>
      </c>
      <c r="O27" s="5">
        <v>0</v>
      </c>
      <c r="P27" s="5">
        <v>-31000826</v>
      </c>
      <c r="Q27" s="5">
        <v>16992466</v>
      </c>
      <c r="R27" s="5">
        <v>0</v>
      </c>
      <c r="S27" s="5">
        <v>-1819236</v>
      </c>
      <c r="T27" s="5">
        <v>0</v>
      </c>
      <c r="U27" s="5">
        <v>0</v>
      </c>
      <c r="V27" s="218">
        <v>-15827596</v>
      </c>
      <c r="X27" s="29">
        <v>22187472273</v>
      </c>
      <c r="Z27" s="223">
        <v>19530607660</v>
      </c>
      <c r="AA27" s="223">
        <v>13448770713</v>
      </c>
      <c r="AB27" s="29">
        <v>6858201701</v>
      </c>
      <c r="AC27" s="5">
        <v>26833967325</v>
      </c>
      <c r="AD27" s="29">
        <v>17557500163</v>
      </c>
      <c r="AE27" s="376">
        <v>11196910989</v>
      </c>
      <c r="AF27" s="467">
        <v>4254257020</v>
      </c>
    </row>
    <row r="28" spans="1:32" ht="18" customHeight="1">
      <c r="A28" s="5"/>
      <c r="D28" s="13" t="s">
        <v>241</v>
      </c>
      <c r="E28" s="3" t="s">
        <v>238</v>
      </c>
      <c r="F28" s="23">
        <v>202</v>
      </c>
      <c r="G28" s="3" t="s">
        <v>242</v>
      </c>
      <c r="H28" s="5">
        <v>8673259913</v>
      </c>
      <c r="I28" s="5">
        <v>0</v>
      </c>
      <c r="J28" s="5">
        <v>0</v>
      </c>
      <c r="K28" s="5">
        <v>0</v>
      </c>
      <c r="L28" s="14">
        <v>8673259913</v>
      </c>
      <c r="N28" s="216">
        <v>0</v>
      </c>
      <c r="O28" s="5">
        <v>0</v>
      </c>
      <c r="P28" s="5">
        <v>-89146750</v>
      </c>
      <c r="Q28" s="5">
        <v>-766459</v>
      </c>
      <c r="R28" s="5">
        <v>0</v>
      </c>
      <c r="S28" s="5">
        <v>1819236</v>
      </c>
      <c r="T28" s="5">
        <v>0</v>
      </c>
      <c r="U28" s="5">
        <v>0</v>
      </c>
      <c r="V28" s="218">
        <v>-88093973</v>
      </c>
      <c r="X28" s="29">
        <v>8585165940</v>
      </c>
      <c r="Z28" s="223">
        <v>7706454931</v>
      </c>
      <c r="AA28" s="223">
        <v>5030917195</v>
      </c>
      <c r="AB28" s="29">
        <v>2129978210</v>
      </c>
      <c r="AC28" s="5">
        <v>13476781012</v>
      </c>
      <c r="AD28" s="29">
        <v>9675428377</v>
      </c>
      <c r="AE28" s="376">
        <v>6895368186</v>
      </c>
      <c r="AF28" s="467">
        <v>3389832111</v>
      </c>
    </row>
    <row r="29" spans="1:32" ht="18" customHeight="1">
      <c r="A29" s="5"/>
      <c r="D29" s="13">
        <v>420510</v>
      </c>
      <c r="E29" s="3" t="s">
        <v>238</v>
      </c>
      <c r="F29" s="23">
        <v>204</v>
      </c>
      <c r="G29" s="3" t="s">
        <v>244</v>
      </c>
      <c r="H29" s="5">
        <v>36236345863</v>
      </c>
      <c r="I29" s="5">
        <v>0</v>
      </c>
      <c r="J29" s="5">
        <v>0</v>
      </c>
      <c r="K29" s="5">
        <v>0</v>
      </c>
      <c r="L29" s="14">
        <v>36236345863</v>
      </c>
      <c r="N29" s="216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218">
        <v>0</v>
      </c>
      <c r="X29" s="29">
        <v>36236345863</v>
      </c>
      <c r="Z29" s="223">
        <v>32841778970</v>
      </c>
      <c r="AA29" s="223">
        <v>21746487875</v>
      </c>
      <c r="AB29" s="29">
        <v>12092986859</v>
      </c>
      <c r="AC29" s="5">
        <v>57087044548</v>
      </c>
      <c r="AD29" s="29">
        <v>42671840931</v>
      </c>
      <c r="AE29" s="376">
        <v>29338092191</v>
      </c>
      <c r="AF29" s="467">
        <v>13930162269</v>
      </c>
    </row>
    <row r="30" spans="1:32" ht="18" customHeight="1">
      <c r="A30" s="5"/>
      <c r="D30" s="13" t="s">
        <v>245</v>
      </c>
      <c r="E30" s="3" t="s">
        <v>238</v>
      </c>
      <c r="F30" s="23">
        <v>204</v>
      </c>
      <c r="G30" s="3" t="s">
        <v>246</v>
      </c>
      <c r="H30" s="5">
        <v>3021062164</v>
      </c>
      <c r="I30" s="5">
        <v>0</v>
      </c>
      <c r="J30" s="5">
        <v>0</v>
      </c>
      <c r="K30" s="5">
        <v>0</v>
      </c>
      <c r="L30" s="14">
        <v>3021062164</v>
      </c>
      <c r="N30" s="216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218">
        <v>0</v>
      </c>
      <c r="X30" s="29">
        <v>3021062164</v>
      </c>
      <c r="Z30" s="223">
        <v>2779227386</v>
      </c>
      <c r="AA30" s="223">
        <v>1896704452</v>
      </c>
      <c r="AB30" s="29">
        <v>840628122</v>
      </c>
      <c r="AC30" s="5">
        <v>3476419595</v>
      </c>
      <c r="AD30" s="29">
        <v>2153598212</v>
      </c>
      <c r="AE30" s="376">
        <v>1658767627</v>
      </c>
      <c r="AF30" s="467">
        <v>847591276</v>
      </c>
    </row>
    <row r="31" spans="1:32" ht="18" customHeight="1">
      <c r="A31" s="5"/>
      <c r="D31" s="13" t="s">
        <v>247</v>
      </c>
      <c r="E31" s="3" t="s">
        <v>238</v>
      </c>
      <c r="F31" s="23">
        <v>204</v>
      </c>
      <c r="G31" s="3" t="s">
        <v>248</v>
      </c>
      <c r="H31" s="5">
        <v>75685359064</v>
      </c>
      <c r="I31" s="5">
        <v>0</v>
      </c>
      <c r="J31" s="5">
        <v>0</v>
      </c>
      <c r="K31" s="5">
        <v>0</v>
      </c>
      <c r="L31" s="14">
        <v>75685359064</v>
      </c>
      <c r="N31" s="216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218">
        <v>0</v>
      </c>
      <c r="X31" s="29">
        <v>75685359064</v>
      </c>
      <c r="Z31" s="223">
        <v>68065205623</v>
      </c>
      <c r="AA31" s="223">
        <v>45091676704</v>
      </c>
      <c r="AB31" s="29">
        <v>21885913390</v>
      </c>
      <c r="AC31" s="5">
        <v>76246007518</v>
      </c>
      <c r="AD31" s="29">
        <v>55625530604</v>
      </c>
      <c r="AE31" s="376">
        <v>35322987389</v>
      </c>
      <c r="AF31" s="467">
        <v>16069441153</v>
      </c>
    </row>
    <row r="32" spans="1:32" ht="18" customHeight="1">
      <c r="A32" s="5"/>
      <c r="D32" s="13" t="s">
        <v>249</v>
      </c>
      <c r="E32" s="3" t="s">
        <v>238</v>
      </c>
      <c r="F32" s="23">
        <v>204</v>
      </c>
      <c r="G32" s="3" t="s">
        <v>250</v>
      </c>
      <c r="H32" s="5">
        <v>0</v>
      </c>
      <c r="I32" s="5">
        <v>0</v>
      </c>
      <c r="J32" s="5">
        <v>0</v>
      </c>
      <c r="K32" s="5">
        <v>0</v>
      </c>
      <c r="L32" s="14">
        <v>0</v>
      </c>
      <c r="N32" s="216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218">
        <v>0</v>
      </c>
      <c r="X32" s="29">
        <v>0</v>
      </c>
      <c r="Z32" s="223">
        <v>0</v>
      </c>
      <c r="AA32" s="223">
        <v>0</v>
      </c>
      <c r="AB32" s="29">
        <v>0</v>
      </c>
      <c r="AC32" s="5">
        <v>4</v>
      </c>
      <c r="AD32" s="29">
        <v>4</v>
      </c>
      <c r="AE32" s="376">
        <v>-4</v>
      </c>
      <c r="AF32" s="467">
        <v>0</v>
      </c>
    </row>
    <row r="33" spans="1:32" ht="18" customHeight="1">
      <c r="A33" s="5"/>
      <c r="D33" s="13" t="s">
        <v>251</v>
      </c>
      <c r="E33" s="3" t="s">
        <v>238</v>
      </c>
      <c r="F33" s="23">
        <v>204</v>
      </c>
      <c r="G33" s="3" t="s">
        <v>252</v>
      </c>
      <c r="H33" s="5">
        <v>5396242561</v>
      </c>
      <c r="I33" s="5">
        <v>0</v>
      </c>
      <c r="J33" s="5">
        <v>0</v>
      </c>
      <c r="K33" s="5">
        <v>0</v>
      </c>
      <c r="L33" s="14">
        <v>5396242561</v>
      </c>
      <c r="N33" s="216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218">
        <v>0</v>
      </c>
      <c r="X33" s="29">
        <v>5396242561</v>
      </c>
      <c r="Z33" s="223">
        <v>5370432041</v>
      </c>
      <c r="AA33" s="223">
        <v>3717598481</v>
      </c>
      <c r="AB33" s="29">
        <v>745733099</v>
      </c>
      <c r="AC33" s="5">
        <v>3946794323</v>
      </c>
      <c r="AD33" s="29">
        <v>2617653599</v>
      </c>
      <c r="AE33" s="376">
        <v>1205095102</v>
      </c>
      <c r="AF33" s="467">
        <v>747484173</v>
      </c>
    </row>
    <row r="34" spans="1:32" ht="18" customHeight="1">
      <c r="A34" s="5"/>
      <c r="D34" s="13" t="s">
        <v>253</v>
      </c>
      <c r="E34" s="3" t="s">
        <v>238</v>
      </c>
      <c r="F34" s="23">
        <v>204</v>
      </c>
      <c r="G34" s="3" t="s">
        <v>254</v>
      </c>
      <c r="H34" s="5">
        <v>0</v>
      </c>
      <c r="I34" s="5">
        <v>0</v>
      </c>
      <c r="J34" s="5">
        <v>0</v>
      </c>
      <c r="K34" s="5">
        <v>0</v>
      </c>
      <c r="L34" s="14">
        <v>0</v>
      </c>
      <c r="N34" s="216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218">
        <v>0</v>
      </c>
      <c r="X34" s="29">
        <v>0</v>
      </c>
      <c r="Z34" s="223">
        <v>0</v>
      </c>
      <c r="AA34" s="223">
        <v>0</v>
      </c>
      <c r="AB34" s="29">
        <v>0</v>
      </c>
      <c r="AC34" s="5">
        <v>0</v>
      </c>
      <c r="AD34" s="29">
        <v>0</v>
      </c>
      <c r="AE34" s="376">
        <v>0</v>
      </c>
      <c r="AF34" s="467">
        <v>0</v>
      </c>
    </row>
    <row r="35" spans="1:32" ht="18" customHeight="1">
      <c r="A35" s="5"/>
      <c r="D35" s="13" t="s">
        <v>255</v>
      </c>
      <c r="E35" s="3" t="s">
        <v>238</v>
      </c>
      <c r="F35" s="23">
        <v>204</v>
      </c>
      <c r="G35" s="3" t="s">
        <v>256</v>
      </c>
      <c r="H35" s="5">
        <v>452408614</v>
      </c>
      <c r="I35" s="5">
        <v>0</v>
      </c>
      <c r="J35" s="5">
        <v>0</v>
      </c>
      <c r="K35" s="5">
        <v>0</v>
      </c>
      <c r="L35" s="14">
        <v>452408614</v>
      </c>
      <c r="N35" s="216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218">
        <v>0</v>
      </c>
      <c r="X35" s="29">
        <v>452408614</v>
      </c>
      <c r="Z35" s="223">
        <v>444215495</v>
      </c>
      <c r="AA35" s="223">
        <v>442264492</v>
      </c>
      <c r="AB35" s="29">
        <v>440594710</v>
      </c>
      <c r="AC35" s="5">
        <v>138373002</v>
      </c>
      <c r="AD35" s="29">
        <v>87603292</v>
      </c>
      <c r="AE35" s="376">
        <v>86291507</v>
      </c>
      <c r="AF35" s="467">
        <v>61984331</v>
      </c>
    </row>
    <row r="36" spans="1:32" ht="18" customHeight="1">
      <c r="A36" s="472"/>
      <c r="D36" s="11"/>
      <c r="E36" s="481"/>
      <c r="F36" s="478"/>
      <c r="G36" s="481" t="s">
        <v>257</v>
      </c>
      <c r="H36" s="260">
        <v>45119548438</v>
      </c>
      <c r="I36" s="260">
        <v>244554560</v>
      </c>
      <c r="J36" s="260">
        <v>63036504</v>
      </c>
      <c r="K36" s="260">
        <v>1037880727</v>
      </c>
      <c r="L36" s="256">
        <v>46465020229</v>
      </c>
      <c r="N36" s="340">
        <v>0</v>
      </c>
      <c r="O36" s="260">
        <v>0</v>
      </c>
      <c r="P36" s="260">
        <v>-39265211</v>
      </c>
      <c r="Q36" s="260">
        <v>-16226007</v>
      </c>
      <c r="R36" s="260">
        <v>0</v>
      </c>
      <c r="S36" s="260">
        <v>0</v>
      </c>
      <c r="T36" s="260">
        <v>0</v>
      </c>
      <c r="U36" s="260">
        <v>0</v>
      </c>
      <c r="V36" s="341">
        <v>-55491218</v>
      </c>
      <c r="X36" s="26">
        <v>46409529011</v>
      </c>
      <c r="Z36" s="255">
        <v>41228310874</v>
      </c>
      <c r="AA36" s="255">
        <v>26598789049</v>
      </c>
      <c r="AB36" s="26">
        <v>12690314938</v>
      </c>
      <c r="AC36" s="260">
        <v>45123684896</v>
      </c>
      <c r="AD36" s="26">
        <v>32247309004</v>
      </c>
      <c r="AE36" s="26">
        <v>21898908735</v>
      </c>
      <c r="AF36" s="256">
        <v>11275014099</v>
      </c>
    </row>
    <row r="37" spans="1:32" ht="18" customHeight="1">
      <c r="A37" s="472"/>
      <c r="D37" s="11"/>
      <c r="E37" s="481"/>
      <c r="F37" s="478"/>
      <c r="G37" s="481" t="s">
        <v>258</v>
      </c>
      <c r="H37" s="260">
        <v>38599932130</v>
      </c>
      <c r="I37" s="260">
        <v>517143391</v>
      </c>
      <c r="J37" s="260">
        <v>320497381</v>
      </c>
      <c r="K37" s="260">
        <v>1303621333</v>
      </c>
      <c r="L37" s="256">
        <v>40741194235</v>
      </c>
      <c r="N37" s="340">
        <v>0</v>
      </c>
      <c r="O37" s="260">
        <v>0</v>
      </c>
      <c r="P37" s="260">
        <v>-39265211</v>
      </c>
      <c r="Q37" s="260">
        <v>0</v>
      </c>
      <c r="R37" s="260">
        <v>0</v>
      </c>
      <c r="S37" s="260">
        <v>20000000</v>
      </c>
      <c r="T37" s="260">
        <v>0</v>
      </c>
      <c r="U37" s="260">
        <v>0</v>
      </c>
      <c r="V37" s="341">
        <v>-19265211</v>
      </c>
      <c r="X37" s="26">
        <v>40721929024</v>
      </c>
      <c r="Z37" s="255">
        <v>36514424351</v>
      </c>
      <c r="AA37" s="255">
        <v>23830391473</v>
      </c>
      <c r="AB37" s="26">
        <v>11633145089</v>
      </c>
      <c r="AC37" s="260">
        <v>57012606885</v>
      </c>
      <c r="AD37" s="26">
        <v>41868940448</v>
      </c>
      <c r="AE37" s="26">
        <v>27568897549</v>
      </c>
      <c r="AF37" s="256">
        <v>12976105803</v>
      </c>
    </row>
    <row r="38" spans="1:32" ht="18" customHeight="1">
      <c r="A38" s="473" t="s">
        <v>260</v>
      </c>
      <c r="B38" s="3" t="b">
        <v>1</v>
      </c>
      <c r="D38" s="13" t="s">
        <v>259</v>
      </c>
      <c r="E38" s="3" t="s">
        <v>258</v>
      </c>
      <c r="F38" s="23">
        <v>301</v>
      </c>
      <c r="G38" s="3" t="s">
        <v>260</v>
      </c>
      <c r="H38" s="5">
        <v>12374944073</v>
      </c>
      <c r="I38" s="5">
        <v>129922706</v>
      </c>
      <c r="J38" s="5">
        <v>223829810</v>
      </c>
      <c r="K38" s="5">
        <v>398129426</v>
      </c>
      <c r="L38" s="14">
        <v>13126826015</v>
      </c>
      <c r="N38" s="216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218">
        <v>0</v>
      </c>
      <c r="X38" s="29">
        <v>13126826015</v>
      </c>
      <c r="Z38" s="223">
        <v>11711279550</v>
      </c>
      <c r="AA38" s="223">
        <v>7785579892</v>
      </c>
      <c r="AB38" s="29">
        <v>3846526795</v>
      </c>
      <c r="AC38" s="5">
        <v>15962194642</v>
      </c>
      <c r="AD38" s="29">
        <v>11013830261</v>
      </c>
      <c r="AE38" s="376">
        <v>7458340686</v>
      </c>
      <c r="AF38" s="467">
        <v>3611887413</v>
      </c>
    </row>
    <row r="39" spans="1:32" ht="18" customHeight="1">
      <c r="A39" s="473" t="s">
        <v>262</v>
      </c>
      <c r="B39" s="3" t="b">
        <v>1</v>
      </c>
      <c r="D39" s="13" t="s">
        <v>261</v>
      </c>
      <c r="E39" s="3" t="s">
        <v>258</v>
      </c>
      <c r="F39" s="23">
        <v>302</v>
      </c>
      <c r="G39" s="3" t="s">
        <v>262</v>
      </c>
      <c r="H39" s="5">
        <v>1449288579</v>
      </c>
      <c r="I39" s="5">
        <v>0</v>
      </c>
      <c r="J39" s="5">
        <v>0</v>
      </c>
      <c r="K39" s="5">
        <v>25961544</v>
      </c>
      <c r="L39" s="14">
        <v>1475250123</v>
      </c>
      <c r="N39" s="216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218">
        <v>0</v>
      </c>
      <c r="X39" s="29">
        <v>1475250123</v>
      </c>
      <c r="Z39" s="223">
        <v>1327209602</v>
      </c>
      <c r="AA39" s="223">
        <v>883413247</v>
      </c>
      <c r="AB39" s="29">
        <v>445699323</v>
      </c>
      <c r="AC39" s="5">
        <v>1716897804</v>
      </c>
      <c r="AD39" s="29">
        <v>1295143664</v>
      </c>
      <c r="AE39" s="376">
        <v>829435383</v>
      </c>
      <c r="AF39" s="467">
        <v>423252238</v>
      </c>
    </row>
    <row r="40" spans="1:32" ht="18" customHeight="1">
      <c r="A40" s="473"/>
      <c r="D40" s="13" t="s">
        <v>1545</v>
      </c>
      <c r="E40" s="3" t="s">
        <v>258</v>
      </c>
      <c r="F40" s="23">
        <v>303</v>
      </c>
      <c r="G40" s="3" t="s">
        <v>758</v>
      </c>
      <c r="H40" s="5">
        <v>296744225</v>
      </c>
      <c r="I40" s="5">
        <v>0</v>
      </c>
      <c r="J40" s="5">
        <v>0</v>
      </c>
      <c r="K40" s="5">
        <v>0</v>
      </c>
      <c r="L40" s="14">
        <v>296744225</v>
      </c>
      <c r="N40" s="216"/>
      <c r="O40" s="5">
        <v>0</v>
      </c>
      <c r="P40" s="5">
        <v>0</v>
      </c>
      <c r="Q40" s="5">
        <v>0</v>
      </c>
      <c r="R40" s="5">
        <v>0</v>
      </c>
      <c r="S40" s="5"/>
      <c r="T40" s="5"/>
      <c r="U40" s="5">
        <v>0</v>
      </c>
      <c r="V40" s="218">
        <v>0</v>
      </c>
      <c r="X40" s="29">
        <v>296744225</v>
      </c>
      <c r="Z40" s="223">
        <v>268215964</v>
      </c>
      <c r="AA40" s="223">
        <v>193291355</v>
      </c>
      <c r="AB40" s="29">
        <v>131581039</v>
      </c>
      <c r="AC40" s="5">
        <v>624260187</v>
      </c>
      <c r="AD40" s="29">
        <v>607214925</v>
      </c>
      <c r="AE40" s="376">
        <v>412306506</v>
      </c>
      <c r="AF40" s="467">
        <v>224894463</v>
      </c>
    </row>
    <row r="41" spans="1:32" ht="18" customHeight="1">
      <c r="A41" s="473" t="s">
        <v>264</v>
      </c>
      <c r="B41" s="3" t="b">
        <v>1</v>
      </c>
      <c r="D41" s="13" t="s">
        <v>263</v>
      </c>
      <c r="E41" s="3" t="s">
        <v>258</v>
      </c>
      <c r="F41" s="23">
        <v>304</v>
      </c>
      <c r="G41" s="3" t="s">
        <v>264</v>
      </c>
      <c r="H41" s="5">
        <v>2207617261</v>
      </c>
      <c r="I41" s="5">
        <v>3379430</v>
      </c>
      <c r="J41" s="5">
        <v>12622526</v>
      </c>
      <c r="K41" s="5">
        <v>102226795</v>
      </c>
      <c r="L41" s="14">
        <v>2325846012</v>
      </c>
      <c r="N41" s="216">
        <v>0</v>
      </c>
      <c r="O41" s="5">
        <v>0</v>
      </c>
      <c r="P41" s="5">
        <v>0</v>
      </c>
      <c r="Q41" s="5">
        <v>0</v>
      </c>
      <c r="R41" s="5">
        <v>0</v>
      </c>
      <c r="S41" s="5">
        <v>-12164555</v>
      </c>
      <c r="T41" s="5">
        <v>0</v>
      </c>
      <c r="U41" s="5">
        <v>0</v>
      </c>
      <c r="V41" s="218">
        <v>-12164555</v>
      </c>
      <c r="X41" s="29">
        <v>2313681457</v>
      </c>
      <c r="Z41" s="223">
        <v>2138531081</v>
      </c>
      <c r="AA41" s="223">
        <v>1394560304</v>
      </c>
      <c r="AB41" s="29">
        <v>668695373</v>
      </c>
      <c r="AC41" s="5">
        <v>3367428459</v>
      </c>
      <c r="AD41" s="29">
        <v>1933525453</v>
      </c>
      <c r="AE41" s="376">
        <v>1288720791</v>
      </c>
      <c r="AF41" s="467">
        <v>606125687</v>
      </c>
    </row>
    <row r="42" spans="1:32" ht="18" customHeight="1">
      <c r="A42" s="473" t="s">
        <v>266</v>
      </c>
      <c r="B42" s="3" t="b">
        <v>1</v>
      </c>
      <c r="D42" s="13" t="s">
        <v>265</v>
      </c>
      <c r="E42" s="3" t="s">
        <v>258</v>
      </c>
      <c r="F42" s="23">
        <v>305</v>
      </c>
      <c r="G42" s="3" t="s">
        <v>266</v>
      </c>
      <c r="H42" s="5">
        <v>53394426</v>
      </c>
      <c r="I42" s="5">
        <v>869782</v>
      </c>
      <c r="J42" s="5">
        <v>16083556</v>
      </c>
      <c r="K42" s="5">
        <v>17777991</v>
      </c>
      <c r="L42" s="14">
        <v>88125755</v>
      </c>
      <c r="N42" s="216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218">
        <v>0</v>
      </c>
      <c r="X42" s="29">
        <v>88125755</v>
      </c>
      <c r="Z42" s="223">
        <v>76143606</v>
      </c>
      <c r="AA42" s="223">
        <v>48071727</v>
      </c>
      <c r="AB42" s="29">
        <v>19473848</v>
      </c>
      <c r="AC42" s="5">
        <v>160800898</v>
      </c>
      <c r="AD42" s="29">
        <v>113208606</v>
      </c>
      <c r="AE42" s="376">
        <v>71547217</v>
      </c>
      <c r="AF42" s="467">
        <v>47114816</v>
      </c>
    </row>
    <row r="43" spans="1:32" ht="18" customHeight="1">
      <c r="A43" s="473" t="s">
        <v>268</v>
      </c>
      <c r="B43" s="3" t="b">
        <v>1</v>
      </c>
      <c r="D43" s="13" t="s">
        <v>267</v>
      </c>
      <c r="E43" s="3" t="s">
        <v>258</v>
      </c>
      <c r="F43" s="23">
        <v>306</v>
      </c>
      <c r="G43" s="3" t="s">
        <v>268</v>
      </c>
      <c r="H43" s="5">
        <v>39589638</v>
      </c>
      <c r="I43" s="5">
        <v>1432977</v>
      </c>
      <c r="J43" s="5">
        <v>0</v>
      </c>
      <c r="K43" s="5">
        <v>12510736</v>
      </c>
      <c r="L43" s="14">
        <v>53533351</v>
      </c>
      <c r="N43" s="216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218">
        <v>0</v>
      </c>
      <c r="X43" s="29">
        <v>53533351</v>
      </c>
      <c r="Z43" s="223">
        <v>48931982</v>
      </c>
      <c r="AA43" s="223">
        <v>26366473</v>
      </c>
      <c r="AB43" s="29">
        <v>12285971</v>
      </c>
      <c r="AC43" s="5">
        <v>74742706</v>
      </c>
      <c r="AD43" s="29">
        <v>48959779</v>
      </c>
      <c r="AE43" s="376">
        <v>30926691</v>
      </c>
      <c r="AF43" s="467">
        <v>21537169</v>
      </c>
    </row>
    <row r="44" spans="1:32" ht="18" customHeight="1">
      <c r="A44" s="473" t="s">
        <v>270</v>
      </c>
      <c r="B44" s="3" t="b">
        <v>1</v>
      </c>
      <c r="D44" s="13" t="s">
        <v>269</v>
      </c>
      <c r="E44" s="3" t="s">
        <v>258</v>
      </c>
      <c r="F44" s="23">
        <v>307</v>
      </c>
      <c r="G44" s="3" t="s">
        <v>270</v>
      </c>
      <c r="H44" s="5">
        <v>192786056</v>
      </c>
      <c r="I44" s="5">
        <v>270188</v>
      </c>
      <c r="J44" s="5">
        <v>13592364</v>
      </c>
      <c r="K44" s="5">
        <v>10107033</v>
      </c>
      <c r="L44" s="14">
        <v>216755641</v>
      </c>
      <c r="N44" s="216">
        <v>0</v>
      </c>
      <c r="O44" s="5">
        <v>0</v>
      </c>
      <c r="P44" s="5">
        <v>0</v>
      </c>
      <c r="Q44" s="5">
        <v>0</v>
      </c>
      <c r="R44" s="5">
        <v>0</v>
      </c>
      <c r="S44" s="5">
        <v>-11611287</v>
      </c>
      <c r="T44" s="5">
        <v>0</v>
      </c>
      <c r="U44" s="5">
        <v>0</v>
      </c>
      <c r="V44" s="218">
        <v>-11611287</v>
      </c>
      <c r="X44" s="29">
        <v>205144354</v>
      </c>
      <c r="Z44" s="223">
        <v>184410002</v>
      </c>
      <c r="AA44" s="223">
        <v>119890130</v>
      </c>
      <c r="AB44" s="29">
        <v>60525511</v>
      </c>
      <c r="AC44" s="5">
        <v>261944781</v>
      </c>
      <c r="AD44" s="29">
        <v>199358425</v>
      </c>
      <c r="AE44" s="376">
        <v>141294395</v>
      </c>
      <c r="AF44" s="467">
        <v>74377005</v>
      </c>
    </row>
    <row r="45" spans="1:32" ht="18" customHeight="1">
      <c r="A45" s="473" t="s">
        <v>272</v>
      </c>
      <c r="B45" s="3" t="b">
        <v>1</v>
      </c>
      <c r="D45" s="13" t="s">
        <v>271</v>
      </c>
      <c r="E45" s="3" t="s">
        <v>258</v>
      </c>
      <c r="F45" s="23">
        <v>308</v>
      </c>
      <c r="G45" s="3" t="s">
        <v>272</v>
      </c>
      <c r="H45" s="5">
        <v>38701100</v>
      </c>
      <c r="I45" s="5">
        <v>921064</v>
      </c>
      <c r="J45" s="5">
        <v>944746</v>
      </c>
      <c r="K45" s="5">
        <v>1999822</v>
      </c>
      <c r="L45" s="14">
        <v>42566732</v>
      </c>
      <c r="N45" s="216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218">
        <v>0</v>
      </c>
      <c r="X45" s="29">
        <v>42566732</v>
      </c>
      <c r="Z45" s="223">
        <v>37983927</v>
      </c>
      <c r="AA45" s="223">
        <v>21714360</v>
      </c>
      <c r="AB45" s="29">
        <v>11454167</v>
      </c>
      <c r="AC45" s="5">
        <v>71626799</v>
      </c>
      <c r="AD45" s="29">
        <v>56927821</v>
      </c>
      <c r="AE45" s="376">
        <v>32730191</v>
      </c>
      <c r="AF45" s="467">
        <v>21051554</v>
      </c>
    </row>
    <row r="46" spans="1:32" ht="18" customHeight="1">
      <c r="A46" s="473" t="s">
        <v>274</v>
      </c>
      <c r="B46" s="3" t="b">
        <v>1</v>
      </c>
      <c r="D46" s="13" t="s">
        <v>273</v>
      </c>
      <c r="E46" s="3" t="s">
        <v>258</v>
      </c>
      <c r="F46" s="23">
        <v>309</v>
      </c>
      <c r="G46" s="3" t="s">
        <v>274</v>
      </c>
      <c r="H46" s="5">
        <v>107306847</v>
      </c>
      <c r="I46" s="5">
        <v>246720</v>
      </c>
      <c r="J46" s="5">
        <v>181504</v>
      </c>
      <c r="K46" s="5">
        <v>693597</v>
      </c>
      <c r="L46" s="14">
        <v>108428668</v>
      </c>
      <c r="N46" s="216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218">
        <v>0</v>
      </c>
      <c r="X46" s="29">
        <v>108428668</v>
      </c>
      <c r="Z46" s="223">
        <v>100526083</v>
      </c>
      <c r="AA46" s="223">
        <v>61881428</v>
      </c>
      <c r="AB46" s="29">
        <v>29083362</v>
      </c>
      <c r="AC46" s="5">
        <v>68952379</v>
      </c>
      <c r="AD46" s="29">
        <v>47682492</v>
      </c>
      <c r="AE46" s="376">
        <v>20889466</v>
      </c>
      <c r="AF46" s="467">
        <v>-3590514</v>
      </c>
    </row>
    <row r="47" spans="1:32" ht="18" customHeight="1">
      <c r="A47" s="473" t="s">
        <v>621</v>
      </c>
      <c r="B47" s="3" t="b">
        <v>1</v>
      </c>
      <c r="D47" s="13">
        <v>629120</v>
      </c>
      <c r="E47" s="3" t="s">
        <v>258</v>
      </c>
      <c r="F47" s="23">
        <v>31001</v>
      </c>
      <c r="G47" s="3" t="s">
        <v>621</v>
      </c>
      <c r="H47" s="5">
        <v>16124810</v>
      </c>
      <c r="I47" s="5">
        <v>0</v>
      </c>
      <c r="J47" s="5">
        <v>0</v>
      </c>
      <c r="K47" s="5">
        <v>0</v>
      </c>
      <c r="L47" s="14">
        <v>16124810</v>
      </c>
      <c r="N47" s="216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218">
        <v>0</v>
      </c>
      <c r="X47" s="29">
        <v>16124810</v>
      </c>
      <c r="Z47" s="223">
        <v>14512329</v>
      </c>
      <c r="AA47" s="223">
        <v>9674886</v>
      </c>
      <c r="AB47" s="29">
        <v>4837443</v>
      </c>
      <c r="AC47" s="5">
        <v>21094052</v>
      </c>
      <c r="AD47" s="29">
        <v>16256609</v>
      </c>
      <c r="AE47" s="376">
        <v>11419166</v>
      </c>
      <c r="AF47" s="467">
        <v>6581723</v>
      </c>
    </row>
    <row r="48" spans="1:32" ht="18" customHeight="1">
      <c r="A48" s="473" t="s">
        <v>622</v>
      </c>
      <c r="B48" s="3" t="b">
        <v>1</v>
      </c>
      <c r="D48" s="13">
        <v>629140</v>
      </c>
      <c r="E48" s="3" t="s">
        <v>258</v>
      </c>
      <c r="F48" s="23">
        <v>310</v>
      </c>
      <c r="G48" s="3" t="s">
        <v>622</v>
      </c>
      <c r="H48" s="5">
        <v>417367261</v>
      </c>
      <c r="I48" s="5">
        <v>84090</v>
      </c>
      <c r="J48" s="5">
        <v>1742529</v>
      </c>
      <c r="K48" s="5">
        <v>7026480</v>
      </c>
      <c r="L48" s="14">
        <v>426220360</v>
      </c>
      <c r="N48" s="216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218">
        <v>0</v>
      </c>
      <c r="X48" s="29">
        <v>426220360</v>
      </c>
      <c r="Z48" s="223">
        <v>380642268</v>
      </c>
      <c r="AA48" s="223">
        <v>252801377</v>
      </c>
      <c r="AB48" s="29">
        <v>127483142</v>
      </c>
      <c r="AC48" s="5">
        <v>448460207</v>
      </c>
      <c r="AD48" s="29">
        <v>336640843</v>
      </c>
      <c r="AE48" s="376">
        <v>233476159</v>
      </c>
      <c r="AF48" s="467">
        <v>114600570</v>
      </c>
    </row>
    <row r="49" spans="1:32" ht="18" customHeight="1">
      <c r="A49" s="473" t="s">
        <v>623</v>
      </c>
      <c r="B49" s="3" t="b">
        <v>1</v>
      </c>
      <c r="D49" s="13">
        <v>629150</v>
      </c>
      <c r="E49" s="3" t="s">
        <v>258</v>
      </c>
      <c r="F49" s="23">
        <v>310</v>
      </c>
      <c r="G49" s="3" t="s">
        <v>623</v>
      </c>
      <c r="H49" s="5">
        <v>15355420</v>
      </c>
      <c r="I49" s="5">
        <v>0</v>
      </c>
      <c r="J49" s="5">
        <v>0</v>
      </c>
      <c r="K49" s="5">
        <v>0</v>
      </c>
      <c r="L49" s="14">
        <v>15355420</v>
      </c>
      <c r="N49" s="216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218">
        <v>0</v>
      </c>
      <c r="X49" s="29">
        <v>15355420</v>
      </c>
      <c r="Z49" s="223">
        <v>9769878</v>
      </c>
      <c r="AA49" s="223">
        <v>6513252</v>
      </c>
      <c r="AB49" s="29">
        <v>3256626</v>
      </c>
      <c r="AC49" s="5">
        <v>26533526</v>
      </c>
      <c r="AD49" s="29">
        <v>23276061</v>
      </c>
      <c r="AE49" s="376">
        <v>20018616</v>
      </c>
      <c r="AF49" s="467">
        <v>13239042</v>
      </c>
    </row>
    <row r="50" spans="1:32" ht="18" customHeight="1">
      <c r="A50" s="473" t="s">
        <v>624</v>
      </c>
      <c r="B50" s="3" t="b">
        <v>1</v>
      </c>
      <c r="D50" s="13">
        <v>651100</v>
      </c>
      <c r="E50" s="3" t="s">
        <v>258</v>
      </c>
      <c r="F50" s="23">
        <v>335</v>
      </c>
      <c r="G50" s="3" t="s">
        <v>624</v>
      </c>
      <c r="H50" s="5">
        <v>1779427207</v>
      </c>
      <c r="I50" s="5">
        <v>32312292</v>
      </c>
      <c r="J50" s="5">
        <v>10935046</v>
      </c>
      <c r="K50" s="5">
        <v>294268878</v>
      </c>
      <c r="L50" s="14">
        <v>2116943423</v>
      </c>
      <c r="N50" s="216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218">
        <v>0</v>
      </c>
      <c r="X50" s="29">
        <v>2116943423</v>
      </c>
      <c r="Z50" s="223">
        <v>1892354999</v>
      </c>
      <c r="AA50" s="223">
        <v>1249516809</v>
      </c>
      <c r="AB50" s="29">
        <v>641228390</v>
      </c>
      <c r="AC50" s="5">
        <v>2293823046</v>
      </c>
      <c r="AD50" s="29">
        <v>1815563936</v>
      </c>
      <c r="AE50" s="376">
        <v>1176416849</v>
      </c>
      <c r="AF50" s="467">
        <v>595878188</v>
      </c>
    </row>
    <row r="51" spans="1:32" ht="18" customHeight="1">
      <c r="A51" s="473" t="s">
        <v>625</v>
      </c>
      <c r="B51" s="3" t="b">
        <v>1</v>
      </c>
      <c r="D51" s="13">
        <v>651110</v>
      </c>
      <c r="E51" s="3" t="s">
        <v>258</v>
      </c>
      <c r="F51" s="23">
        <v>334</v>
      </c>
      <c r="G51" s="3" t="s">
        <v>625</v>
      </c>
      <c r="H51" s="5">
        <v>36530889</v>
      </c>
      <c r="I51" s="5">
        <v>0</v>
      </c>
      <c r="J51" s="5">
        <v>0</v>
      </c>
      <c r="K51" s="5">
        <v>0</v>
      </c>
      <c r="L51" s="14">
        <v>36530889</v>
      </c>
      <c r="N51" s="216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218">
        <v>0</v>
      </c>
      <c r="X51" s="29">
        <v>36530889</v>
      </c>
      <c r="Z51" s="223">
        <v>32994408</v>
      </c>
      <c r="AA51" s="223">
        <v>21974616</v>
      </c>
      <c r="AB51" s="29">
        <v>12831345</v>
      </c>
      <c r="AC51" s="5">
        <v>38021107</v>
      </c>
      <c r="AD51" s="29">
        <v>28731481</v>
      </c>
      <c r="AE51" s="376">
        <v>19441855</v>
      </c>
      <c r="AF51" s="467">
        <v>10152229</v>
      </c>
    </row>
    <row r="52" spans="1:32" ht="18" customHeight="1">
      <c r="A52" s="473" t="s">
        <v>2276</v>
      </c>
      <c r="B52" s="3" t="b">
        <v>0</v>
      </c>
      <c r="D52" s="368">
        <v>651120</v>
      </c>
      <c r="E52" s="369" t="s">
        <v>258</v>
      </c>
      <c r="F52" s="369">
        <v>336</v>
      </c>
      <c r="G52" s="211" t="s">
        <v>2023</v>
      </c>
      <c r="H52" s="5">
        <v>40147179</v>
      </c>
      <c r="I52" s="5">
        <v>0</v>
      </c>
      <c r="J52" s="5">
        <v>0</v>
      </c>
      <c r="K52" s="5">
        <v>0</v>
      </c>
      <c r="L52" s="14">
        <v>40147179</v>
      </c>
      <c r="N52" s="216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218">
        <v>0</v>
      </c>
      <c r="X52" s="29">
        <v>40147179</v>
      </c>
      <c r="Z52" s="223">
        <v>36132462</v>
      </c>
      <c r="AA52" s="223">
        <v>24088308</v>
      </c>
      <c r="AB52" s="29">
        <v>12044154</v>
      </c>
      <c r="AC52" s="5">
        <v>4014718</v>
      </c>
      <c r="AD52" s="29"/>
      <c r="AE52" s="376">
        <v>0</v>
      </c>
      <c r="AF52" s="467">
        <v>0</v>
      </c>
    </row>
    <row r="53" spans="1:32" ht="18" customHeight="1">
      <c r="A53" s="473" t="s">
        <v>386</v>
      </c>
      <c r="B53" s="3" t="b">
        <v>1</v>
      </c>
      <c r="D53" s="13" t="s">
        <v>390</v>
      </c>
      <c r="E53" s="3" t="s">
        <v>258</v>
      </c>
      <c r="F53" s="23">
        <v>326</v>
      </c>
      <c r="G53" s="3" t="s">
        <v>386</v>
      </c>
      <c r="H53" s="5">
        <v>3197290531</v>
      </c>
      <c r="I53" s="5">
        <v>0</v>
      </c>
      <c r="J53" s="5">
        <v>0</v>
      </c>
      <c r="K53" s="5">
        <v>12991793</v>
      </c>
      <c r="L53" s="14">
        <v>3210282324</v>
      </c>
      <c r="N53" s="216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218">
        <v>0</v>
      </c>
      <c r="X53" s="29">
        <v>3210282324</v>
      </c>
      <c r="Z53" s="223">
        <v>2889770633</v>
      </c>
      <c r="AA53" s="223">
        <v>1935563251</v>
      </c>
      <c r="AB53" s="29">
        <v>1038952376</v>
      </c>
      <c r="AC53" s="5">
        <v>6564079983</v>
      </c>
      <c r="AD53" s="29">
        <v>4974888158</v>
      </c>
      <c r="AE53" s="376">
        <v>3363696382</v>
      </c>
      <c r="AF53" s="467">
        <v>1726057901</v>
      </c>
    </row>
    <row r="54" spans="1:32" ht="18" customHeight="1">
      <c r="A54" s="473" t="s">
        <v>276</v>
      </c>
      <c r="B54" s="3" t="b">
        <v>1</v>
      </c>
      <c r="D54" s="13" t="s">
        <v>275</v>
      </c>
      <c r="E54" s="3" t="s">
        <v>258</v>
      </c>
      <c r="F54" s="23">
        <v>311</v>
      </c>
      <c r="G54" s="3" t="s">
        <v>276</v>
      </c>
      <c r="H54" s="5">
        <v>158574669</v>
      </c>
      <c r="I54" s="5">
        <v>1600000</v>
      </c>
      <c r="J54" s="5">
        <v>0</v>
      </c>
      <c r="K54" s="5">
        <v>38814764</v>
      </c>
      <c r="L54" s="14">
        <v>198989433</v>
      </c>
      <c r="N54" s="216">
        <v>0</v>
      </c>
      <c r="O54" s="5">
        <v>0</v>
      </c>
      <c r="P54" s="5">
        <v>0</v>
      </c>
      <c r="Q54" s="5">
        <v>0</v>
      </c>
      <c r="R54" s="5">
        <v>0</v>
      </c>
      <c r="S54" s="5">
        <v>-13884590</v>
      </c>
      <c r="T54" s="5">
        <v>0</v>
      </c>
      <c r="U54" s="5">
        <v>0</v>
      </c>
      <c r="V54" s="218">
        <v>-13884590</v>
      </c>
      <c r="X54" s="29">
        <v>185104843</v>
      </c>
      <c r="Z54" s="223">
        <v>165280692</v>
      </c>
      <c r="AA54" s="223">
        <v>109810899</v>
      </c>
      <c r="AB54" s="29">
        <v>54961332</v>
      </c>
      <c r="AC54" s="5">
        <v>280231919</v>
      </c>
      <c r="AD54" s="29">
        <v>189381686</v>
      </c>
      <c r="AE54" s="376">
        <v>204176901</v>
      </c>
      <c r="AF54" s="467">
        <v>103500094</v>
      </c>
    </row>
    <row r="55" spans="1:32" ht="18" customHeight="1">
      <c r="A55" s="473" t="s">
        <v>1686</v>
      </c>
      <c r="B55" s="3" t="b">
        <v>1</v>
      </c>
      <c r="D55" s="13" t="s">
        <v>1833</v>
      </c>
      <c r="E55" s="3" t="s">
        <v>258</v>
      </c>
      <c r="F55" s="23">
        <v>31101</v>
      </c>
      <c r="G55" s="3" t="s">
        <v>1686</v>
      </c>
      <c r="H55" s="5">
        <v>0</v>
      </c>
      <c r="I55" s="5">
        <v>8363000</v>
      </c>
      <c r="J55" s="5">
        <v>22916066</v>
      </c>
      <c r="K55" s="5">
        <v>0</v>
      </c>
      <c r="L55" s="14">
        <v>31279066</v>
      </c>
      <c r="N55" s="216">
        <v>0</v>
      </c>
      <c r="O55" s="5">
        <v>0</v>
      </c>
      <c r="P55" s="5">
        <v>0</v>
      </c>
      <c r="Q55" s="5">
        <v>0</v>
      </c>
      <c r="R55" s="5">
        <v>0</v>
      </c>
      <c r="S55" s="5">
        <v>5137877</v>
      </c>
      <c r="T55" s="5">
        <v>0</v>
      </c>
      <c r="U55" s="5">
        <v>0</v>
      </c>
      <c r="V55" s="218">
        <v>5137877</v>
      </c>
      <c r="X55" s="29">
        <v>36416943</v>
      </c>
      <c r="Z55" s="223">
        <v>34089796</v>
      </c>
      <c r="AA55" s="223">
        <v>20779229</v>
      </c>
      <c r="AB55" s="29">
        <v>11647803</v>
      </c>
      <c r="AC55" s="5">
        <v>70594266</v>
      </c>
      <c r="AD55" s="29">
        <v>49856252</v>
      </c>
      <c r="AE55" s="376">
        <v>32361713</v>
      </c>
      <c r="AF55" s="467">
        <v>13682116</v>
      </c>
    </row>
    <row r="56" spans="1:32" ht="18" customHeight="1">
      <c r="A56" s="473" t="s">
        <v>1687</v>
      </c>
      <c r="B56" s="3" t="b">
        <v>1</v>
      </c>
      <c r="D56" s="13" t="s">
        <v>1835</v>
      </c>
      <c r="E56" s="3" t="s">
        <v>258</v>
      </c>
      <c r="F56" s="23">
        <v>31102</v>
      </c>
      <c r="G56" s="3" t="s">
        <v>1687</v>
      </c>
      <c r="H56" s="5">
        <v>0</v>
      </c>
      <c r="I56" s="5">
        <v>0</v>
      </c>
      <c r="J56" s="5">
        <v>0</v>
      </c>
      <c r="K56" s="5">
        <v>729554</v>
      </c>
      <c r="L56" s="14">
        <v>729554</v>
      </c>
      <c r="N56" s="216">
        <v>0</v>
      </c>
      <c r="O56" s="5">
        <v>0</v>
      </c>
      <c r="P56" s="5">
        <v>0</v>
      </c>
      <c r="Q56" s="5">
        <v>0</v>
      </c>
      <c r="R56" s="5">
        <v>0</v>
      </c>
      <c r="S56" s="5">
        <v>32522555</v>
      </c>
      <c r="T56" s="5">
        <v>0</v>
      </c>
      <c r="U56" s="5">
        <v>0</v>
      </c>
      <c r="V56" s="218">
        <v>32522555</v>
      </c>
      <c r="X56" s="29">
        <v>33252109</v>
      </c>
      <c r="Z56" s="223">
        <v>29971312</v>
      </c>
      <c r="AA56" s="223">
        <v>18546419</v>
      </c>
      <c r="AB56" s="29">
        <v>9472688</v>
      </c>
      <c r="AC56" s="5">
        <v>37959092</v>
      </c>
      <c r="AD56" s="29">
        <v>28865267</v>
      </c>
      <c r="AE56" s="376">
        <v>19433624</v>
      </c>
      <c r="AF56" s="467">
        <v>9966818</v>
      </c>
    </row>
    <row r="57" spans="1:32" ht="18" customHeight="1">
      <c r="A57" s="473" t="s">
        <v>278</v>
      </c>
      <c r="B57" s="3" t="b">
        <v>1</v>
      </c>
      <c r="D57" s="13" t="s">
        <v>277</v>
      </c>
      <c r="E57" s="3" t="s">
        <v>258</v>
      </c>
      <c r="F57" s="23">
        <v>312</v>
      </c>
      <c r="G57" s="3" t="s">
        <v>278</v>
      </c>
      <c r="H57" s="5">
        <v>222034582</v>
      </c>
      <c r="I57" s="5">
        <v>0</v>
      </c>
      <c r="J57" s="5">
        <v>0</v>
      </c>
      <c r="K57" s="5">
        <v>0</v>
      </c>
      <c r="L57" s="14">
        <v>222034582</v>
      </c>
      <c r="N57" s="216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218">
        <v>0</v>
      </c>
      <c r="X57" s="29">
        <v>222034582</v>
      </c>
      <c r="Z57" s="223">
        <v>198476784</v>
      </c>
      <c r="AA57" s="223">
        <v>140212661</v>
      </c>
      <c r="AB57" s="29">
        <v>63663200</v>
      </c>
      <c r="AC57" s="5">
        <v>221476500</v>
      </c>
      <c r="AD57" s="29">
        <v>167121113</v>
      </c>
      <c r="AE57" s="376">
        <v>108901499</v>
      </c>
      <c r="AF57" s="467">
        <v>53005000</v>
      </c>
    </row>
    <row r="58" spans="1:32" ht="18" customHeight="1">
      <c r="A58" s="473" t="s">
        <v>280</v>
      </c>
      <c r="B58" s="3" t="b">
        <v>1</v>
      </c>
      <c r="D58" s="13" t="s">
        <v>279</v>
      </c>
      <c r="E58" s="3" t="s">
        <v>258</v>
      </c>
      <c r="F58" s="23">
        <v>313</v>
      </c>
      <c r="G58" s="3" t="s">
        <v>280</v>
      </c>
      <c r="H58" s="5">
        <v>25794059</v>
      </c>
      <c r="I58" s="5">
        <v>8813700</v>
      </c>
      <c r="J58" s="5">
        <v>4895425</v>
      </c>
      <c r="K58" s="5">
        <v>0</v>
      </c>
      <c r="L58" s="14">
        <v>39503184</v>
      </c>
      <c r="N58" s="216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218">
        <v>0</v>
      </c>
      <c r="X58" s="29">
        <v>39503184</v>
      </c>
      <c r="Z58" s="223">
        <v>33515484</v>
      </c>
      <c r="AA58" s="223">
        <v>24091218</v>
      </c>
      <c r="AB58" s="29">
        <v>15443921</v>
      </c>
      <c r="AC58" s="5">
        <v>38076323</v>
      </c>
      <c r="AD58" s="29">
        <v>21151528</v>
      </c>
      <c r="AE58" s="376">
        <v>14273109</v>
      </c>
      <c r="AF58" s="467">
        <v>9487208</v>
      </c>
    </row>
    <row r="59" spans="1:32" ht="18" customHeight="1">
      <c r="A59" s="473" t="s">
        <v>282</v>
      </c>
      <c r="B59" s="3" t="b">
        <v>1</v>
      </c>
      <c r="D59" s="13" t="s">
        <v>281</v>
      </c>
      <c r="E59" s="3" t="s">
        <v>258</v>
      </c>
      <c r="F59" s="23">
        <v>314</v>
      </c>
      <c r="G59" s="3" t="s">
        <v>282</v>
      </c>
      <c r="H59" s="5">
        <v>18328889</v>
      </c>
      <c r="I59" s="5">
        <v>89200</v>
      </c>
      <c r="J59" s="5">
        <v>7684782</v>
      </c>
      <c r="K59" s="5">
        <v>0</v>
      </c>
      <c r="L59" s="14">
        <v>26102871</v>
      </c>
      <c r="N59" s="216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218">
        <v>0</v>
      </c>
      <c r="X59" s="29">
        <v>26102871</v>
      </c>
      <c r="Z59" s="223">
        <v>23272449</v>
      </c>
      <c r="AA59" s="223">
        <v>14076006</v>
      </c>
      <c r="AB59" s="29">
        <v>6016633</v>
      </c>
      <c r="AC59" s="5">
        <v>32664446</v>
      </c>
      <c r="AD59" s="29">
        <v>22071603</v>
      </c>
      <c r="AE59" s="376">
        <v>13334124</v>
      </c>
      <c r="AF59" s="467">
        <v>5803577</v>
      </c>
    </row>
    <row r="60" spans="1:32" ht="18" customHeight="1">
      <c r="A60" s="473" t="s">
        <v>284</v>
      </c>
      <c r="B60" s="3" t="b">
        <v>1</v>
      </c>
      <c r="D60" s="13" t="s">
        <v>283</v>
      </c>
      <c r="E60" s="3" t="s">
        <v>258</v>
      </c>
      <c r="F60" s="23">
        <v>315</v>
      </c>
      <c r="G60" s="3" t="s">
        <v>284</v>
      </c>
      <c r="H60" s="5">
        <v>1899334931</v>
      </c>
      <c r="I60" s="5">
        <v>0</v>
      </c>
      <c r="J60" s="5">
        <v>0</v>
      </c>
      <c r="K60" s="5">
        <v>0</v>
      </c>
      <c r="L60" s="14">
        <v>1899334931</v>
      </c>
      <c r="N60" s="216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218">
        <v>0</v>
      </c>
      <c r="X60" s="29">
        <v>1899334931</v>
      </c>
      <c r="Z60" s="223">
        <v>1641055039</v>
      </c>
      <c r="AA60" s="223">
        <v>1103832436</v>
      </c>
      <c r="AB60" s="29">
        <v>591678254</v>
      </c>
      <c r="AC60" s="5">
        <v>2152821079</v>
      </c>
      <c r="AD60" s="29">
        <v>1488146980</v>
      </c>
      <c r="AE60" s="376">
        <v>825762963</v>
      </c>
      <c r="AF60" s="467">
        <v>412371238</v>
      </c>
    </row>
    <row r="61" spans="1:32" ht="18" customHeight="1">
      <c r="A61" s="473" t="s">
        <v>286</v>
      </c>
      <c r="B61" s="3" t="b">
        <v>1</v>
      </c>
      <c r="D61" s="13" t="s">
        <v>285</v>
      </c>
      <c r="E61" s="3" t="s">
        <v>258</v>
      </c>
      <c r="F61" s="23">
        <v>316</v>
      </c>
      <c r="G61" s="3" t="s">
        <v>286</v>
      </c>
      <c r="H61" s="5">
        <v>224267979</v>
      </c>
      <c r="I61" s="5">
        <v>198800</v>
      </c>
      <c r="J61" s="5">
        <v>2170382</v>
      </c>
      <c r="K61" s="5">
        <v>34756859</v>
      </c>
      <c r="L61" s="14">
        <v>261394020</v>
      </c>
      <c r="N61" s="216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218">
        <v>0</v>
      </c>
      <c r="X61" s="29">
        <v>261394020</v>
      </c>
      <c r="Z61" s="223">
        <v>233093597</v>
      </c>
      <c r="AA61" s="223">
        <v>148954706</v>
      </c>
      <c r="AB61" s="29">
        <v>42293431</v>
      </c>
      <c r="AC61" s="5">
        <v>269515934</v>
      </c>
      <c r="AD61" s="29">
        <v>219135659</v>
      </c>
      <c r="AE61" s="376">
        <v>131624343</v>
      </c>
      <c r="AF61" s="467">
        <v>64492218</v>
      </c>
    </row>
    <row r="62" spans="1:32" ht="18" customHeight="1">
      <c r="A62" s="473" t="s">
        <v>288</v>
      </c>
      <c r="B62" s="3" t="b">
        <v>1</v>
      </c>
      <c r="D62" s="13" t="s">
        <v>287</v>
      </c>
      <c r="E62" s="3" t="s">
        <v>258</v>
      </c>
      <c r="F62" s="23">
        <v>317</v>
      </c>
      <c r="G62" s="3" t="s">
        <v>288</v>
      </c>
      <c r="H62" s="5">
        <v>69587935</v>
      </c>
      <c r="I62" s="5">
        <v>0</v>
      </c>
      <c r="J62" s="5">
        <v>0</v>
      </c>
      <c r="K62" s="5">
        <v>0</v>
      </c>
      <c r="L62" s="14">
        <v>69587935</v>
      </c>
      <c r="N62" s="216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218">
        <v>0</v>
      </c>
      <c r="X62" s="29">
        <v>69587935</v>
      </c>
      <c r="Z62" s="223">
        <v>63237354</v>
      </c>
      <c r="AA62" s="223">
        <v>43397339</v>
      </c>
      <c r="AB62" s="29">
        <v>18285547</v>
      </c>
      <c r="AC62" s="5">
        <v>95049509</v>
      </c>
      <c r="AD62" s="29">
        <v>49884923</v>
      </c>
      <c r="AE62" s="376">
        <v>32326692</v>
      </c>
      <c r="AF62" s="467">
        <v>17139619</v>
      </c>
    </row>
    <row r="63" spans="1:32" ht="18" customHeight="1">
      <c r="A63" s="473" t="s">
        <v>290</v>
      </c>
      <c r="B63" s="3" t="b">
        <v>1</v>
      </c>
      <c r="D63" s="13" t="s">
        <v>289</v>
      </c>
      <c r="E63" s="3" t="s">
        <v>258</v>
      </c>
      <c r="F63" s="23">
        <v>318</v>
      </c>
      <c r="G63" s="3" t="s">
        <v>290</v>
      </c>
      <c r="H63" s="5">
        <v>8801566</v>
      </c>
      <c r="I63" s="5">
        <v>0</v>
      </c>
      <c r="J63" s="5">
        <v>0</v>
      </c>
      <c r="K63" s="5">
        <v>2296521</v>
      </c>
      <c r="L63" s="14">
        <v>11098087</v>
      </c>
      <c r="N63" s="216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218">
        <v>0</v>
      </c>
      <c r="X63" s="29">
        <v>11098087</v>
      </c>
      <c r="Z63" s="223">
        <v>9452233</v>
      </c>
      <c r="AA63" s="223">
        <v>5459185</v>
      </c>
      <c r="AB63" s="29">
        <v>2856845</v>
      </c>
      <c r="AC63" s="5">
        <v>49223609</v>
      </c>
      <c r="AD63" s="29">
        <v>28259778</v>
      </c>
      <c r="AE63" s="376">
        <v>14508224</v>
      </c>
      <c r="AF63" s="467">
        <v>5519048</v>
      </c>
    </row>
    <row r="64" spans="1:32" ht="18" customHeight="1">
      <c r="A64" s="473" t="s">
        <v>292</v>
      </c>
      <c r="B64" s="3" t="b">
        <v>1</v>
      </c>
      <c r="D64" s="13" t="s">
        <v>291</v>
      </c>
      <c r="E64" s="3" t="s">
        <v>258</v>
      </c>
      <c r="F64" s="23">
        <v>319</v>
      </c>
      <c r="G64" s="3" t="s">
        <v>292</v>
      </c>
      <c r="H64" s="5">
        <v>1047506</v>
      </c>
      <c r="I64" s="5">
        <v>5720</v>
      </c>
      <c r="J64" s="5">
        <v>0</v>
      </c>
      <c r="K64" s="5">
        <v>1029203</v>
      </c>
      <c r="L64" s="14">
        <v>2082429</v>
      </c>
      <c r="N64" s="216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218">
        <v>0</v>
      </c>
      <c r="X64" s="29">
        <v>2082429</v>
      </c>
      <c r="Z64" s="223">
        <v>1968195</v>
      </c>
      <c r="AA64" s="223">
        <v>1305214</v>
      </c>
      <c r="AB64" s="29">
        <v>573965</v>
      </c>
      <c r="AC64" s="5">
        <v>11041081</v>
      </c>
      <c r="AD64" s="29">
        <v>7347669</v>
      </c>
      <c r="AE64" s="376">
        <v>5041273</v>
      </c>
      <c r="AF64" s="467">
        <v>4234808</v>
      </c>
    </row>
    <row r="65" spans="1:32" ht="18" customHeight="1">
      <c r="A65" s="473" t="s">
        <v>294</v>
      </c>
      <c r="B65" s="3" t="b">
        <v>1</v>
      </c>
      <c r="D65" s="13" t="s">
        <v>293</v>
      </c>
      <c r="E65" s="3" t="s">
        <v>258</v>
      </c>
      <c r="F65" s="23">
        <v>320</v>
      </c>
      <c r="G65" s="3" t="s">
        <v>294</v>
      </c>
      <c r="H65" s="5">
        <v>34703319</v>
      </c>
      <c r="I65" s="5">
        <v>14471883</v>
      </c>
      <c r="J65" s="5">
        <v>618420</v>
      </c>
      <c r="K65" s="5">
        <v>12666027</v>
      </c>
      <c r="L65" s="14">
        <v>62459649</v>
      </c>
      <c r="N65" s="216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218">
        <v>0</v>
      </c>
      <c r="X65" s="29">
        <v>62459649</v>
      </c>
      <c r="Z65" s="223">
        <v>39885329</v>
      </c>
      <c r="AA65" s="223">
        <v>20539880</v>
      </c>
      <c r="AB65" s="29">
        <v>6538534</v>
      </c>
      <c r="AC65" s="5">
        <v>102832023</v>
      </c>
      <c r="AD65" s="29">
        <v>71806900</v>
      </c>
      <c r="AE65" s="376">
        <v>34049647</v>
      </c>
      <c r="AF65" s="467">
        <v>15653627</v>
      </c>
    </row>
    <row r="66" spans="1:32" ht="18" customHeight="1">
      <c r="A66" s="473" t="s">
        <v>296</v>
      </c>
      <c r="B66" s="3" t="b">
        <v>1</v>
      </c>
      <c r="D66" s="13" t="s">
        <v>295</v>
      </c>
      <c r="E66" s="3" t="s">
        <v>258</v>
      </c>
      <c r="F66" s="23">
        <v>321</v>
      </c>
      <c r="G66" s="3" t="s">
        <v>296</v>
      </c>
      <c r="H66" s="5">
        <v>9547480007</v>
      </c>
      <c r="I66" s="5">
        <v>314161839</v>
      </c>
      <c r="J66" s="5">
        <v>1811631</v>
      </c>
      <c r="K66" s="5">
        <v>188763489</v>
      </c>
      <c r="L66" s="14">
        <v>10052216966</v>
      </c>
      <c r="N66" s="216">
        <v>0</v>
      </c>
      <c r="O66" s="5">
        <v>0</v>
      </c>
      <c r="P66" s="5">
        <v>-9236031</v>
      </c>
      <c r="Q66" s="5">
        <v>0</v>
      </c>
      <c r="R66" s="5">
        <v>0</v>
      </c>
      <c r="S66" s="5">
        <v>20000000</v>
      </c>
      <c r="T66" s="5">
        <v>0</v>
      </c>
      <c r="U66" s="5">
        <v>0</v>
      </c>
      <c r="V66" s="218">
        <v>10763969</v>
      </c>
      <c r="X66" s="29">
        <v>10062980935</v>
      </c>
      <c r="Z66" s="223">
        <v>9121612337</v>
      </c>
      <c r="AA66" s="223">
        <v>5984203612</v>
      </c>
      <c r="AB66" s="29">
        <v>2670334228</v>
      </c>
      <c r="AC66" s="5">
        <v>12079400941</v>
      </c>
      <c r="AD66" s="29">
        <v>8858891402</v>
      </c>
      <c r="AE66" s="376">
        <v>5959592616</v>
      </c>
      <c r="AF66" s="467">
        <v>3017605044</v>
      </c>
    </row>
    <row r="67" spans="1:32" ht="18" customHeight="1">
      <c r="A67" s="473" t="s">
        <v>298</v>
      </c>
      <c r="B67" s="3" t="b">
        <v>1</v>
      </c>
      <c r="D67" s="13" t="s">
        <v>297</v>
      </c>
      <c r="E67" s="3" t="s">
        <v>258</v>
      </c>
      <c r="F67" s="23">
        <v>322</v>
      </c>
      <c r="G67" s="3" t="s">
        <v>298</v>
      </c>
      <c r="H67" s="5">
        <v>2706809696</v>
      </c>
      <c r="I67" s="5">
        <v>0</v>
      </c>
      <c r="J67" s="5">
        <v>0</v>
      </c>
      <c r="K67" s="5">
        <v>46653988</v>
      </c>
      <c r="L67" s="14">
        <v>2753463684</v>
      </c>
      <c r="N67" s="216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218">
        <v>0</v>
      </c>
      <c r="X67" s="29">
        <v>2753463684</v>
      </c>
      <c r="Z67" s="223">
        <v>2442857860</v>
      </c>
      <c r="AA67" s="223">
        <v>1279182366</v>
      </c>
      <c r="AB67" s="29">
        <v>686706965</v>
      </c>
      <c r="AC67" s="5">
        <v>7507088261</v>
      </c>
      <c r="AD67" s="29">
        <v>6152327444</v>
      </c>
      <c r="AE67" s="376">
        <v>3749396710</v>
      </c>
      <c r="AF67" s="467">
        <v>1263816934</v>
      </c>
    </row>
    <row r="68" spans="1:32" ht="18" customHeight="1">
      <c r="A68" s="473" t="s">
        <v>300</v>
      </c>
      <c r="B68" s="3" t="b">
        <v>1</v>
      </c>
      <c r="D68" s="13" t="s">
        <v>299</v>
      </c>
      <c r="E68" s="3" t="s">
        <v>258</v>
      </c>
      <c r="F68" s="23">
        <v>323</v>
      </c>
      <c r="G68" s="3" t="s">
        <v>300</v>
      </c>
      <c r="H68" s="5">
        <v>114333525</v>
      </c>
      <c r="I68" s="5">
        <v>0</v>
      </c>
      <c r="J68" s="5">
        <v>0</v>
      </c>
      <c r="K68" s="5">
        <v>0</v>
      </c>
      <c r="L68" s="14">
        <v>114333525</v>
      </c>
      <c r="N68" s="216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218">
        <v>0</v>
      </c>
      <c r="X68" s="29">
        <v>114333525</v>
      </c>
      <c r="Z68" s="223">
        <v>106399836</v>
      </c>
      <c r="AA68" s="223">
        <v>80113514</v>
      </c>
      <c r="AB68" s="29">
        <v>10664113</v>
      </c>
      <c r="AC68" s="5">
        <v>165746244</v>
      </c>
      <c r="AD68" s="29">
        <v>150244488</v>
      </c>
      <c r="AE68" s="376">
        <v>108328052</v>
      </c>
      <c r="AF68" s="467">
        <v>51379916</v>
      </c>
    </row>
    <row r="69" spans="1:32" ht="18" customHeight="1">
      <c r="A69" s="473" t="s">
        <v>302</v>
      </c>
      <c r="B69" s="3" t="b">
        <v>1</v>
      </c>
      <c r="D69" s="13" t="s">
        <v>301</v>
      </c>
      <c r="E69" s="3" t="s">
        <v>258</v>
      </c>
      <c r="F69" s="23">
        <v>324</v>
      </c>
      <c r="G69" s="3" t="s">
        <v>302</v>
      </c>
      <c r="H69" s="5">
        <v>-222716469</v>
      </c>
      <c r="I69" s="5">
        <v>0</v>
      </c>
      <c r="J69" s="5">
        <v>0</v>
      </c>
      <c r="K69" s="5">
        <v>0</v>
      </c>
      <c r="L69" s="14">
        <v>-222716469</v>
      </c>
      <c r="N69" s="216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218">
        <v>0</v>
      </c>
      <c r="X69" s="29">
        <v>-222716469</v>
      </c>
      <c r="Z69" s="223">
        <v>-222716469</v>
      </c>
      <c r="AA69" s="223">
        <v>-207056800</v>
      </c>
      <c r="AB69" s="29">
        <v>-79674763</v>
      </c>
      <c r="AC69" s="5">
        <v>-28983221</v>
      </c>
      <c r="AD69" s="29">
        <v>214584279</v>
      </c>
      <c r="AE69" s="376">
        <v>34487985</v>
      </c>
      <c r="AF69" s="467">
        <v>-30603133</v>
      </c>
    </row>
    <row r="70" spans="1:32" ht="18" customHeight="1">
      <c r="A70" s="473" t="s">
        <v>304</v>
      </c>
      <c r="B70" s="3" t="b">
        <v>1</v>
      </c>
      <c r="D70" s="13" t="s">
        <v>303</v>
      </c>
      <c r="E70" s="3" t="s">
        <v>258</v>
      </c>
      <c r="F70" s="23">
        <v>325</v>
      </c>
      <c r="G70" s="3" t="s">
        <v>304</v>
      </c>
      <c r="H70" s="5">
        <v>132324850</v>
      </c>
      <c r="I70" s="5">
        <v>0</v>
      </c>
      <c r="J70" s="5">
        <v>0</v>
      </c>
      <c r="K70" s="5">
        <v>0</v>
      </c>
      <c r="L70" s="14">
        <v>132324850</v>
      </c>
      <c r="N70" s="216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218">
        <v>0</v>
      </c>
      <c r="X70" s="29">
        <v>132324850</v>
      </c>
      <c r="Z70" s="223">
        <v>114113147</v>
      </c>
      <c r="AA70" s="223">
        <v>71766395</v>
      </c>
      <c r="AB70" s="29">
        <v>24243242</v>
      </c>
      <c r="AC70" s="5">
        <v>211007300</v>
      </c>
      <c r="AD70" s="29">
        <v>159787089</v>
      </c>
      <c r="AE70" s="376">
        <v>111191022</v>
      </c>
      <c r="AF70" s="467">
        <v>50338232</v>
      </c>
    </row>
    <row r="71" spans="1:32" ht="18" customHeight="1">
      <c r="A71" s="473" t="s">
        <v>306</v>
      </c>
      <c r="B71" s="3" t="b">
        <v>1</v>
      </c>
      <c r="D71" s="13" t="s">
        <v>305</v>
      </c>
      <c r="E71" s="3" t="s">
        <v>258</v>
      </c>
      <c r="F71" s="23">
        <v>327</v>
      </c>
      <c r="G71" s="3" t="s">
        <v>306</v>
      </c>
      <c r="H71" s="5">
        <v>63117543</v>
      </c>
      <c r="I71" s="5">
        <v>0</v>
      </c>
      <c r="J71" s="5">
        <v>218277</v>
      </c>
      <c r="K71" s="5">
        <v>3440837</v>
      </c>
      <c r="L71" s="14">
        <v>66776657</v>
      </c>
      <c r="N71" s="216">
        <v>0</v>
      </c>
      <c r="O71" s="5">
        <v>0</v>
      </c>
      <c r="P71" s="5">
        <v>-2066780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218">
        <v>-2066780</v>
      </c>
      <c r="X71" s="29">
        <v>64709877</v>
      </c>
      <c r="Z71" s="223">
        <v>54522375</v>
      </c>
      <c r="AA71" s="223">
        <v>41251805</v>
      </c>
      <c r="AB71" s="29">
        <v>22392964</v>
      </c>
      <c r="AC71" s="5">
        <v>245219711</v>
      </c>
      <c r="AD71" s="29">
        <v>214585686</v>
      </c>
      <c r="AE71" s="376">
        <v>201873599</v>
      </c>
      <c r="AF71" s="467">
        <v>100147086</v>
      </c>
    </row>
    <row r="72" spans="1:32" ht="18" customHeight="1">
      <c r="A72" s="473" t="s">
        <v>308</v>
      </c>
      <c r="B72" s="3" t="b">
        <v>1</v>
      </c>
      <c r="D72" s="13" t="s">
        <v>307</v>
      </c>
      <c r="E72" s="3" t="s">
        <v>258</v>
      </c>
      <c r="F72" s="23">
        <v>328</v>
      </c>
      <c r="G72" s="3" t="s">
        <v>308</v>
      </c>
      <c r="H72" s="5">
        <v>525172831</v>
      </c>
      <c r="I72" s="5">
        <v>0</v>
      </c>
      <c r="J72" s="5">
        <v>0</v>
      </c>
      <c r="K72" s="5">
        <v>1787876</v>
      </c>
      <c r="L72" s="14">
        <v>526960707</v>
      </c>
      <c r="N72" s="216">
        <v>0</v>
      </c>
      <c r="O72" s="5">
        <v>0</v>
      </c>
      <c r="P72" s="5">
        <v>-27962400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218">
        <v>-27962400</v>
      </c>
      <c r="X72" s="29">
        <v>498998307</v>
      </c>
      <c r="Z72" s="223">
        <v>457240570</v>
      </c>
      <c r="AA72" s="223">
        <v>335793792</v>
      </c>
      <c r="AB72" s="29">
        <v>160624568</v>
      </c>
      <c r="AC72" s="5">
        <v>560183581</v>
      </c>
      <c r="AD72" s="29">
        <v>438176490</v>
      </c>
      <c r="AE72" s="376">
        <v>295202558</v>
      </c>
      <c r="AF72" s="467">
        <v>183553368</v>
      </c>
    </row>
    <row r="73" spans="1:32" ht="18" customHeight="1">
      <c r="A73" s="473" t="s">
        <v>310</v>
      </c>
      <c r="B73" s="3" t="b">
        <v>1</v>
      </c>
      <c r="D73" s="13" t="s">
        <v>309</v>
      </c>
      <c r="E73" s="3" t="s">
        <v>258</v>
      </c>
      <c r="F73" s="23">
        <v>331</v>
      </c>
      <c r="G73" s="3" t="s">
        <v>310</v>
      </c>
      <c r="H73" s="5">
        <v>6700540</v>
      </c>
      <c r="I73" s="5">
        <v>0</v>
      </c>
      <c r="J73" s="5">
        <v>0</v>
      </c>
      <c r="K73" s="5">
        <v>0</v>
      </c>
      <c r="L73" s="14">
        <v>6700540</v>
      </c>
      <c r="N73" s="216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218">
        <v>0</v>
      </c>
      <c r="X73" s="29">
        <v>6700540</v>
      </c>
      <c r="Z73" s="223">
        <v>6700540</v>
      </c>
      <c r="AA73" s="223">
        <v>4426025</v>
      </c>
      <c r="AB73" s="29">
        <v>726466</v>
      </c>
      <c r="AC73" s="5">
        <v>15816486</v>
      </c>
      <c r="AD73" s="29">
        <v>6083829</v>
      </c>
      <c r="AE73" s="376">
        <v>4221136</v>
      </c>
      <c r="AF73" s="467">
        <v>2110570</v>
      </c>
    </row>
    <row r="74" spans="1:32" ht="18" customHeight="1">
      <c r="A74" s="473" t="s">
        <v>312</v>
      </c>
      <c r="B74" s="3" t="b">
        <v>1</v>
      </c>
      <c r="D74" s="13" t="s">
        <v>311</v>
      </c>
      <c r="E74" s="3" t="s">
        <v>258</v>
      </c>
      <c r="F74" s="23">
        <v>329</v>
      </c>
      <c r="G74" s="3" t="s">
        <v>312</v>
      </c>
      <c r="H74" s="5">
        <v>801618670</v>
      </c>
      <c r="I74" s="5">
        <v>0</v>
      </c>
      <c r="J74" s="5">
        <v>250317</v>
      </c>
      <c r="K74" s="5">
        <v>88988120</v>
      </c>
      <c r="L74" s="14">
        <v>890857107</v>
      </c>
      <c r="N74" s="216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218">
        <v>0</v>
      </c>
      <c r="X74" s="29">
        <v>890857107</v>
      </c>
      <c r="Z74" s="223">
        <v>810987117</v>
      </c>
      <c r="AA74" s="223">
        <v>554804157</v>
      </c>
      <c r="AB74" s="29">
        <v>247736288</v>
      </c>
      <c r="AC74" s="5">
        <v>1190766507</v>
      </c>
      <c r="AD74" s="29">
        <v>820021869</v>
      </c>
      <c r="AE74" s="376">
        <v>558149406</v>
      </c>
      <c r="AF74" s="467">
        <v>129742931</v>
      </c>
    </row>
    <row r="75" spans="1:32" ht="18" customHeight="1">
      <c r="A75" s="5"/>
      <c r="D75" s="11"/>
      <c r="E75" s="481"/>
      <c r="F75" s="478"/>
      <c r="G75" s="481" t="s">
        <v>313</v>
      </c>
      <c r="H75" s="260">
        <v>6519616308</v>
      </c>
      <c r="I75" s="260">
        <v>-272588831</v>
      </c>
      <c r="J75" s="260">
        <v>-257460877</v>
      </c>
      <c r="K75" s="260">
        <v>-265740606</v>
      </c>
      <c r="L75" s="256">
        <v>5723825994</v>
      </c>
      <c r="N75" s="340">
        <v>0</v>
      </c>
      <c r="O75" s="260">
        <v>0</v>
      </c>
      <c r="P75" s="260">
        <v>0</v>
      </c>
      <c r="Q75" s="260">
        <v>-16226007</v>
      </c>
      <c r="R75" s="260">
        <v>0</v>
      </c>
      <c r="S75" s="260">
        <v>-20000000</v>
      </c>
      <c r="T75" s="260">
        <v>0</v>
      </c>
      <c r="U75" s="260">
        <v>0</v>
      </c>
      <c r="V75" s="341">
        <v>-36226007</v>
      </c>
      <c r="X75" s="26">
        <v>5687599987</v>
      </c>
      <c r="Z75" s="255">
        <v>4713886523</v>
      </c>
      <c r="AA75" s="255">
        <v>2768397576</v>
      </c>
      <c r="AB75" s="26">
        <v>1057169849</v>
      </c>
      <c r="AC75" s="260">
        <v>-11888921989</v>
      </c>
      <c r="AD75" s="26">
        <v>-9621631444</v>
      </c>
      <c r="AE75" s="26">
        <v>-5669988814</v>
      </c>
      <c r="AF75" s="470">
        <v>-1701091704</v>
      </c>
    </row>
    <row r="76" spans="1:32" ht="18" customHeight="1">
      <c r="A76" s="5"/>
      <c r="D76" s="12"/>
      <c r="E76" s="482"/>
      <c r="F76" s="483"/>
      <c r="G76" s="482" t="s">
        <v>314</v>
      </c>
      <c r="H76" s="261">
        <v>3412327500</v>
      </c>
      <c r="I76" s="261">
        <v>1451183</v>
      </c>
      <c r="J76" s="261">
        <v>5859209</v>
      </c>
      <c r="K76" s="261">
        <v>15671654</v>
      </c>
      <c r="L76" s="333">
        <v>3435309546</v>
      </c>
      <c r="N76" s="342">
        <v>0</v>
      </c>
      <c r="O76" s="261">
        <v>0</v>
      </c>
      <c r="P76" s="261">
        <v>-35597242</v>
      </c>
      <c r="Q76" s="261">
        <v>0</v>
      </c>
      <c r="R76" s="261">
        <v>0</v>
      </c>
      <c r="S76" s="261">
        <v>0</v>
      </c>
      <c r="T76" s="261">
        <v>0</v>
      </c>
      <c r="U76" s="261">
        <v>0</v>
      </c>
      <c r="V76" s="343">
        <v>-35597242</v>
      </c>
      <c r="X76" s="27">
        <v>3399712304</v>
      </c>
      <c r="Z76" s="347">
        <v>3469721018</v>
      </c>
      <c r="AA76" s="347">
        <v>1487921929</v>
      </c>
      <c r="AB76" s="27">
        <v>1465657078</v>
      </c>
      <c r="AC76" s="261">
        <v>1036386899</v>
      </c>
      <c r="AD76" s="27">
        <v>953802663</v>
      </c>
      <c r="AE76" s="27">
        <v>1407995157</v>
      </c>
      <c r="AF76" s="471">
        <v>1748628886</v>
      </c>
    </row>
    <row r="77" spans="1:32" ht="18" customHeight="1">
      <c r="A77" s="5"/>
      <c r="D77" s="13" t="s">
        <v>315</v>
      </c>
      <c r="E77" s="3" t="s">
        <v>314</v>
      </c>
      <c r="F77" s="23">
        <v>401</v>
      </c>
      <c r="G77" s="3" t="s">
        <v>316</v>
      </c>
      <c r="H77" s="5">
        <v>299118298</v>
      </c>
      <c r="I77" s="5">
        <v>1451183</v>
      </c>
      <c r="J77" s="5">
        <v>0</v>
      </c>
      <c r="K77" s="5">
        <v>48953</v>
      </c>
      <c r="L77" s="14">
        <v>300618434</v>
      </c>
      <c r="N77" s="216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218">
        <v>0</v>
      </c>
      <c r="X77" s="29">
        <v>300618434</v>
      </c>
      <c r="Z77" s="223">
        <v>283612605</v>
      </c>
      <c r="AA77" s="223">
        <v>78791227</v>
      </c>
      <c r="AB77" s="29">
        <v>31229731</v>
      </c>
      <c r="AC77" s="5">
        <v>545896904</v>
      </c>
      <c r="AD77" s="29">
        <v>463606116</v>
      </c>
      <c r="AE77" s="376">
        <v>353801380</v>
      </c>
      <c r="AF77" s="467">
        <v>191380673</v>
      </c>
    </row>
    <row r="78" spans="1:32" ht="18" customHeight="1">
      <c r="A78" s="5"/>
      <c r="D78" s="13" t="s">
        <v>317</v>
      </c>
      <c r="E78" s="3" t="s">
        <v>314</v>
      </c>
      <c r="F78" s="23">
        <v>401</v>
      </c>
      <c r="G78" s="3" t="s">
        <v>318</v>
      </c>
      <c r="H78" s="5">
        <v>181641426</v>
      </c>
      <c r="I78" s="5">
        <v>0</v>
      </c>
      <c r="J78" s="5">
        <v>37953</v>
      </c>
      <c r="K78" s="5">
        <v>13600148</v>
      </c>
      <c r="L78" s="14">
        <v>195279527</v>
      </c>
      <c r="N78" s="216">
        <v>0</v>
      </c>
      <c r="O78" s="5">
        <v>0</v>
      </c>
      <c r="P78" s="5">
        <v>-35597242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218">
        <v>-35597242</v>
      </c>
      <c r="X78" s="29">
        <v>159682285</v>
      </c>
      <c r="Z78" s="223">
        <v>87687240</v>
      </c>
      <c r="AA78" s="223">
        <v>78508597</v>
      </c>
      <c r="AB78" s="29">
        <v>31449627</v>
      </c>
      <c r="AC78" s="5">
        <v>49582851</v>
      </c>
      <c r="AD78" s="29">
        <v>36257676</v>
      </c>
      <c r="AE78" s="376">
        <v>55186449</v>
      </c>
      <c r="AF78" s="467">
        <v>45325072</v>
      </c>
    </row>
    <row r="79" spans="1:32" ht="18" customHeight="1">
      <c r="A79" s="5"/>
      <c r="D79" s="13" t="s">
        <v>319</v>
      </c>
      <c r="E79" s="3" t="s">
        <v>314</v>
      </c>
      <c r="F79" s="23">
        <v>402</v>
      </c>
      <c r="G79" s="3" t="s">
        <v>320</v>
      </c>
      <c r="H79" s="5">
        <v>1401120000</v>
      </c>
      <c r="I79" s="5">
        <v>0</v>
      </c>
      <c r="J79" s="5">
        <v>0</v>
      </c>
      <c r="K79" s="5">
        <v>0</v>
      </c>
      <c r="L79" s="14">
        <v>1401120000</v>
      </c>
      <c r="N79" s="216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218">
        <v>0</v>
      </c>
      <c r="X79" s="29">
        <v>1401120000</v>
      </c>
      <c r="Z79" s="223">
        <v>655600000</v>
      </c>
      <c r="AA79" s="223">
        <v>0</v>
      </c>
      <c r="AB79" s="29">
        <v>0</v>
      </c>
      <c r="AC79" s="5">
        <v>0</v>
      </c>
      <c r="AD79" s="29">
        <v>0</v>
      </c>
      <c r="AE79" s="376">
        <v>0</v>
      </c>
      <c r="AF79" s="467">
        <v>0</v>
      </c>
    </row>
    <row r="80" spans="1:32" ht="18" customHeight="1">
      <c r="A80" s="5"/>
      <c r="D80" s="13" t="s">
        <v>321</v>
      </c>
      <c r="E80" s="3" t="s">
        <v>314</v>
      </c>
      <c r="F80" s="23">
        <v>402</v>
      </c>
      <c r="G80" s="3" t="s">
        <v>322</v>
      </c>
      <c r="H80" s="5">
        <v>179130520</v>
      </c>
      <c r="I80" s="5">
        <v>0</v>
      </c>
      <c r="J80" s="5">
        <v>5821256</v>
      </c>
      <c r="K80" s="5">
        <v>2022553</v>
      </c>
      <c r="L80" s="14">
        <v>186974329</v>
      </c>
      <c r="N80" s="216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218">
        <v>0</v>
      </c>
      <c r="X80" s="29">
        <v>186974329</v>
      </c>
      <c r="Z80" s="223">
        <v>171411160</v>
      </c>
      <c r="AA80" s="223">
        <v>74435482</v>
      </c>
      <c r="AB80" s="29">
        <v>32680965</v>
      </c>
      <c r="AC80" s="5">
        <v>279732347</v>
      </c>
      <c r="AD80" s="29">
        <v>200624250</v>
      </c>
      <c r="AE80" s="376">
        <v>202025919</v>
      </c>
      <c r="AF80" s="467">
        <v>92741792</v>
      </c>
    </row>
    <row r="81" spans="1:32" ht="18" customHeight="1">
      <c r="A81" s="5"/>
      <c r="D81" s="13" t="s">
        <v>323</v>
      </c>
      <c r="E81" s="3" t="s">
        <v>314</v>
      </c>
      <c r="F81" s="23">
        <v>402</v>
      </c>
      <c r="G81" s="3" t="s">
        <v>324</v>
      </c>
      <c r="H81" s="5">
        <v>172776857</v>
      </c>
      <c r="I81" s="5">
        <v>0</v>
      </c>
      <c r="J81" s="5">
        <v>0</v>
      </c>
      <c r="K81" s="5">
        <v>0</v>
      </c>
      <c r="L81" s="14">
        <v>172776857</v>
      </c>
      <c r="N81" s="216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218">
        <v>0</v>
      </c>
      <c r="X81" s="29">
        <v>172776857</v>
      </c>
      <c r="Z81" s="223">
        <v>136991402</v>
      </c>
      <c r="AA81" s="223">
        <v>62561617</v>
      </c>
      <c r="AB81" s="29">
        <v>11285102</v>
      </c>
      <c r="AC81" s="5">
        <v>112196721</v>
      </c>
      <c r="AD81" s="29">
        <v>108781532</v>
      </c>
      <c r="AE81" s="376">
        <v>83325137</v>
      </c>
      <c r="AF81" s="467">
        <v>21134887</v>
      </c>
    </row>
    <row r="82" spans="1:32" ht="18" customHeight="1">
      <c r="A82" s="5"/>
      <c r="D82" s="13" t="s">
        <v>325</v>
      </c>
      <c r="E82" s="3" t="s">
        <v>314</v>
      </c>
      <c r="F82" s="23">
        <v>403</v>
      </c>
      <c r="G82" s="3" t="s">
        <v>326</v>
      </c>
      <c r="H82" s="5">
        <v>1171741648</v>
      </c>
      <c r="I82" s="5">
        <v>0</v>
      </c>
      <c r="J82" s="5">
        <v>0</v>
      </c>
      <c r="K82" s="5">
        <v>0</v>
      </c>
      <c r="L82" s="14">
        <v>1171741648</v>
      </c>
      <c r="N82" s="216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218">
        <v>0</v>
      </c>
      <c r="X82" s="29">
        <v>1171741648</v>
      </c>
      <c r="Z82" s="223">
        <v>2131908328</v>
      </c>
      <c r="AA82" s="223">
        <v>1193376796</v>
      </c>
      <c r="AB82" s="29">
        <v>1358765545</v>
      </c>
      <c r="AC82" s="5">
        <v>-9390546</v>
      </c>
      <c r="AD82" s="29">
        <v>137282355</v>
      </c>
      <c r="AE82" s="376">
        <v>711020905</v>
      </c>
      <c r="AF82" s="467">
        <v>1396746133</v>
      </c>
    </row>
    <row r="83" spans="1:32" ht="18" customHeight="1">
      <c r="A83" s="5"/>
      <c r="D83" s="13" t="s">
        <v>327</v>
      </c>
      <c r="E83" s="3" t="s">
        <v>314</v>
      </c>
      <c r="F83" s="23">
        <v>403</v>
      </c>
      <c r="G83" s="3" t="s">
        <v>328</v>
      </c>
      <c r="H83" s="5">
        <v>6798751</v>
      </c>
      <c r="I83" s="5">
        <v>0</v>
      </c>
      <c r="J83" s="5">
        <v>0</v>
      </c>
      <c r="K83" s="5">
        <v>0</v>
      </c>
      <c r="L83" s="14">
        <v>6798751</v>
      </c>
      <c r="N83" s="216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218">
        <v>0</v>
      </c>
      <c r="X83" s="29">
        <v>6798751</v>
      </c>
      <c r="Z83" s="223">
        <v>2510283</v>
      </c>
      <c r="AA83" s="223">
        <v>248210</v>
      </c>
      <c r="AB83" s="29">
        <v>246108</v>
      </c>
      <c r="AC83" s="5">
        <v>58368622</v>
      </c>
      <c r="AD83" s="29">
        <v>7250734</v>
      </c>
      <c r="AE83" s="376">
        <v>2635367</v>
      </c>
      <c r="AF83" s="467">
        <v>1300329</v>
      </c>
    </row>
    <row r="84" spans="1:32" ht="18" customHeight="1">
      <c r="A84" s="5"/>
      <c r="D84" s="13" t="s">
        <v>329</v>
      </c>
      <c r="E84" s="3" t="s">
        <v>314</v>
      </c>
      <c r="F84" s="23">
        <v>404</v>
      </c>
      <c r="G84" s="3" t="s">
        <v>330</v>
      </c>
      <c r="H84" s="5">
        <v>0</v>
      </c>
      <c r="I84" s="5">
        <v>0</v>
      </c>
      <c r="J84" s="5">
        <v>0</v>
      </c>
      <c r="K84" s="5">
        <v>0</v>
      </c>
      <c r="L84" s="14">
        <v>0</v>
      </c>
      <c r="N84" s="216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218">
        <v>0</v>
      </c>
      <c r="X84" s="29">
        <v>0</v>
      </c>
      <c r="Z84" s="223">
        <v>0</v>
      </c>
      <c r="AA84" s="223">
        <v>0</v>
      </c>
      <c r="AB84" s="29">
        <v>0</v>
      </c>
      <c r="AC84" s="5">
        <v>0</v>
      </c>
      <c r="AD84" s="29">
        <v>0</v>
      </c>
      <c r="AE84" s="376">
        <v>0</v>
      </c>
      <c r="AF84" s="467">
        <v>0</v>
      </c>
    </row>
    <row r="85" spans="1:32" ht="18" customHeight="1">
      <c r="A85" s="5"/>
      <c r="D85" s="13" t="s">
        <v>331</v>
      </c>
      <c r="E85" s="3" t="s">
        <v>314</v>
      </c>
      <c r="F85" s="23">
        <v>405</v>
      </c>
      <c r="G85" s="3" t="s">
        <v>332</v>
      </c>
      <c r="H85" s="5">
        <v>0</v>
      </c>
      <c r="I85" s="5">
        <v>0</v>
      </c>
      <c r="J85" s="5">
        <v>0</v>
      </c>
      <c r="K85" s="5">
        <v>0</v>
      </c>
      <c r="L85" s="14">
        <v>0</v>
      </c>
      <c r="N85" s="216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218">
        <v>0</v>
      </c>
      <c r="X85" s="29">
        <v>0</v>
      </c>
      <c r="Z85" s="223">
        <v>0</v>
      </c>
      <c r="AA85" s="223">
        <v>0</v>
      </c>
      <c r="AB85" s="29">
        <v>0</v>
      </c>
      <c r="AC85" s="5">
        <v>0</v>
      </c>
      <c r="AD85" s="29">
        <v>0</v>
      </c>
      <c r="AE85" s="376">
        <v>0</v>
      </c>
      <c r="AF85" s="467">
        <v>0</v>
      </c>
    </row>
    <row r="86" spans="1:32" ht="18" customHeight="1">
      <c r="A86" s="5"/>
      <c r="D86" s="12"/>
      <c r="E86" s="482"/>
      <c r="F86" s="483"/>
      <c r="G86" s="482" t="s">
        <v>333</v>
      </c>
      <c r="H86" s="261">
        <v>8392806866</v>
      </c>
      <c r="I86" s="261">
        <v>35105487</v>
      </c>
      <c r="J86" s="261">
        <v>11356103</v>
      </c>
      <c r="K86" s="261">
        <v>50805326</v>
      </c>
      <c r="L86" s="333">
        <v>8490073782</v>
      </c>
      <c r="N86" s="342">
        <v>0</v>
      </c>
      <c r="O86" s="261">
        <v>0</v>
      </c>
      <c r="P86" s="261">
        <v>-35597242</v>
      </c>
      <c r="Q86" s="261">
        <v>0</v>
      </c>
      <c r="R86" s="261">
        <v>0</v>
      </c>
      <c r="S86" s="261">
        <v>0</v>
      </c>
      <c r="T86" s="261">
        <v>0</v>
      </c>
      <c r="U86" s="261">
        <v>0</v>
      </c>
      <c r="V86" s="343">
        <v>-35597242</v>
      </c>
      <c r="X86" s="27">
        <v>8454476540</v>
      </c>
      <c r="Z86" s="347">
        <v>8364900992</v>
      </c>
      <c r="AA86" s="347">
        <v>18947959777</v>
      </c>
      <c r="AB86" s="27">
        <v>241245268</v>
      </c>
      <c r="AC86" s="261">
        <v>3900339065</v>
      </c>
      <c r="AD86" s="27">
        <v>436783544</v>
      </c>
      <c r="AE86" s="27">
        <v>197830038</v>
      </c>
      <c r="AF86" s="471">
        <v>123547107</v>
      </c>
    </row>
    <row r="87" spans="1:32" ht="18" customHeight="1">
      <c r="A87" s="5"/>
      <c r="D87" s="13" t="s">
        <v>334</v>
      </c>
      <c r="E87" s="3" t="s">
        <v>333</v>
      </c>
      <c r="F87" s="23">
        <v>501</v>
      </c>
      <c r="G87" s="3" t="s">
        <v>335</v>
      </c>
      <c r="H87" s="5">
        <v>0</v>
      </c>
      <c r="I87" s="5">
        <v>0</v>
      </c>
      <c r="J87" s="5">
        <v>0</v>
      </c>
      <c r="K87" s="5">
        <v>0</v>
      </c>
      <c r="L87" s="14">
        <v>0</v>
      </c>
      <c r="N87" s="216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218">
        <v>0</v>
      </c>
      <c r="X87" s="29">
        <v>0</v>
      </c>
      <c r="Z87" s="223">
        <v>0</v>
      </c>
      <c r="AA87" s="223">
        <v>0</v>
      </c>
      <c r="AB87" s="29">
        <v>0</v>
      </c>
      <c r="AC87" s="5">
        <v>0</v>
      </c>
      <c r="AD87" s="29">
        <v>0</v>
      </c>
      <c r="AE87" s="376">
        <v>0</v>
      </c>
      <c r="AF87" s="467">
        <v>0</v>
      </c>
    </row>
    <row r="88" spans="1:32" ht="18" customHeight="1">
      <c r="A88" s="5"/>
      <c r="D88" s="13" t="s">
        <v>336</v>
      </c>
      <c r="E88" s="3" t="s">
        <v>333</v>
      </c>
      <c r="F88" s="23">
        <v>501</v>
      </c>
      <c r="G88" s="3" t="s">
        <v>337</v>
      </c>
      <c r="H88" s="5">
        <v>0</v>
      </c>
      <c r="I88" s="5">
        <v>32326028</v>
      </c>
      <c r="J88" s="5">
        <v>0</v>
      </c>
      <c r="K88" s="5">
        <v>3271214</v>
      </c>
      <c r="L88" s="14">
        <v>35597242</v>
      </c>
      <c r="N88" s="216">
        <v>0</v>
      </c>
      <c r="O88" s="5">
        <v>0</v>
      </c>
      <c r="P88" s="5">
        <v>-35597242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218">
        <v>-35597242</v>
      </c>
      <c r="X88" s="29">
        <v>0</v>
      </c>
      <c r="Z88" s="223">
        <v>0</v>
      </c>
      <c r="AA88" s="223">
        <v>0</v>
      </c>
      <c r="AB88" s="29">
        <v>0</v>
      </c>
      <c r="AC88" s="5">
        <v>0</v>
      </c>
      <c r="AD88" s="29">
        <v>341958</v>
      </c>
      <c r="AE88" s="376">
        <v>290808</v>
      </c>
      <c r="AF88" s="467">
        <v>145464</v>
      </c>
    </row>
    <row r="89" spans="1:32" ht="18" customHeight="1">
      <c r="A89" s="5"/>
      <c r="D89" s="13" t="s">
        <v>338</v>
      </c>
      <c r="E89" s="3" t="s">
        <v>333</v>
      </c>
      <c r="F89" s="23">
        <v>505</v>
      </c>
      <c r="G89" s="3" t="s">
        <v>339</v>
      </c>
      <c r="H89" s="5">
        <v>210157033</v>
      </c>
      <c r="I89" s="5">
        <v>2779459</v>
      </c>
      <c r="J89" s="5">
        <v>1060023</v>
      </c>
      <c r="K89" s="5">
        <v>40638232</v>
      </c>
      <c r="L89" s="14">
        <v>254634747</v>
      </c>
      <c r="N89" s="216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218">
        <v>0</v>
      </c>
      <c r="X89" s="29">
        <v>254634747</v>
      </c>
      <c r="Z89" s="223">
        <v>230445961</v>
      </c>
      <c r="AA89" s="223">
        <v>155924169</v>
      </c>
      <c r="AB89" s="29">
        <v>83985271</v>
      </c>
      <c r="AC89" s="5">
        <v>172075657</v>
      </c>
      <c r="AD89" s="29">
        <v>124938956</v>
      </c>
      <c r="AE89" s="376">
        <v>74217783</v>
      </c>
      <c r="AF89" s="467">
        <v>40708998</v>
      </c>
    </row>
    <row r="90" spans="1:32" ht="18" customHeight="1">
      <c r="A90" s="5"/>
      <c r="D90" s="31" t="s">
        <v>1544</v>
      </c>
      <c r="E90" s="3" t="s">
        <v>333</v>
      </c>
      <c r="F90" s="23">
        <v>501</v>
      </c>
      <c r="G90" s="3" t="s">
        <v>387</v>
      </c>
      <c r="H90" s="5">
        <v>0</v>
      </c>
      <c r="I90" s="5">
        <v>0</v>
      </c>
      <c r="J90" s="5">
        <v>0</v>
      </c>
      <c r="K90" s="5">
        <v>0</v>
      </c>
      <c r="L90" s="14">
        <v>0</v>
      </c>
      <c r="N90" s="216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218">
        <v>0</v>
      </c>
      <c r="X90" s="29">
        <v>0</v>
      </c>
      <c r="Z90" s="223">
        <v>0</v>
      </c>
      <c r="AA90" s="223">
        <v>0</v>
      </c>
      <c r="AB90" s="29">
        <v>0</v>
      </c>
      <c r="AC90" s="5">
        <v>0</v>
      </c>
      <c r="AD90" s="29">
        <v>0</v>
      </c>
      <c r="AE90" s="376">
        <v>0</v>
      </c>
      <c r="AF90" s="467">
        <v>0</v>
      </c>
    </row>
    <row r="91" spans="1:32" ht="18" customHeight="1">
      <c r="A91" s="5"/>
      <c r="D91" s="13" t="s">
        <v>340</v>
      </c>
      <c r="E91" s="3" t="s">
        <v>333</v>
      </c>
      <c r="F91" s="23">
        <v>502</v>
      </c>
      <c r="G91" s="3" t="s">
        <v>341</v>
      </c>
      <c r="H91" s="5">
        <v>54344969</v>
      </c>
      <c r="I91" s="5">
        <v>0</v>
      </c>
      <c r="J91" s="5">
        <v>10296080</v>
      </c>
      <c r="K91" s="5">
        <v>6895880</v>
      </c>
      <c r="L91" s="14">
        <v>71536929</v>
      </c>
      <c r="N91" s="216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218">
        <v>0</v>
      </c>
      <c r="X91" s="29">
        <v>71536929</v>
      </c>
      <c r="Z91" s="223">
        <v>66976250</v>
      </c>
      <c r="AA91" s="223">
        <v>62120392</v>
      </c>
      <c r="AB91" s="29">
        <v>39532259</v>
      </c>
      <c r="AC91" s="5">
        <v>449020504</v>
      </c>
      <c r="AD91" s="29">
        <v>125948871</v>
      </c>
      <c r="AE91" s="376">
        <v>58129472</v>
      </c>
      <c r="AF91" s="467">
        <v>15345338</v>
      </c>
    </row>
    <row r="92" spans="1:32" ht="18" customHeight="1">
      <c r="A92" s="5"/>
      <c r="D92" s="13" t="s">
        <v>342</v>
      </c>
      <c r="E92" s="3" t="s">
        <v>333</v>
      </c>
      <c r="F92" s="23">
        <v>502</v>
      </c>
      <c r="G92" s="3" t="s">
        <v>343</v>
      </c>
      <c r="H92" s="5">
        <v>70449580</v>
      </c>
      <c r="I92" s="5">
        <v>0</v>
      </c>
      <c r="J92" s="5">
        <v>0</v>
      </c>
      <c r="K92" s="5">
        <v>0</v>
      </c>
      <c r="L92" s="14">
        <v>70449580</v>
      </c>
      <c r="N92" s="216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218">
        <v>0</v>
      </c>
      <c r="X92" s="29">
        <v>70449580</v>
      </c>
      <c r="Z92" s="223">
        <v>67019751</v>
      </c>
      <c r="AA92" s="223">
        <v>58781734</v>
      </c>
      <c r="AB92" s="29">
        <v>49330912</v>
      </c>
      <c r="AC92" s="5">
        <v>112259037</v>
      </c>
      <c r="AD92" s="29">
        <v>40527456</v>
      </c>
      <c r="AE92" s="376">
        <v>22023337</v>
      </c>
      <c r="AF92" s="467">
        <v>11858852</v>
      </c>
    </row>
    <row r="93" spans="1:32" ht="18" customHeight="1">
      <c r="A93" s="5"/>
      <c r="D93" s="13" t="s">
        <v>344</v>
      </c>
      <c r="E93" s="3" t="s">
        <v>333</v>
      </c>
      <c r="F93" s="23">
        <v>502</v>
      </c>
      <c r="G93" s="3" t="s">
        <v>345</v>
      </c>
      <c r="H93" s="5">
        <v>0</v>
      </c>
      <c r="I93" s="5">
        <v>0</v>
      </c>
      <c r="J93" s="5">
        <v>0</v>
      </c>
      <c r="K93" s="5">
        <v>0</v>
      </c>
      <c r="L93" s="14">
        <v>0</v>
      </c>
      <c r="N93" s="216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218">
        <v>0</v>
      </c>
      <c r="X93" s="29">
        <v>0</v>
      </c>
      <c r="Z93" s="223">
        <v>0</v>
      </c>
      <c r="AA93" s="223">
        <v>546416</v>
      </c>
      <c r="AB93" s="29">
        <v>0</v>
      </c>
      <c r="AC93" s="5">
        <v>0</v>
      </c>
      <c r="AD93" s="29">
        <v>0</v>
      </c>
      <c r="AE93" s="376">
        <v>0</v>
      </c>
      <c r="AF93" s="467">
        <v>0</v>
      </c>
    </row>
    <row r="94" spans="1:32" ht="18" customHeight="1">
      <c r="A94" s="5"/>
      <c r="D94" s="13" t="s">
        <v>346</v>
      </c>
      <c r="E94" s="3" t="s">
        <v>333</v>
      </c>
      <c r="F94" s="23">
        <v>503</v>
      </c>
      <c r="G94" s="3" t="s">
        <v>347</v>
      </c>
      <c r="H94" s="5">
        <v>59592409</v>
      </c>
      <c r="I94" s="5">
        <v>0</v>
      </c>
      <c r="J94" s="5">
        <v>0</v>
      </c>
      <c r="K94" s="5">
        <v>0</v>
      </c>
      <c r="L94" s="14">
        <v>59592409</v>
      </c>
      <c r="N94" s="216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218">
        <v>0</v>
      </c>
      <c r="X94" s="29">
        <v>59592409</v>
      </c>
      <c r="Z94" s="223">
        <v>2092</v>
      </c>
      <c r="AA94" s="223">
        <v>63958516</v>
      </c>
      <c r="AB94" s="29">
        <v>53748118</v>
      </c>
      <c r="AC94" s="5">
        <v>2168042128</v>
      </c>
      <c r="AD94" s="29">
        <v>140274238</v>
      </c>
      <c r="AE94" s="376">
        <v>23576173</v>
      </c>
      <c r="AF94" s="467">
        <v>4442377</v>
      </c>
    </row>
    <row r="95" spans="1:32" ht="18" customHeight="1">
      <c r="A95" s="5"/>
      <c r="D95" s="13" t="s">
        <v>348</v>
      </c>
      <c r="E95" s="3" t="s">
        <v>333</v>
      </c>
      <c r="F95" s="23">
        <v>503</v>
      </c>
      <c r="G95" s="3" t="s">
        <v>349</v>
      </c>
      <c r="H95" s="5">
        <v>2967815</v>
      </c>
      <c r="I95" s="5">
        <v>0</v>
      </c>
      <c r="J95" s="5">
        <v>0</v>
      </c>
      <c r="K95" s="5">
        <v>0</v>
      </c>
      <c r="L95" s="14">
        <v>2967815</v>
      </c>
      <c r="N95" s="216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218">
        <v>0</v>
      </c>
      <c r="X95" s="29">
        <v>2967815</v>
      </c>
      <c r="Z95" s="223">
        <v>5161878</v>
      </c>
      <c r="AA95" s="223">
        <v>6515582</v>
      </c>
      <c r="AB95" s="29">
        <v>14648708</v>
      </c>
      <c r="AC95" s="5">
        <v>2582056</v>
      </c>
      <c r="AD95" s="29">
        <v>4752065</v>
      </c>
      <c r="AE95" s="376">
        <v>19592465</v>
      </c>
      <c r="AF95" s="467">
        <v>51046078</v>
      </c>
    </row>
    <row r="96" spans="1:32" ht="18" customHeight="1">
      <c r="A96" s="5"/>
      <c r="D96" s="13" t="s">
        <v>2024</v>
      </c>
      <c r="E96" s="3" t="s">
        <v>333</v>
      </c>
      <c r="F96" s="23">
        <v>504</v>
      </c>
      <c r="G96" s="3" t="s">
        <v>351</v>
      </c>
      <c r="H96" s="5">
        <v>0</v>
      </c>
      <c r="I96" s="5">
        <v>0</v>
      </c>
      <c r="J96" s="5">
        <v>0</v>
      </c>
      <c r="K96" s="5">
        <v>0</v>
      </c>
      <c r="L96" s="14">
        <v>0</v>
      </c>
      <c r="N96" s="216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218">
        <v>0</v>
      </c>
      <c r="X96" s="29">
        <v>0</v>
      </c>
      <c r="Z96" s="223">
        <v>0</v>
      </c>
      <c r="AA96" s="223">
        <v>0</v>
      </c>
      <c r="AB96" s="29">
        <v>0</v>
      </c>
      <c r="AC96" s="5">
        <v>996359683</v>
      </c>
      <c r="AD96" s="29">
        <v>0</v>
      </c>
      <c r="AE96" s="376">
        <v>0</v>
      </c>
      <c r="AF96" s="467">
        <v>0</v>
      </c>
    </row>
    <row r="97" spans="1:32" ht="18" customHeight="1">
      <c r="A97" s="5"/>
      <c r="D97" s="368">
        <v>734000</v>
      </c>
      <c r="E97" s="457" t="s">
        <v>333</v>
      </c>
      <c r="F97" s="23">
        <v>710</v>
      </c>
      <c r="G97" s="211" t="s">
        <v>2201</v>
      </c>
      <c r="H97" s="5">
        <v>7995295060</v>
      </c>
      <c r="I97" s="5">
        <v>0</v>
      </c>
      <c r="J97" s="5">
        <v>0</v>
      </c>
      <c r="K97" s="5">
        <v>0</v>
      </c>
      <c r="L97" s="14">
        <v>7995295060</v>
      </c>
      <c r="N97" s="216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218">
        <v>0</v>
      </c>
      <c r="X97" s="29">
        <v>7995295060</v>
      </c>
      <c r="Z97" s="223">
        <v>7995295060</v>
      </c>
      <c r="AA97" s="223">
        <v>18600112968</v>
      </c>
      <c r="AB97" s="29">
        <v>0</v>
      </c>
      <c r="AC97" s="5">
        <v>0</v>
      </c>
      <c r="AD97" s="29">
        <v>0</v>
      </c>
      <c r="AE97" s="376">
        <v>0</v>
      </c>
      <c r="AF97" s="467">
        <v>0</v>
      </c>
    </row>
    <row r="98" spans="1:32" ht="18" customHeight="1">
      <c r="A98" s="5"/>
      <c r="D98" s="31" t="s">
        <v>352</v>
      </c>
      <c r="E98" s="3" t="s">
        <v>333</v>
      </c>
      <c r="F98" s="23" t="s">
        <v>611</v>
      </c>
      <c r="G98" s="3" t="s">
        <v>353</v>
      </c>
      <c r="H98" s="5">
        <v>0</v>
      </c>
      <c r="I98" s="5">
        <v>0</v>
      </c>
      <c r="J98" s="5">
        <v>0</v>
      </c>
      <c r="K98" s="5">
        <v>0</v>
      </c>
      <c r="L98" s="14">
        <v>0</v>
      </c>
      <c r="N98" s="216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18">
        <v>0</v>
      </c>
      <c r="X98" s="29">
        <v>0</v>
      </c>
      <c r="Z98" s="223">
        <v>0</v>
      </c>
      <c r="AA98" s="223">
        <v>0</v>
      </c>
      <c r="AB98" s="29">
        <v>0</v>
      </c>
      <c r="AC98" s="5">
        <v>0</v>
      </c>
      <c r="AD98" s="29">
        <v>0</v>
      </c>
      <c r="AE98" s="376">
        <v>0</v>
      </c>
      <c r="AF98" s="467">
        <v>0</v>
      </c>
    </row>
    <row r="99" spans="1:32" ht="18" customHeight="1">
      <c r="A99" s="5"/>
      <c r="D99" s="12"/>
      <c r="E99" s="482"/>
      <c r="F99" s="483"/>
      <c r="G99" s="482" t="s">
        <v>354</v>
      </c>
      <c r="H99" s="261">
        <v>29487828</v>
      </c>
      <c r="I99" s="261">
        <v>2000039</v>
      </c>
      <c r="J99" s="261">
        <v>103919</v>
      </c>
      <c r="K99" s="261">
        <v>34537389</v>
      </c>
      <c r="L99" s="333">
        <v>66129175</v>
      </c>
      <c r="N99" s="342">
        <v>0</v>
      </c>
      <c r="O99" s="261">
        <v>0</v>
      </c>
      <c r="P99" s="261">
        <v>0</v>
      </c>
      <c r="Q99" s="261">
        <v>0</v>
      </c>
      <c r="R99" s="261">
        <v>0</v>
      </c>
      <c r="S99" s="261">
        <v>0</v>
      </c>
      <c r="T99" s="261">
        <v>0</v>
      </c>
      <c r="U99" s="261">
        <v>0</v>
      </c>
      <c r="V99" s="343">
        <v>0</v>
      </c>
      <c r="X99" s="27">
        <v>66129175</v>
      </c>
      <c r="Z99" s="347">
        <v>54977696</v>
      </c>
      <c r="AA99" s="347">
        <v>32428201</v>
      </c>
      <c r="AB99" s="27">
        <v>10949449</v>
      </c>
      <c r="AC99" s="261">
        <v>199414285</v>
      </c>
      <c r="AD99" s="27">
        <v>70088560</v>
      </c>
      <c r="AE99" s="27">
        <v>86852764</v>
      </c>
      <c r="AF99" s="471">
        <v>19298196</v>
      </c>
    </row>
    <row r="100" spans="1:32" ht="18" customHeight="1">
      <c r="A100" s="5"/>
      <c r="D100" s="13" t="s">
        <v>355</v>
      </c>
      <c r="E100" s="3" t="s">
        <v>354</v>
      </c>
      <c r="F100" s="23">
        <v>602</v>
      </c>
      <c r="G100" s="3" t="s">
        <v>678</v>
      </c>
      <c r="H100" s="5">
        <v>5241227</v>
      </c>
      <c r="I100" s="5">
        <v>0</v>
      </c>
      <c r="J100" s="5">
        <v>0</v>
      </c>
      <c r="K100" s="5">
        <v>0</v>
      </c>
      <c r="L100" s="14">
        <v>5241227</v>
      </c>
      <c r="N100" s="216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18">
        <v>0</v>
      </c>
      <c r="X100" s="29">
        <v>5241227</v>
      </c>
      <c r="Z100" s="223">
        <v>5241227</v>
      </c>
      <c r="AA100" s="223">
        <v>5241227</v>
      </c>
      <c r="AB100" s="29">
        <v>0</v>
      </c>
      <c r="AC100" s="5">
        <v>2240200</v>
      </c>
      <c r="AD100" s="29">
        <v>0</v>
      </c>
      <c r="AE100" s="376">
        <v>0</v>
      </c>
      <c r="AF100" s="467">
        <v>0</v>
      </c>
    </row>
    <row r="101" spans="1:32" ht="18" customHeight="1">
      <c r="A101" s="5"/>
      <c r="D101" s="13" t="s">
        <v>357</v>
      </c>
      <c r="E101" s="3" t="s">
        <v>354</v>
      </c>
      <c r="F101" s="23">
        <v>604</v>
      </c>
      <c r="G101" s="3" t="s">
        <v>679</v>
      </c>
      <c r="H101" s="5">
        <v>0</v>
      </c>
      <c r="I101" s="5">
        <v>0</v>
      </c>
      <c r="J101" s="5">
        <v>0</v>
      </c>
      <c r="K101" s="5">
        <v>0</v>
      </c>
      <c r="L101" s="14">
        <v>0</v>
      </c>
      <c r="N101" s="216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18">
        <v>0</v>
      </c>
      <c r="X101" s="29">
        <v>0</v>
      </c>
      <c r="Z101" s="223">
        <v>0</v>
      </c>
      <c r="AA101" s="223">
        <v>0</v>
      </c>
      <c r="AB101" s="29">
        <v>0</v>
      </c>
      <c r="AC101" s="5">
        <v>0</v>
      </c>
      <c r="AD101" s="29">
        <v>0</v>
      </c>
      <c r="AE101" s="376">
        <v>0</v>
      </c>
      <c r="AF101" s="467">
        <v>0</v>
      </c>
    </row>
    <row r="102" spans="1:32" ht="18" customHeight="1">
      <c r="A102" s="5"/>
      <c r="D102" s="13" t="s">
        <v>1706</v>
      </c>
      <c r="E102" s="3" t="s">
        <v>354</v>
      </c>
      <c r="F102" s="23" t="s">
        <v>611</v>
      </c>
      <c r="G102" s="3" t="s">
        <v>854</v>
      </c>
      <c r="H102" s="5">
        <v>0</v>
      </c>
      <c r="I102" s="5">
        <v>0</v>
      </c>
      <c r="J102" s="5">
        <v>0</v>
      </c>
      <c r="K102" s="5">
        <v>0</v>
      </c>
      <c r="L102" s="14">
        <v>0</v>
      </c>
      <c r="N102" s="216"/>
      <c r="O102" s="5">
        <v>0</v>
      </c>
      <c r="P102" s="5">
        <v>0</v>
      </c>
      <c r="Q102" s="5"/>
      <c r="R102" s="5">
        <v>0</v>
      </c>
      <c r="S102" s="5">
        <v>0</v>
      </c>
      <c r="T102" s="5">
        <v>0</v>
      </c>
      <c r="U102" s="5">
        <v>0</v>
      </c>
      <c r="V102" s="218">
        <v>0</v>
      </c>
      <c r="X102" s="29">
        <v>0</v>
      </c>
      <c r="Z102" s="223">
        <v>0</v>
      </c>
      <c r="AA102" s="223">
        <v>0</v>
      </c>
      <c r="AB102" s="29">
        <v>0</v>
      </c>
      <c r="AC102" s="5">
        <v>0</v>
      </c>
      <c r="AD102" s="29">
        <v>0</v>
      </c>
      <c r="AE102" s="376">
        <v>0</v>
      </c>
      <c r="AF102" s="467">
        <v>0</v>
      </c>
    </row>
    <row r="103" spans="1:32" ht="18" customHeight="1">
      <c r="A103" s="5"/>
      <c r="D103" s="13" t="s">
        <v>359</v>
      </c>
      <c r="E103" s="3" t="s">
        <v>354</v>
      </c>
      <c r="F103" s="23">
        <v>603</v>
      </c>
      <c r="G103" s="3" t="s">
        <v>680</v>
      </c>
      <c r="H103" s="5">
        <v>24246601</v>
      </c>
      <c r="I103" s="5">
        <v>2000039</v>
      </c>
      <c r="J103" s="5">
        <v>103919</v>
      </c>
      <c r="K103" s="484">
        <v>34537389</v>
      </c>
      <c r="L103" s="14">
        <v>60887948</v>
      </c>
      <c r="N103" s="216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18">
        <v>0</v>
      </c>
      <c r="X103" s="29">
        <v>60887948</v>
      </c>
      <c r="Z103" s="223">
        <v>49736469</v>
      </c>
      <c r="AA103" s="223">
        <v>27186974</v>
      </c>
      <c r="AB103" s="29">
        <v>10949449</v>
      </c>
      <c r="AC103" s="5">
        <v>197174085</v>
      </c>
      <c r="AD103" s="29">
        <v>70088560</v>
      </c>
      <c r="AE103" s="376">
        <v>86852764</v>
      </c>
      <c r="AF103" s="467">
        <v>19298196</v>
      </c>
    </row>
    <row r="104" spans="1:32" ht="18" customHeight="1">
      <c r="A104" s="5"/>
      <c r="D104" s="12"/>
      <c r="E104" s="482"/>
      <c r="F104" s="483"/>
      <c r="G104" s="482" t="s">
        <v>361</v>
      </c>
      <c r="H104" s="261">
        <v>524641977</v>
      </c>
      <c r="I104" s="261">
        <v>0</v>
      </c>
      <c r="J104" s="261">
        <v>0</v>
      </c>
      <c r="K104" s="261">
        <v>7542494</v>
      </c>
      <c r="L104" s="333">
        <v>532184471</v>
      </c>
      <c r="N104" s="342">
        <v>0</v>
      </c>
      <c r="O104" s="261">
        <v>0</v>
      </c>
      <c r="P104" s="261">
        <v>0</v>
      </c>
      <c r="Q104" s="261">
        <v>0</v>
      </c>
      <c r="R104" s="261">
        <v>0</v>
      </c>
      <c r="S104" s="261">
        <v>0</v>
      </c>
      <c r="T104" s="261">
        <v>0</v>
      </c>
      <c r="U104" s="261">
        <v>0</v>
      </c>
      <c r="V104" s="343">
        <v>0</v>
      </c>
      <c r="X104" s="27">
        <v>532184471</v>
      </c>
      <c r="Z104" s="347">
        <v>531823675</v>
      </c>
      <c r="AA104" s="347">
        <v>1282503</v>
      </c>
      <c r="AB104" s="27">
        <v>227347</v>
      </c>
      <c r="AC104" s="261">
        <v>10494735626</v>
      </c>
      <c r="AD104" s="27">
        <v>200693002</v>
      </c>
      <c r="AE104" s="27">
        <v>197313983</v>
      </c>
      <c r="AF104" s="471">
        <v>29457733</v>
      </c>
    </row>
    <row r="105" spans="1:32" ht="18" customHeight="1">
      <c r="A105" s="5"/>
      <c r="D105" s="13" t="s">
        <v>362</v>
      </c>
      <c r="E105" s="3" t="s">
        <v>361</v>
      </c>
      <c r="F105" s="23">
        <v>706</v>
      </c>
      <c r="G105" s="3" t="s">
        <v>485</v>
      </c>
      <c r="H105" s="5">
        <v>0</v>
      </c>
      <c r="I105" s="5">
        <v>0</v>
      </c>
      <c r="J105" s="5">
        <v>0</v>
      </c>
      <c r="K105" s="5">
        <v>0</v>
      </c>
      <c r="L105" s="14">
        <v>0</v>
      </c>
      <c r="N105" s="216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18">
        <v>0</v>
      </c>
      <c r="X105" s="29">
        <v>0</v>
      </c>
      <c r="Z105" s="223">
        <v>0</v>
      </c>
      <c r="AA105" s="223">
        <v>0</v>
      </c>
      <c r="AB105" s="29">
        <v>0</v>
      </c>
      <c r="AC105" s="5">
        <v>5548640215</v>
      </c>
      <c r="AD105" s="29">
        <v>0</v>
      </c>
      <c r="AE105" s="376">
        <v>0</v>
      </c>
      <c r="AF105" s="467">
        <v>0</v>
      </c>
    </row>
    <row r="106" spans="1:32" ht="18" customHeight="1">
      <c r="A106" s="5"/>
      <c r="D106" s="13" t="s">
        <v>364</v>
      </c>
      <c r="E106" s="3" t="s">
        <v>361</v>
      </c>
      <c r="F106" s="23">
        <v>701</v>
      </c>
      <c r="G106" s="3" t="s">
        <v>687</v>
      </c>
      <c r="H106" s="5">
        <v>0</v>
      </c>
      <c r="I106" s="5">
        <v>0</v>
      </c>
      <c r="J106" s="5">
        <v>0</v>
      </c>
      <c r="K106" s="5">
        <v>0</v>
      </c>
      <c r="L106" s="14">
        <v>0</v>
      </c>
      <c r="N106" s="216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18">
        <v>0</v>
      </c>
      <c r="X106" s="29">
        <v>0</v>
      </c>
      <c r="Z106" s="223">
        <v>0</v>
      </c>
      <c r="AA106" s="223">
        <v>0</v>
      </c>
      <c r="AB106" s="29">
        <v>0</v>
      </c>
      <c r="AC106" s="5">
        <v>1000</v>
      </c>
      <c r="AD106" s="29">
        <v>1000</v>
      </c>
      <c r="AE106" s="376">
        <v>1000</v>
      </c>
      <c r="AF106" s="467">
        <v>0</v>
      </c>
    </row>
    <row r="107" spans="1:32" ht="18" customHeight="1">
      <c r="A107" s="5"/>
      <c r="D107" s="13" t="s">
        <v>1546</v>
      </c>
      <c r="E107" s="3" t="s">
        <v>361</v>
      </c>
      <c r="F107" s="23">
        <v>705</v>
      </c>
      <c r="G107" s="3" t="s">
        <v>734</v>
      </c>
      <c r="H107" s="5">
        <v>344170</v>
      </c>
      <c r="I107" s="5">
        <v>0</v>
      </c>
      <c r="J107" s="5">
        <v>0</v>
      </c>
      <c r="K107" s="484">
        <v>6083386</v>
      </c>
      <c r="L107" s="14">
        <v>6427556</v>
      </c>
      <c r="N107" s="216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18">
        <v>0</v>
      </c>
      <c r="X107" s="29">
        <v>6427556</v>
      </c>
      <c r="Z107" s="223">
        <v>6081752</v>
      </c>
      <c r="AA107" s="223">
        <v>0</v>
      </c>
      <c r="AB107" s="29">
        <v>0</v>
      </c>
      <c r="AC107" s="5">
        <v>598158</v>
      </c>
      <c r="AD107" s="29">
        <v>1000</v>
      </c>
      <c r="AE107" s="376">
        <v>1000</v>
      </c>
      <c r="AF107" s="467">
        <v>1000</v>
      </c>
    </row>
    <row r="108" spans="1:32" ht="18" customHeight="1">
      <c r="A108" s="5"/>
      <c r="B108" s="3" t="s">
        <v>1534</v>
      </c>
      <c r="D108" s="13" t="s">
        <v>1673</v>
      </c>
      <c r="E108" s="3" t="s">
        <v>361</v>
      </c>
      <c r="F108" s="23">
        <v>702</v>
      </c>
      <c r="G108" s="3" t="s">
        <v>1675</v>
      </c>
      <c r="H108" s="5">
        <v>0</v>
      </c>
      <c r="I108" s="5">
        <v>0</v>
      </c>
      <c r="J108" s="5">
        <v>0</v>
      </c>
      <c r="K108" s="5">
        <v>0</v>
      </c>
      <c r="L108" s="14">
        <v>0</v>
      </c>
      <c r="N108" s="216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218">
        <v>0</v>
      </c>
      <c r="X108" s="29">
        <v>0</v>
      </c>
      <c r="Z108" s="223">
        <v>0</v>
      </c>
      <c r="AA108" s="223">
        <v>0</v>
      </c>
      <c r="AB108" s="29">
        <v>0</v>
      </c>
      <c r="AC108" s="5">
        <v>0</v>
      </c>
      <c r="AD108" s="29">
        <v>0</v>
      </c>
      <c r="AE108" s="376">
        <v>0</v>
      </c>
      <c r="AF108" s="467">
        <v>0</v>
      </c>
    </row>
    <row r="109" spans="1:32" ht="18" customHeight="1">
      <c r="A109" s="5"/>
      <c r="D109" s="13" t="s">
        <v>366</v>
      </c>
      <c r="E109" s="3" t="s">
        <v>361</v>
      </c>
      <c r="F109" s="23">
        <v>333</v>
      </c>
      <c r="G109" s="3" t="s">
        <v>1356</v>
      </c>
      <c r="H109" s="5">
        <v>0</v>
      </c>
      <c r="I109" s="5">
        <v>0</v>
      </c>
      <c r="J109" s="5">
        <v>0</v>
      </c>
      <c r="K109" s="5">
        <v>0</v>
      </c>
      <c r="L109" s="14">
        <v>0</v>
      </c>
      <c r="N109" s="216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218">
        <v>0</v>
      </c>
      <c r="X109" s="29">
        <v>0</v>
      </c>
      <c r="Z109" s="223">
        <v>0</v>
      </c>
      <c r="AA109" s="223">
        <v>0</v>
      </c>
      <c r="AB109" s="29">
        <v>0</v>
      </c>
      <c r="AC109" s="5">
        <v>0</v>
      </c>
      <c r="AD109" s="29">
        <v>0</v>
      </c>
      <c r="AE109" s="376">
        <v>0</v>
      </c>
      <c r="AF109" s="467">
        <v>0</v>
      </c>
    </row>
    <row r="110" spans="1:32" ht="18" customHeight="1">
      <c r="A110" s="5"/>
      <c r="D110" s="13" t="s">
        <v>368</v>
      </c>
      <c r="E110" s="3" t="s">
        <v>361</v>
      </c>
      <c r="F110" s="23">
        <v>704</v>
      </c>
      <c r="G110" s="3" t="s">
        <v>688</v>
      </c>
      <c r="H110" s="5">
        <v>1293633</v>
      </c>
      <c r="I110" s="5">
        <v>0</v>
      </c>
      <c r="J110" s="5">
        <v>0</v>
      </c>
      <c r="K110" s="5">
        <v>0</v>
      </c>
      <c r="L110" s="14">
        <v>1293633</v>
      </c>
      <c r="N110" s="216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218">
        <v>0</v>
      </c>
      <c r="X110" s="29">
        <v>1293633</v>
      </c>
      <c r="Z110" s="223">
        <v>1279033</v>
      </c>
      <c r="AA110" s="223">
        <v>245153</v>
      </c>
      <c r="AB110" s="29">
        <v>227347</v>
      </c>
      <c r="AC110" s="5">
        <v>742228141</v>
      </c>
      <c r="AD110" s="29">
        <v>197404250</v>
      </c>
      <c r="AE110" s="376">
        <v>197311983</v>
      </c>
      <c r="AF110" s="467">
        <v>29456733</v>
      </c>
    </row>
    <row r="111" spans="1:32" ht="18" customHeight="1">
      <c r="A111" s="5"/>
      <c r="B111" s="3" t="s">
        <v>1534</v>
      </c>
      <c r="D111" s="13">
        <v>732100</v>
      </c>
      <c r="E111" s="3" t="s">
        <v>361</v>
      </c>
      <c r="F111" s="23">
        <v>708</v>
      </c>
      <c r="G111" s="3" t="s">
        <v>1549</v>
      </c>
      <c r="H111" s="5">
        <v>0</v>
      </c>
      <c r="I111" s="5">
        <v>0</v>
      </c>
      <c r="J111" s="5">
        <v>0</v>
      </c>
      <c r="K111" s="5">
        <v>1459108</v>
      </c>
      <c r="L111" s="14">
        <v>1459108</v>
      </c>
      <c r="N111" s="216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18">
        <v>0</v>
      </c>
      <c r="X111" s="29">
        <v>1459108</v>
      </c>
      <c r="Z111" s="223">
        <v>1458716</v>
      </c>
      <c r="AA111" s="223">
        <v>1037350</v>
      </c>
      <c r="AB111" s="29">
        <v>0</v>
      </c>
      <c r="AC111" s="5">
        <v>3268112</v>
      </c>
      <c r="AD111" s="29">
        <v>3286752</v>
      </c>
      <c r="AE111" s="376">
        <v>0</v>
      </c>
      <c r="AF111" s="467">
        <v>0</v>
      </c>
    </row>
    <row r="112" spans="1:32" ht="18" customHeight="1">
      <c r="A112" s="5"/>
      <c r="D112" s="13" t="s">
        <v>1751</v>
      </c>
      <c r="E112" s="3" t="s">
        <v>361</v>
      </c>
      <c r="F112" s="23">
        <v>703</v>
      </c>
      <c r="G112" s="3" t="s">
        <v>762</v>
      </c>
      <c r="H112" s="5">
        <v>523004174</v>
      </c>
      <c r="I112" s="5">
        <v>0</v>
      </c>
      <c r="J112" s="5">
        <v>0</v>
      </c>
      <c r="K112" s="5">
        <v>0</v>
      </c>
      <c r="L112" s="14">
        <v>523004174</v>
      </c>
      <c r="N112" s="216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18">
        <v>0</v>
      </c>
      <c r="X112" s="29">
        <v>523004174</v>
      </c>
      <c r="Z112" s="223">
        <v>523004174</v>
      </c>
      <c r="AA112" s="223">
        <v>0</v>
      </c>
      <c r="AB112" s="29">
        <v>0</v>
      </c>
      <c r="AC112" s="5">
        <v>4200000000</v>
      </c>
      <c r="AD112" s="29">
        <v>0</v>
      </c>
      <c r="AE112" s="376">
        <v>0</v>
      </c>
      <c r="AF112" s="467">
        <v>0</v>
      </c>
    </row>
    <row r="113" spans="1:32" ht="18" customHeight="1">
      <c r="A113" s="5"/>
      <c r="D113" s="31" t="s">
        <v>482</v>
      </c>
      <c r="E113" s="3" t="s">
        <v>361</v>
      </c>
      <c r="F113" s="23">
        <v>709</v>
      </c>
      <c r="G113" s="3" t="s">
        <v>481</v>
      </c>
      <c r="H113" s="5">
        <v>0</v>
      </c>
      <c r="I113" s="5">
        <v>0</v>
      </c>
      <c r="J113" s="5">
        <v>0</v>
      </c>
      <c r="K113" s="5">
        <v>0</v>
      </c>
      <c r="L113" s="14">
        <v>0</v>
      </c>
      <c r="N113" s="216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218">
        <v>0</v>
      </c>
      <c r="X113" s="29">
        <v>0</v>
      </c>
      <c r="Z113" s="223">
        <v>0</v>
      </c>
      <c r="AA113" s="223">
        <v>0</v>
      </c>
      <c r="AB113" s="29">
        <v>0</v>
      </c>
      <c r="AC113" s="5">
        <v>0</v>
      </c>
      <c r="AD113" s="29">
        <v>0</v>
      </c>
      <c r="AE113" s="376">
        <v>0</v>
      </c>
      <c r="AF113" s="467">
        <v>0</v>
      </c>
    </row>
    <row r="114" spans="1:32" ht="18" customHeight="1">
      <c r="A114" s="5"/>
      <c r="D114" s="12"/>
      <c r="E114" s="482"/>
      <c r="F114" s="483"/>
      <c r="G114" s="482" t="s">
        <v>370</v>
      </c>
      <c r="H114" s="261">
        <v>0</v>
      </c>
      <c r="I114" s="261">
        <v>0</v>
      </c>
      <c r="J114" s="261">
        <v>0</v>
      </c>
      <c r="K114" s="261">
        <v>0</v>
      </c>
      <c r="L114" s="333">
        <v>0</v>
      </c>
      <c r="N114" s="342">
        <v>0</v>
      </c>
      <c r="O114" s="261">
        <v>0</v>
      </c>
      <c r="P114" s="261">
        <v>0</v>
      </c>
      <c r="Q114" s="261">
        <v>0</v>
      </c>
      <c r="R114" s="261">
        <v>0</v>
      </c>
      <c r="S114" s="261">
        <v>0</v>
      </c>
      <c r="T114" s="261">
        <v>0</v>
      </c>
      <c r="U114" s="261">
        <v>0</v>
      </c>
      <c r="V114" s="343">
        <v>0</v>
      </c>
      <c r="X114" s="27">
        <v>0</v>
      </c>
      <c r="Z114" s="347">
        <v>0</v>
      </c>
      <c r="AA114" s="347">
        <v>0</v>
      </c>
      <c r="AB114" s="27">
        <v>0</v>
      </c>
      <c r="AC114" s="261">
        <v>0</v>
      </c>
      <c r="AD114" s="27">
        <v>0</v>
      </c>
      <c r="AE114" s="27">
        <v>0</v>
      </c>
      <c r="AF114" s="471">
        <v>0</v>
      </c>
    </row>
    <row r="115" spans="1:32" ht="18" customHeight="1">
      <c r="A115" s="5"/>
      <c r="D115" s="13" t="s">
        <v>371</v>
      </c>
      <c r="E115" s="3" t="s">
        <v>1783</v>
      </c>
      <c r="G115" s="3" t="s">
        <v>372</v>
      </c>
      <c r="H115" s="5">
        <v>0</v>
      </c>
      <c r="I115" s="5">
        <v>0</v>
      </c>
      <c r="J115" s="5">
        <v>0</v>
      </c>
      <c r="K115" s="5">
        <v>0</v>
      </c>
      <c r="L115" s="14">
        <v>0</v>
      </c>
      <c r="N115" s="216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18">
        <v>0</v>
      </c>
      <c r="X115" s="29">
        <v>0</v>
      </c>
      <c r="Z115" s="223">
        <v>0</v>
      </c>
      <c r="AA115" s="223">
        <v>0</v>
      </c>
      <c r="AB115" s="29">
        <v>0</v>
      </c>
      <c r="AC115" s="5">
        <v>0</v>
      </c>
      <c r="AD115" s="29">
        <v>0</v>
      </c>
      <c r="AE115" s="376">
        <v>0</v>
      </c>
      <c r="AF115" s="467">
        <v>0</v>
      </c>
    </row>
    <row r="116" spans="1:32" ht="18" customHeight="1">
      <c r="A116" s="5"/>
      <c r="D116" s="13" t="s">
        <v>373</v>
      </c>
      <c r="E116" s="3" t="s">
        <v>1783</v>
      </c>
      <c r="F116" s="23">
        <v>907</v>
      </c>
      <c r="G116" s="3" t="s">
        <v>374</v>
      </c>
      <c r="H116" s="5">
        <v>0</v>
      </c>
      <c r="I116" s="5">
        <v>0</v>
      </c>
      <c r="J116" s="5">
        <v>0</v>
      </c>
      <c r="K116" s="5">
        <v>0</v>
      </c>
      <c r="L116" s="14">
        <v>0</v>
      </c>
      <c r="N116" s="216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18">
        <v>0</v>
      </c>
      <c r="X116" s="29">
        <v>0</v>
      </c>
      <c r="Z116" s="223">
        <v>0</v>
      </c>
      <c r="AA116" s="223">
        <v>0</v>
      </c>
      <c r="AB116" s="29">
        <v>0</v>
      </c>
      <c r="AC116" s="5">
        <v>0</v>
      </c>
      <c r="AD116" s="29">
        <v>0</v>
      </c>
      <c r="AE116" s="376">
        <v>0</v>
      </c>
      <c r="AF116" s="467">
        <v>0</v>
      </c>
    </row>
    <row r="117" spans="1:32" ht="18" customHeight="1">
      <c r="A117" s="5"/>
      <c r="D117" s="13" t="s">
        <v>375</v>
      </c>
      <c r="E117" s="3" t="s">
        <v>1783</v>
      </c>
      <c r="G117" s="3" t="s">
        <v>376</v>
      </c>
      <c r="H117" s="5">
        <v>0</v>
      </c>
      <c r="I117" s="5">
        <v>0</v>
      </c>
      <c r="J117" s="5">
        <v>0</v>
      </c>
      <c r="K117" s="5">
        <v>0</v>
      </c>
      <c r="L117" s="14">
        <v>0</v>
      </c>
      <c r="N117" s="216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18">
        <v>0</v>
      </c>
      <c r="X117" s="29">
        <v>0</v>
      </c>
      <c r="Z117" s="223">
        <v>0</v>
      </c>
      <c r="AA117" s="223">
        <v>0</v>
      </c>
      <c r="AB117" s="29">
        <v>0</v>
      </c>
      <c r="AC117" s="5">
        <v>0</v>
      </c>
      <c r="AD117" s="29">
        <v>0</v>
      </c>
      <c r="AE117" s="376">
        <v>0</v>
      </c>
      <c r="AF117" s="467">
        <v>0</v>
      </c>
    </row>
    <row r="118" spans="1:32" ht="18" customHeight="1">
      <c r="A118" s="5"/>
      <c r="D118" s="12"/>
      <c r="E118" s="482"/>
      <c r="F118" s="483"/>
      <c r="G118" s="482" t="s">
        <v>377</v>
      </c>
      <c r="H118" s="261">
        <v>0</v>
      </c>
      <c r="I118" s="261">
        <v>0</v>
      </c>
      <c r="J118" s="261">
        <v>0</v>
      </c>
      <c r="K118" s="261">
        <v>0</v>
      </c>
      <c r="L118" s="333">
        <v>0</v>
      </c>
      <c r="N118" s="342">
        <v>0</v>
      </c>
      <c r="O118" s="261">
        <v>0</v>
      </c>
      <c r="P118" s="261">
        <v>0</v>
      </c>
      <c r="Q118" s="261">
        <v>0</v>
      </c>
      <c r="R118" s="261">
        <v>0</v>
      </c>
      <c r="S118" s="261">
        <v>0</v>
      </c>
      <c r="T118" s="261">
        <v>0</v>
      </c>
      <c r="U118" s="261">
        <v>0</v>
      </c>
      <c r="V118" s="343">
        <v>0</v>
      </c>
      <c r="X118" s="27">
        <v>0</v>
      </c>
      <c r="Z118" s="347">
        <v>0</v>
      </c>
      <c r="AA118" s="347">
        <v>0</v>
      </c>
      <c r="AB118" s="27">
        <v>0</v>
      </c>
      <c r="AC118" s="261">
        <v>0</v>
      </c>
      <c r="AD118" s="27">
        <v>0</v>
      </c>
      <c r="AE118" s="27">
        <v>0</v>
      </c>
      <c r="AF118" s="471">
        <v>0</v>
      </c>
    </row>
    <row r="119" spans="1:32" ht="18" customHeight="1">
      <c r="A119" s="5"/>
      <c r="D119" s="13" t="s">
        <v>378</v>
      </c>
      <c r="E119" s="3" t="s">
        <v>1783</v>
      </c>
      <c r="G119" s="3" t="s">
        <v>377</v>
      </c>
      <c r="H119" s="5">
        <v>0</v>
      </c>
      <c r="I119" s="5">
        <v>0</v>
      </c>
      <c r="J119" s="5">
        <v>0</v>
      </c>
      <c r="K119" s="5">
        <v>0</v>
      </c>
      <c r="L119" s="14">
        <v>0</v>
      </c>
      <c r="N119" s="216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18">
        <v>0</v>
      </c>
      <c r="X119" s="29">
        <v>0</v>
      </c>
      <c r="Z119" s="223">
        <v>0</v>
      </c>
      <c r="AA119" s="223">
        <v>0</v>
      </c>
      <c r="AB119" s="29">
        <v>0</v>
      </c>
      <c r="AC119" s="5">
        <v>0</v>
      </c>
      <c r="AD119" s="29">
        <v>0</v>
      </c>
      <c r="AE119" s="376">
        <v>0</v>
      </c>
      <c r="AF119" s="467">
        <v>0</v>
      </c>
    </row>
    <row r="120" spans="1:32" ht="18" customHeight="1">
      <c r="A120" s="5"/>
      <c r="D120" s="13">
        <v>714000</v>
      </c>
      <c r="E120" s="3" t="s">
        <v>1783</v>
      </c>
      <c r="G120" s="3" t="s">
        <v>1696</v>
      </c>
      <c r="H120" s="5">
        <v>0</v>
      </c>
      <c r="I120" s="5">
        <v>0</v>
      </c>
      <c r="J120" s="5">
        <v>0</v>
      </c>
      <c r="K120" s="5">
        <v>0</v>
      </c>
      <c r="L120" s="14">
        <v>0</v>
      </c>
      <c r="N120" s="216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18">
        <v>0</v>
      </c>
      <c r="X120" s="29">
        <v>0</v>
      </c>
      <c r="Z120" s="223">
        <v>0</v>
      </c>
      <c r="AA120" s="223">
        <v>0</v>
      </c>
      <c r="AB120" s="29">
        <v>0</v>
      </c>
      <c r="AC120" s="5">
        <v>0</v>
      </c>
      <c r="AD120" s="29">
        <v>0</v>
      </c>
      <c r="AE120" s="376">
        <v>0</v>
      </c>
      <c r="AF120" s="467">
        <v>0</v>
      </c>
    </row>
    <row r="121" spans="1:32" ht="18" customHeight="1">
      <c r="A121" s="5"/>
      <c r="D121" s="11"/>
      <c r="E121" s="481"/>
      <c r="F121" s="478"/>
      <c r="G121" s="481" t="s">
        <v>379</v>
      </c>
      <c r="H121" s="260">
        <v>1043982793</v>
      </c>
      <c r="I121" s="260">
        <v>-304243096</v>
      </c>
      <c r="J121" s="260">
        <v>-262853852</v>
      </c>
      <c r="K121" s="260">
        <v>-273879383</v>
      </c>
      <c r="L121" s="256">
        <v>203006462</v>
      </c>
      <c r="N121" s="340">
        <v>0</v>
      </c>
      <c r="O121" s="260">
        <v>0</v>
      </c>
      <c r="P121" s="260">
        <v>0</v>
      </c>
      <c r="Q121" s="260">
        <v>-16226007</v>
      </c>
      <c r="R121" s="260">
        <v>0</v>
      </c>
      <c r="S121" s="260">
        <v>-20000000</v>
      </c>
      <c r="T121" s="260">
        <v>0</v>
      </c>
      <c r="U121" s="260">
        <v>0</v>
      </c>
      <c r="V121" s="341">
        <v>-36226007</v>
      </c>
      <c r="X121" s="26">
        <v>166780455</v>
      </c>
      <c r="Z121" s="255">
        <v>-658139430</v>
      </c>
      <c r="AA121" s="255">
        <v>-14660494574</v>
      </c>
      <c r="AB121" s="26">
        <v>2292303761</v>
      </c>
      <c r="AC121" s="260">
        <v>-25048195496</v>
      </c>
      <c r="AD121" s="26">
        <v>-9235216767</v>
      </c>
      <c r="AE121" s="26">
        <v>-4570284914</v>
      </c>
      <c r="AF121" s="470">
        <v>-86169462</v>
      </c>
    </row>
    <row r="122" spans="1:32" ht="18" customHeight="1">
      <c r="A122" s="5"/>
      <c r="D122" s="12"/>
      <c r="E122" s="482"/>
      <c r="F122" s="483"/>
      <c r="G122" s="482" t="s">
        <v>380</v>
      </c>
      <c r="H122" s="261">
        <v>480535403</v>
      </c>
      <c r="I122" s="261">
        <v>0</v>
      </c>
      <c r="J122" s="261">
        <v>0</v>
      </c>
      <c r="K122" s="261">
        <v>0</v>
      </c>
      <c r="L122" s="333">
        <v>480535403</v>
      </c>
      <c r="N122" s="342">
        <v>0</v>
      </c>
      <c r="O122" s="261">
        <v>0</v>
      </c>
      <c r="P122" s="261">
        <v>0</v>
      </c>
      <c r="Q122" s="261">
        <v>0</v>
      </c>
      <c r="R122" s="261">
        <v>0</v>
      </c>
      <c r="S122" s="261">
        <v>0</v>
      </c>
      <c r="T122" s="261">
        <v>0</v>
      </c>
      <c r="U122" s="261">
        <v>0</v>
      </c>
      <c r="V122" s="343">
        <v>0</v>
      </c>
      <c r="X122" s="27">
        <v>480535403</v>
      </c>
      <c r="Z122" s="347">
        <v>464597147</v>
      </c>
      <c r="AA122" s="347">
        <v>241042872</v>
      </c>
      <c r="AB122" s="27">
        <v>116907703</v>
      </c>
      <c r="AC122" s="261">
        <v>-1980322895</v>
      </c>
      <c r="AD122" s="27">
        <v>-190300445</v>
      </c>
      <c r="AE122" s="27">
        <v>-126707914</v>
      </c>
      <c r="AF122" s="471">
        <v>-62271284</v>
      </c>
    </row>
    <row r="123" spans="1:32" ht="18" customHeight="1">
      <c r="A123" s="5"/>
      <c r="D123" s="13">
        <v>811100</v>
      </c>
      <c r="E123" s="3" t="s">
        <v>380</v>
      </c>
      <c r="F123" s="23">
        <v>801</v>
      </c>
      <c r="G123" s="3" t="s">
        <v>380</v>
      </c>
      <c r="H123" s="5">
        <v>480535403</v>
      </c>
      <c r="I123" s="5">
        <v>0</v>
      </c>
      <c r="J123" s="5">
        <v>0</v>
      </c>
      <c r="K123" s="5">
        <v>0</v>
      </c>
      <c r="L123" s="14">
        <v>480535403</v>
      </c>
      <c r="N123" s="216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18">
        <v>0</v>
      </c>
      <c r="X123" s="29">
        <v>480535403</v>
      </c>
      <c r="Z123" s="223">
        <v>464597147</v>
      </c>
      <c r="AA123" s="223">
        <v>241042872</v>
      </c>
      <c r="AB123" s="29">
        <v>116907703</v>
      </c>
      <c r="AC123" s="5">
        <v>-1980322895</v>
      </c>
      <c r="AD123" s="29">
        <v>-190300445</v>
      </c>
      <c r="AE123" s="29">
        <v>-126707914</v>
      </c>
      <c r="AF123" s="467">
        <v>-62271284</v>
      </c>
    </row>
    <row r="124" spans="1:32" ht="18" customHeight="1">
      <c r="A124" s="5"/>
      <c r="D124" s="11"/>
      <c r="E124" s="481"/>
      <c r="F124" s="478"/>
      <c r="G124" s="481" t="s">
        <v>382</v>
      </c>
      <c r="H124" s="260">
        <v>563447390</v>
      </c>
      <c r="I124" s="260">
        <v>-304243096</v>
      </c>
      <c r="J124" s="260">
        <v>-262853852</v>
      </c>
      <c r="K124" s="260">
        <v>-273879383</v>
      </c>
      <c r="L124" s="256">
        <v>-277528941</v>
      </c>
      <c r="N124" s="340">
        <v>0</v>
      </c>
      <c r="O124" s="260">
        <v>0</v>
      </c>
      <c r="P124" s="260">
        <v>0</v>
      </c>
      <c r="Q124" s="260">
        <v>-16226007</v>
      </c>
      <c r="R124" s="260">
        <v>0</v>
      </c>
      <c r="S124" s="260">
        <v>-20000000</v>
      </c>
      <c r="T124" s="260">
        <v>0</v>
      </c>
      <c r="U124" s="260">
        <v>0</v>
      </c>
      <c r="V124" s="341">
        <v>-36226007</v>
      </c>
      <c r="X124" s="26">
        <v>-313754948</v>
      </c>
      <c r="Z124" s="255">
        <v>-1122736577</v>
      </c>
      <c r="AA124" s="255">
        <v>-14901537446</v>
      </c>
      <c r="AB124" s="26">
        <v>2175396058</v>
      </c>
      <c r="AC124" s="260">
        <v>-23067872601</v>
      </c>
      <c r="AD124" s="26">
        <v>-9044916322</v>
      </c>
      <c r="AE124" s="26">
        <v>-4443577000</v>
      </c>
      <c r="AF124" s="470">
        <v>-23898178</v>
      </c>
    </row>
    <row r="125" spans="1:32" ht="18" customHeight="1">
      <c r="A125" s="5"/>
      <c r="D125" s="13" t="s">
        <v>383</v>
      </c>
      <c r="E125" s="3" t="s">
        <v>11</v>
      </c>
      <c r="G125" s="3" t="s">
        <v>11</v>
      </c>
      <c r="H125" s="5">
        <v>563447390</v>
      </c>
      <c r="I125" s="5">
        <v>-304243096</v>
      </c>
      <c r="J125" s="5">
        <v>-262853852</v>
      </c>
      <c r="K125" s="5">
        <v>-273879383</v>
      </c>
      <c r="L125" s="14">
        <v>-277528941</v>
      </c>
      <c r="N125" s="216">
        <v>0</v>
      </c>
      <c r="O125" s="5">
        <v>0</v>
      </c>
      <c r="P125" s="5">
        <v>0</v>
      </c>
      <c r="Q125" s="5">
        <v>-16226007</v>
      </c>
      <c r="R125" s="5">
        <v>0</v>
      </c>
      <c r="S125" s="5">
        <v>-20000000</v>
      </c>
      <c r="T125" s="5">
        <v>0</v>
      </c>
      <c r="U125" s="5">
        <v>0</v>
      </c>
      <c r="V125" s="218">
        <v>-36226007</v>
      </c>
      <c r="X125" s="29">
        <v>-313754948</v>
      </c>
      <c r="Z125" s="223">
        <v>-1122736577</v>
      </c>
      <c r="AA125" s="223">
        <v>-14901537446</v>
      </c>
      <c r="AB125" s="29">
        <v>2175396058</v>
      </c>
      <c r="AC125" s="5">
        <v>-23067872601</v>
      </c>
      <c r="AD125" s="29">
        <v>-9044916322</v>
      </c>
      <c r="AE125" s="29">
        <v>-4443577000</v>
      </c>
      <c r="AF125" s="467">
        <v>-23898178</v>
      </c>
    </row>
    <row r="126" spans="1:32" ht="18" customHeight="1" thickBot="1">
      <c r="A126" s="5"/>
      <c r="D126" s="344" t="s">
        <v>384</v>
      </c>
      <c r="E126" s="17" t="s">
        <v>210</v>
      </c>
      <c r="F126" s="334"/>
      <c r="G126" s="17" t="s">
        <v>210</v>
      </c>
      <c r="H126" s="15">
        <v>0</v>
      </c>
      <c r="I126" s="15">
        <v>0</v>
      </c>
      <c r="J126" s="15">
        <v>0</v>
      </c>
      <c r="K126" s="485">
        <v>0</v>
      </c>
      <c r="L126" s="16">
        <v>0</v>
      </c>
      <c r="N126" s="277">
        <v>0</v>
      </c>
      <c r="O126" s="485">
        <v>0</v>
      </c>
      <c r="P126" s="485">
        <v>0</v>
      </c>
      <c r="Q126" s="485">
        <v>0</v>
      </c>
      <c r="R126" s="485">
        <v>0</v>
      </c>
      <c r="S126" s="485">
        <v>0</v>
      </c>
      <c r="T126" s="485">
        <v>0</v>
      </c>
      <c r="U126" s="485">
        <v>0</v>
      </c>
      <c r="V126" s="224">
        <v>0</v>
      </c>
      <c r="X126" s="345">
        <v>0</v>
      </c>
      <c r="Z126" s="257">
        <v>0</v>
      </c>
      <c r="AA126" s="257">
        <v>0</v>
      </c>
      <c r="AB126" s="345"/>
      <c r="AC126" s="15">
        <v>0</v>
      </c>
      <c r="AD126" s="345">
        <v>0</v>
      </c>
      <c r="AE126" s="377">
        <v>0</v>
      </c>
      <c r="AF126" s="468">
        <v>0</v>
      </c>
    </row>
    <row r="127" spans="1:32" s="24" customFormat="1" ht="18" customHeight="1">
      <c r="F127" s="346"/>
      <c r="H127" s="25" t="b">
        <v>1</v>
      </c>
      <c r="I127" s="24" t="b">
        <v>1</v>
      </c>
      <c r="J127" s="24" t="b">
        <v>1</v>
      </c>
      <c r="K127" s="25" t="b">
        <v>1</v>
      </c>
      <c r="L127" s="25"/>
      <c r="N127" s="25">
        <v>0</v>
      </c>
      <c r="O127" s="25"/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/>
      <c r="V127" s="25"/>
      <c r="X127" s="25"/>
      <c r="Z127" s="205"/>
      <c r="AA127" s="205"/>
      <c r="AB127" s="205"/>
      <c r="AD127" s="25"/>
      <c r="AE127" s="373"/>
      <c r="AF127" s="205"/>
    </row>
    <row r="128" spans="1:32" ht="18" customHeight="1">
      <c r="L128" s="486"/>
      <c r="N128" s="5"/>
      <c r="O128" s="5"/>
      <c r="R128" s="217"/>
      <c r="V128" s="5"/>
      <c r="X128" s="5"/>
      <c r="AD128" s="5"/>
      <c r="AE128" s="205"/>
    </row>
    <row r="129" spans="6:30" s="373" customFormat="1" ht="18" customHeight="1">
      <c r="F129" s="23"/>
      <c r="G129" s="3"/>
      <c r="H129" s="5"/>
      <c r="I129" s="5"/>
      <c r="J129" s="3"/>
      <c r="K129" s="3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3"/>
      <c r="AC129" s="3"/>
      <c r="AD129" s="5"/>
    </row>
    <row r="130" spans="6:30" s="373" customFormat="1" ht="18" customHeight="1">
      <c r="F130" s="2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73">
        <v>1122736577</v>
      </c>
      <c r="AA130" s="373">
        <v>14587782498</v>
      </c>
      <c r="AC130" s="3"/>
      <c r="AD130" s="3"/>
    </row>
    <row r="131" spans="6:30" s="373" customFormat="1" ht="18" customHeight="1">
      <c r="F131" s="23"/>
      <c r="G131" s="3"/>
      <c r="H131" s="487"/>
      <c r="I131" s="48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C131" s="3"/>
      <c r="AD131" s="3"/>
    </row>
    <row r="132" spans="6:30" s="373" customFormat="1" ht="18" customHeight="1">
      <c r="F132" s="23"/>
      <c r="G132" s="3"/>
      <c r="H132" s="5"/>
      <c r="I132" s="5"/>
      <c r="J132" s="3"/>
      <c r="K132" s="3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C132" s="3"/>
      <c r="AD132" s="3"/>
    </row>
    <row r="133" spans="6:30" s="373" customFormat="1" ht="18" customHeight="1">
      <c r="F133" s="23"/>
      <c r="G133" s="3"/>
      <c r="H133" s="3"/>
      <c r="I133" s="3"/>
      <c r="J133" s="3"/>
      <c r="K133" s="3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C133" s="3"/>
      <c r="AD133" s="3"/>
    </row>
  </sheetData>
  <autoFilter ref="D5:L127" xr:uid="{00000000-0009-0000-0000-000006000000}"/>
  <phoneticPr fontId="2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9" tint="0.79998168889431442"/>
  </sheetPr>
  <dimension ref="A1:BA136"/>
  <sheetViews>
    <sheetView showGridLines="0" zoomScale="80" zoomScaleNormal="80" workbookViewId="0">
      <pane xSplit="7" ySplit="5" topLeftCell="H6" activePane="bottomRight" state="frozen"/>
      <selection activeCell="I248" sqref="I248"/>
      <selection pane="topRight" activeCell="I248" sqref="I248"/>
      <selection pane="bottomLeft" activeCell="I248" sqref="I248"/>
      <selection pane="bottomRight" activeCell="G11" sqref="G11"/>
    </sheetView>
  </sheetViews>
  <sheetFormatPr defaultColWidth="8.75" defaultRowHeight="18" customHeight="1" outlineLevelCol="1"/>
  <cols>
    <col min="1" max="1" width="17.75" style="1359" customWidth="1"/>
    <col min="2" max="2" width="6.125" style="1359" bestFit="1" customWidth="1"/>
    <col min="3" max="3" width="2.375" style="1359" customWidth="1"/>
    <col min="4" max="4" width="14.375" style="1359" bestFit="1" customWidth="1"/>
    <col min="5" max="5" width="28" style="1359" customWidth="1"/>
    <col min="6" max="6" width="14.125" style="1361" customWidth="1"/>
    <col min="7" max="7" width="30.625" style="1359" customWidth="1"/>
    <col min="8" max="9" width="18.125" style="1359" customWidth="1" outlineLevel="1"/>
    <col min="10" max="10" width="19.625" style="1359" customWidth="1" outlineLevel="1"/>
    <col min="11" max="11" width="19" style="1359" bestFit="1" customWidth="1" outlineLevel="1"/>
    <col min="12" max="12" width="17.625" style="1359" customWidth="1"/>
    <col min="13" max="13" width="2.75" style="1359" customWidth="1"/>
    <col min="14" max="21" width="18.625" style="1359" hidden="1" customWidth="1" outlineLevel="1"/>
    <col min="22" max="22" width="18.625" style="1359" customWidth="1" collapsed="1"/>
    <col min="23" max="23" width="2.375" style="1359" customWidth="1"/>
    <col min="24" max="24" width="16.625" style="1359" customWidth="1"/>
    <col min="25" max="25" width="2.375" style="1359" customWidth="1"/>
    <col min="26" max="28" width="16.625" style="1359" hidden="1" customWidth="1" outlineLevel="1"/>
    <col min="29" max="29" width="2.375" style="1359" hidden="1" customWidth="1" outlineLevel="1"/>
    <col min="30" max="32" width="16.625" style="1359" hidden="1" customWidth="1" outlineLevel="1"/>
    <col min="33" max="33" width="2.375" style="1359" hidden="1" customWidth="1" outlineLevel="1"/>
    <col min="34" max="34" width="16.625" style="1359" customWidth="1" collapsed="1"/>
    <col min="35" max="36" width="16.625" style="1359" customWidth="1"/>
    <col min="37" max="37" width="2.375" style="1359" customWidth="1"/>
    <col min="38" max="49" width="16.625" style="965" customWidth="1"/>
    <col min="50" max="50" width="16.625" style="1359" customWidth="1"/>
    <col min="51" max="51" width="16.625" style="770" customWidth="1"/>
    <col min="52" max="53" width="16.625" style="965" customWidth="1"/>
    <col min="54" max="16384" width="8.75" style="1359"/>
  </cols>
  <sheetData>
    <row r="1" spans="1:53" ht="18" customHeight="1">
      <c r="H1" s="509"/>
      <c r="I1" s="509"/>
      <c r="L1" s="965"/>
      <c r="X1" s="509"/>
      <c r="Z1" s="509"/>
      <c r="AA1" s="509"/>
      <c r="AB1" s="509"/>
      <c r="AD1" s="509"/>
      <c r="AE1" s="509"/>
      <c r="AF1" s="509"/>
      <c r="AH1" s="509"/>
      <c r="AI1" s="509"/>
      <c r="AJ1" s="509"/>
    </row>
    <row r="2" spans="1:53" ht="18" customHeight="1">
      <c r="G2" s="1652"/>
      <c r="H2" s="509"/>
      <c r="I2" s="509"/>
      <c r="J2" s="509"/>
      <c r="K2" s="509"/>
      <c r="L2" s="509"/>
      <c r="X2" s="509"/>
      <c r="Z2" s="509"/>
      <c r="AA2" s="1942"/>
      <c r="AB2" s="509"/>
      <c r="AD2" s="509"/>
      <c r="AE2" s="1942"/>
      <c r="AF2" s="509"/>
      <c r="AH2" s="509"/>
      <c r="AI2" s="1942"/>
      <c r="AJ2" s="509"/>
    </row>
    <row r="3" spans="1:53" s="1361" customFormat="1" ht="18" customHeight="1">
      <c r="G3" s="1797"/>
      <c r="H3" s="1599"/>
      <c r="I3" s="1599"/>
      <c r="J3" s="1599"/>
      <c r="K3" s="1599"/>
      <c r="L3" s="1599"/>
      <c r="V3" s="562"/>
      <c r="X3" s="1574" t="s">
        <v>538</v>
      </c>
      <c r="Z3" s="1574"/>
      <c r="AA3" s="1574"/>
      <c r="AB3" s="1574"/>
      <c r="AD3" s="1574"/>
      <c r="AE3" s="1574"/>
      <c r="AF3" s="1574"/>
      <c r="AH3" s="1574"/>
      <c r="AI3" s="1574"/>
      <c r="AJ3" s="1574"/>
      <c r="AL3" s="1600"/>
      <c r="AM3" s="1600"/>
      <c r="AN3" s="1600"/>
      <c r="AO3" s="1600"/>
      <c r="AP3" s="1600"/>
      <c r="AQ3" s="1600"/>
      <c r="AR3" s="1600"/>
      <c r="AS3" s="1600"/>
      <c r="AT3" s="1600"/>
      <c r="AU3" s="1600"/>
      <c r="AV3" s="1600"/>
      <c r="AW3" s="1600"/>
      <c r="AY3" s="565"/>
      <c r="AZ3" s="1600"/>
      <c r="BA3" s="1600"/>
    </row>
    <row r="4" spans="1:53" s="1574" customFormat="1" ht="18" customHeight="1" thickBot="1">
      <c r="H4" s="1599" t="str">
        <f>T_BS!H3</f>
        <v>V1.4</v>
      </c>
      <c r="I4" s="1599" t="str">
        <f>T_BS!I3</f>
        <v>V1.1</v>
      </c>
      <c r="J4" s="1599" t="str">
        <f>T_BS!J3</f>
        <v>V1.0</v>
      </c>
      <c r="K4" s="1599" t="str">
        <f>T_BS!K3</f>
        <v>V1.0</v>
      </c>
      <c r="R4" s="1601"/>
      <c r="X4" s="1574" t="str">
        <f>T_BS!X3</f>
        <v>2022.12.31</v>
      </c>
      <c r="AL4" s="1602"/>
      <c r="AM4" s="1602"/>
      <c r="AN4" s="1602"/>
      <c r="AO4" s="1602"/>
      <c r="AP4" s="1602"/>
      <c r="AQ4" s="1602"/>
      <c r="AR4" s="1602"/>
      <c r="AS4" s="1602"/>
      <c r="AT4" s="1602"/>
      <c r="AU4" s="1602"/>
      <c r="AV4" s="1602"/>
      <c r="AW4" s="1602"/>
      <c r="AY4" s="1603"/>
      <c r="AZ4" s="1602"/>
      <c r="BA4" s="1602"/>
    </row>
    <row r="5" spans="1:53" s="1511" customFormat="1" ht="33" customHeight="1">
      <c r="D5" s="1512" t="s">
        <v>16</v>
      </c>
      <c r="E5" s="1513" t="s">
        <v>17</v>
      </c>
      <c r="F5" s="1513" t="s">
        <v>18</v>
      </c>
      <c r="G5" s="1513" t="s">
        <v>19</v>
      </c>
      <c r="H5" s="497" t="s">
        <v>15</v>
      </c>
      <c r="I5" s="497" t="s">
        <v>2079</v>
      </c>
      <c r="J5" s="497" t="s">
        <v>2586</v>
      </c>
      <c r="K5" s="497" t="s">
        <v>2829</v>
      </c>
      <c r="L5" s="517" t="s">
        <v>227</v>
      </c>
      <c r="N5" s="1516" t="s">
        <v>391</v>
      </c>
      <c r="O5" s="1517" t="s">
        <v>402</v>
      </c>
      <c r="P5" s="1517" t="s">
        <v>403</v>
      </c>
      <c r="Q5" s="1517" t="s">
        <v>409</v>
      </c>
      <c r="R5" s="1517" t="s">
        <v>410</v>
      </c>
      <c r="S5" s="1517" t="s">
        <v>487</v>
      </c>
      <c r="T5" s="1517" t="s">
        <v>490</v>
      </c>
      <c r="U5" s="1517" t="s">
        <v>491</v>
      </c>
      <c r="V5" s="1518" t="s">
        <v>489</v>
      </c>
      <c r="X5" s="1604" t="s">
        <v>2889</v>
      </c>
      <c r="Z5" s="1604" t="s">
        <v>2902</v>
      </c>
      <c r="AA5" s="1604" t="s">
        <v>2906</v>
      </c>
      <c r="AB5" s="1604" t="s">
        <v>2904</v>
      </c>
      <c r="AD5" s="1604" t="s">
        <v>2902</v>
      </c>
      <c r="AE5" s="1604" t="s">
        <v>2903</v>
      </c>
      <c r="AF5" s="1604" t="s">
        <v>2905</v>
      </c>
      <c r="AH5" s="1604" t="s">
        <v>2911</v>
      </c>
      <c r="AI5" s="1604" t="s">
        <v>2901</v>
      </c>
      <c r="AJ5" s="1604" t="s">
        <v>2900</v>
      </c>
      <c r="AL5" s="1605" t="s">
        <v>2901</v>
      </c>
      <c r="AM5" s="1605" t="s">
        <v>2885</v>
      </c>
      <c r="AN5" s="1605" t="s">
        <v>2887</v>
      </c>
      <c r="AO5" s="1605" t="s">
        <v>2831</v>
      </c>
      <c r="AP5" s="1605" t="s">
        <v>2828</v>
      </c>
      <c r="AQ5" s="1605" t="s">
        <v>2812</v>
      </c>
      <c r="AR5" s="1605" t="s">
        <v>2575</v>
      </c>
      <c r="AS5" s="1606" t="s">
        <v>2406</v>
      </c>
      <c r="AT5" s="1606" t="s">
        <v>2325</v>
      </c>
      <c r="AU5" s="1606" t="str">
        <f>T_BS!AK5</f>
        <v>FY2021.Q3</v>
      </c>
      <c r="AV5" s="1606" t="str">
        <f>T_BS!AL5</f>
        <v>FY2021.Q2</v>
      </c>
      <c r="AW5" s="1606" t="str">
        <f>T_BS!AM5</f>
        <v>FY2021.Q1</v>
      </c>
      <c r="AX5" s="1513" t="s">
        <v>2297</v>
      </c>
      <c r="AY5" s="1606" t="s">
        <v>2298</v>
      </c>
      <c r="AZ5" s="1606" t="s">
        <v>2206</v>
      </c>
      <c r="BA5" s="1577" t="s">
        <v>2299</v>
      </c>
    </row>
    <row r="6" spans="1:53" ht="18" customHeight="1">
      <c r="A6" s="509"/>
      <c r="D6" s="1583"/>
      <c r="E6" s="1607"/>
      <c r="F6" s="1607"/>
      <c r="G6" s="1586" t="s">
        <v>228</v>
      </c>
      <c r="H6" s="1608">
        <f>SUM(H7:H25)</f>
        <v>257574735469</v>
      </c>
      <c r="I6" s="1609">
        <f>SUM(I7:I25)</f>
        <v>2119958142</v>
      </c>
      <c r="J6" s="1609">
        <f>SUM(J7:J25)</f>
        <v>625958430</v>
      </c>
      <c r="K6" s="1609">
        <f>SUM(K7:K25)</f>
        <v>17471196096</v>
      </c>
      <c r="L6" s="1610">
        <f>SUM(L7:L25)</f>
        <v>277791848137</v>
      </c>
      <c r="N6" s="1611">
        <f t="shared" ref="N6:V6" si="0">SUM(N7:N25)</f>
        <v>0</v>
      </c>
      <c r="O6" s="1609">
        <f t="shared" si="0"/>
        <v>0</v>
      </c>
      <c r="P6" s="1609">
        <f t="shared" si="0"/>
        <v>-3567735464</v>
      </c>
      <c r="Q6" s="1609">
        <f t="shared" si="0"/>
        <v>0</v>
      </c>
      <c r="R6" s="1609">
        <f t="shared" si="0"/>
        <v>0</v>
      </c>
      <c r="S6" s="1609">
        <f t="shared" si="0"/>
        <v>0</v>
      </c>
      <c r="T6" s="1609">
        <f t="shared" si="0"/>
        <v>0</v>
      </c>
      <c r="U6" s="1609">
        <f t="shared" si="0"/>
        <v>0</v>
      </c>
      <c r="V6" s="1612">
        <f t="shared" si="0"/>
        <v>-3567735464</v>
      </c>
      <c r="X6" s="1613">
        <f>SUM(X7:X25)</f>
        <v>274224112673</v>
      </c>
      <c r="Z6" s="1613">
        <f>SUM(Z7:Z25)</f>
        <v>74189380497</v>
      </c>
      <c r="AA6" s="1613">
        <f>SUM(AA7:AA25)</f>
        <v>66223031522</v>
      </c>
      <c r="AB6" s="1613">
        <f>SUM(AB7:AB25)</f>
        <v>7966348975</v>
      </c>
      <c r="AD6" s="1613">
        <f>SUM(AD7:AD25)</f>
        <v>74189380497</v>
      </c>
      <c r="AE6" s="1613">
        <f>SUM(AE7:AE25)</f>
        <v>73931010689</v>
      </c>
      <c r="AF6" s="1613">
        <f>SUM(AF7:AF25)</f>
        <v>258369808</v>
      </c>
      <c r="AH6" s="1613">
        <f>SUM(AH7:AH25)</f>
        <v>26437299898</v>
      </c>
      <c r="AI6" s="1613">
        <f>SUM(AI7:AI25)</f>
        <v>25234319504</v>
      </c>
      <c r="AJ6" s="1613">
        <f>SUM(AJ7:AJ25)</f>
        <v>1202980394</v>
      </c>
      <c r="AL6" s="1614">
        <v>247786812775</v>
      </c>
      <c r="AM6" s="1614">
        <v>222552493271</v>
      </c>
      <c r="AN6" s="1614">
        <v>200034732176</v>
      </c>
      <c r="AO6" s="1614">
        <v>177532466662</v>
      </c>
      <c r="AP6" s="1614">
        <v>151144348048</v>
      </c>
      <c r="AQ6" s="1614">
        <v>126103721487</v>
      </c>
      <c r="AR6" s="1614">
        <v>58165919693</v>
      </c>
      <c r="AS6" s="1614">
        <v>244189264502</v>
      </c>
      <c r="AT6" s="1614">
        <v>197973585490</v>
      </c>
      <c r="AU6" s="1614">
        <v>177966232980</v>
      </c>
      <c r="AV6" s="1614">
        <v>117973208961</v>
      </c>
      <c r="AW6" s="1613">
        <f>SUM(AW7:AW25)</f>
        <v>57684351029</v>
      </c>
      <c r="AX6" s="1609">
        <f>SUM(AX7:AX25)</f>
        <v>226329072223</v>
      </c>
      <c r="AY6" s="1613">
        <f>SUM(AY7:AY25)</f>
        <v>162636464186</v>
      </c>
      <c r="AZ6" s="1613">
        <f>SUM(AZ7:AZ25)</f>
        <v>107602421722</v>
      </c>
      <c r="BA6" s="1615">
        <f>SUM(BA7:BA25)</f>
        <v>50575766432</v>
      </c>
    </row>
    <row r="7" spans="1:53" ht="18" customHeight="1">
      <c r="A7" s="509"/>
      <c r="D7" s="1593">
        <v>410100</v>
      </c>
      <c r="E7" s="1359" t="s">
        <v>228</v>
      </c>
      <c r="F7" s="1361">
        <v>101</v>
      </c>
      <c r="G7" s="1359" t="s">
        <v>612</v>
      </c>
      <c r="H7" s="498">
        <v>42797526438</v>
      </c>
      <c r="I7" s="498">
        <v>0</v>
      </c>
      <c r="J7" s="710">
        <v>103212867</v>
      </c>
      <c r="K7" s="710">
        <v>0</v>
      </c>
      <c r="L7" s="510">
        <f t="shared" ref="L7:L25" si="1">SUM(H7:K7)</f>
        <v>42900739305</v>
      </c>
      <c r="N7" s="1468">
        <f>-ROUND(SUMIF('1.0'!$D:$D,T_IS!D7,'1.0'!$V:$V),0)</f>
        <v>0</v>
      </c>
      <c r="O7" s="509">
        <f>-ROUND(SUMIF('2.0'!$D:$D,T_IS!D7,'2.0'!$V:$V),0)</f>
        <v>0</v>
      </c>
      <c r="P7" s="509">
        <f>-ROUND(SUMIF('3.0'!$D:$D,T_IS!D7,'3.0'!$H:$H),0)</f>
        <v>0</v>
      </c>
      <c r="Q7" s="509">
        <f>-ROUND(SUMIF('4.0'!$D:$D,T_IS!D7,'4.0'!$V:$V),0)</f>
        <v>0</v>
      </c>
      <c r="R7" s="509">
        <f>-ROUND(SUMIF('5.0'!$D:$D,T_IS!D7,'5.0'!$V:$V),0)</f>
        <v>0</v>
      </c>
      <c r="S7" s="509">
        <f>-ROUND(SUMIF('6.0'!$D:$D,T_IS!D7,'6.0'!$V:$V),0)</f>
        <v>0</v>
      </c>
      <c r="T7" s="509">
        <f>-ROUND(SUMIF('7.0'!$D:$D,T_IS!D7,'7.0'!$V:$V),0)</f>
        <v>0</v>
      </c>
      <c r="U7" s="509">
        <f>-ROUND(SUMIF('8.0'!$D:$D,T_IS!F7,'8.0'!$H:$H),0)</f>
        <v>0</v>
      </c>
      <c r="V7" s="1470">
        <f t="shared" ref="V7:V25" si="2">SUM(N7:U7)</f>
        <v>0</v>
      </c>
      <c r="X7" s="1616">
        <f t="shared" ref="X7:X25" si="3">V7+L7</f>
        <v>42900739305</v>
      </c>
      <c r="Z7" s="1616">
        <f>X7-AN7</f>
        <v>11912580136</v>
      </c>
      <c r="AA7" s="1616">
        <f>AS7-AU7</f>
        <v>8568287796</v>
      </c>
      <c r="AB7" s="1616">
        <f>Z7-AA7</f>
        <v>3344292340</v>
      </c>
      <c r="AD7" s="1616">
        <f>X7-AN7</f>
        <v>11912580136</v>
      </c>
      <c r="AE7" s="1616">
        <f>AN7-AQ7</f>
        <v>12785708301</v>
      </c>
      <c r="AF7" s="1616">
        <f>AD7-AE7</f>
        <v>-873128165</v>
      </c>
      <c r="AH7" s="1616">
        <f>X7-AL7</f>
        <v>7388215976</v>
      </c>
      <c r="AI7" s="1616">
        <f>AL7-AM7</f>
        <v>2402368590</v>
      </c>
      <c r="AJ7" s="1616">
        <f>AH7-AI7</f>
        <v>4985847386</v>
      </c>
      <c r="AL7" s="550">
        <v>35512523329</v>
      </c>
      <c r="AM7" s="550">
        <v>33110154739</v>
      </c>
      <c r="AN7" s="550">
        <v>30988159169</v>
      </c>
      <c r="AO7" s="550">
        <v>28724868185</v>
      </c>
      <c r="AP7" s="550">
        <v>23975081878</v>
      </c>
      <c r="AQ7" s="550">
        <v>18202450868</v>
      </c>
      <c r="AR7" s="550">
        <v>9331305351</v>
      </c>
      <c r="AS7" s="550">
        <v>29186209572</v>
      </c>
      <c r="AT7" s="550">
        <v>22512545727</v>
      </c>
      <c r="AU7" s="550">
        <v>20617921776</v>
      </c>
      <c r="AV7" s="550">
        <v>14235080078</v>
      </c>
      <c r="AW7" s="1616">
        <v>7931187087</v>
      </c>
      <c r="AX7" s="509">
        <v>25747818985</v>
      </c>
      <c r="AY7" s="1616">
        <v>16403967656</v>
      </c>
      <c r="AZ7" s="1617">
        <v>9722799104</v>
      </c>
      <c r="BA7" s="1618">
        <v>3982145814</v>
      </c>
    </row>
    <row r="8" spans="1:53" ht="18" customHeight="1">
      <c r="A8" s="509"/>
      <c r="D8" s="1593">
        <v>410120</v>
      </c>
      <c r="E8" s="1359" t="s">
        <v>228</v>
      </c>
      <c r="F8" s="1361">
        <v>101</v>
      </c>
      <c r="G8" s="1359" t="s">
        <v>613</v>
      </c>
      <c r="H8" s="498">
        <v>-193407051</v>
      </c>
      <c r="I8" s="498">
        <v>0</v>
      </c>
      <c r="J8" s="710">
        <v>0</v>
      </c>
      <c r="K8" s="710">
        <v>0</v>
      </c>
      <c r="L8" s="510">
        <f t="shared" si="1"/>
        <v>-193407051</v>
      </c>
      <c r="N8" s="1468">
        <f>-ROUND(SUMIF('1.0'!$D:$D,T_IS!D8,'1.0'!$V:$V),0)</f>
        <v>0</v>
      </c>
      <c r="O8" s="509">
        <f>-ROUND(SUMIF('2.0'!$D:$D,T_IS!D8,'2.0'!$V:$V),0)</f>
        <v>0</v>
      </c>
      <c r="P8" s="509">
        <f>-ROUND(SUMIF('3.0'!$D:$D,T_IS!D8,'3.0'!$H:$H),0)</f>
        <v>0</v>
      </c>
      <c r="Q8" s="509">
        <f>-ROUND(SUMIF('4.0'!$D:$D,T_IS!D8,'4.0'!$V:$V),0)</f>
        <v>0</v>
      </c>
      <c r="R8" s="509">
        <f>-ROUND(SUMIF('5.0'!$D:$D,T_IS!D8,'5.0'!$V:$V),0)</f>
        <v>0</v>
      </c>
      <c r="S8" s="509">
        <f>-ROUND(SUMIF('6.0'!$D:$D,T_IS!D8,'6.0'!$V:$V),0)</f>
        <v>0</v>
      </c>
      <c r="T8" s="509">
        <f>-ROUND(SUMIF('7.0'!$D:$D,T_IS!D8,'7.0'!$V:$V),0)</f>
        <v>0</v>
      </c>
      <c r="U8" s="509">
        <f>-ROUND(SUMIF('8.0'!$D:$D,T_IS!F8,'8.0'!$H:$H),0)</f>
        <v>0</v>
      </c>
      <c r="V8" s="1470">
        <f t="shared" si="2"/>
        <v>0</v>
      </c>
      <c r="X8" s="1616">
        <f t="shared" si="3"/>
        <v>-193407051</v>
      </c>
      <c r="Z8" s="1616">
        <f t="shared" ref="Z8:Z25" si="4">X8-AN8</f>
        <v>-8358948</v>
      </c>
      <c r="AA8" s="1616">
        <f t="shared" ref="AA8:AA25" si="5">AS8-AU8</f>
        <v>0</v>
      </c>
      <c r="AB8" s="1616">
        <f t="shared" ref="AB8:AB25" si="6">Z8-AA8</f>
        <v>-8358948</v>
      </c>
      <c r="AD8" s="1616">
        <f t="shared" ref="AD8:AD25" si="7">X8-AN8</f>
        <v>-8358948</v>
      </c>
      <c r="AE8" s="1616">
        <f t="shared" ref="AE8:AE25" si="8">AN8-AQ8</f>
        <v>-162408463</v>
      </c>
      <c r="AF8" s="1616">
        <f t="shared" ref="AF8:AF25" si="9">AD8-AE8</f>
        <v>154049515</v>
      </c>
      <c r="AH8" s="1616">
        <f t="shared" ref="AH8:AH25" si="10">X8-AL8</f>
        <v>-3345048</v>
      </c>
      <c r="AI8" s="1616">
        <f t="shared" ref="AI8:AI25" si="11">AL8-AM8</f>
        <v>-3450000</v>
      </c>
      <c r="AJ8" s="1616">
        <f t="shared" ref="AJ8:AJ25" si="12">AH8-AI8</f>
        <v>104952</v>
      </c>
      <c r="AL8" s="550">
        <v>-190062003</v>
      </c>
      <c r="AM8" s="550">
        <v>-186612003</v>
      </c>
      <c r="AN8" s="550">
        <v>-185048103</v>
      </c>
      <c r="AO8" s="550">
        <v>-30065140</v>
      </c>
      <c r="AP8" s="550">
        <v>-25795540</v>
      </c>
      <c r="AQ8" s="550">
        <v>-22639640</v>
      </c>
      <c r="AR8" s="550">
        <v>-8660500</v>
      </c>
      <c r="AS8" s="550">
        <v>-18149805</v>
      </c>
      <c r="AT8" s="550">
        <v>-18149805</v>
      </c>
      <c r="AU8" s="550">
        <v>-18149805</v>
      </c>
      <c r="AV8" s="550">
        <v>-15801350</v>
      </c>
      <c r="AW8" s="1616">
        <v>-7018725</v>
      </c>
      <c r="AX8" s="509">
        <v>-21621398</v>
      </c>
      <c r="AY8" s="1616">
        <v>-17956314</v>
      </c>
      <c r="AZ8" s="1810">
        <v>-12493122</v>
      </c>
      <c r="BA8" s="1811">
        <v>-4236960</v>
      </c>
    </row>
    <row r="9" spans="1:53" ht="18" customHeight="1">
      <c r="A9" s="509"/>
      <c r="D9" s="1593">
        <v>410130</v>
      </c>
      <c r="E9" s="1359" t="s">
        <v>228</v>
      </c>
      <c r="F9" s="1361">
        <v>105</v>
      </c>
      <c r="G9" s="1359" t="s">
        <v>614</v>
      </c>
      <c r="H9" s="498">
        <v>3109053089</v>
      </c>
      <c r="I9" s="498">
        <v>0</v>
      </c>
      <c r="J9" s="710">
        <v>11940614</v>
      </c>
      <c r="K9" s="710">
        <v>17376214556</v>
      </c>
      <c r="L9" s="510">
        <f t="shared" si="1"/>
        <v>20497208259</v>
      </c>
      <c r="N9" s="1468">
        <f>-ROUND(SUMIF('1.0'!$D:$D,T_IS!D9,'1.0'!$V:$V),0)</f>
        <v>0</v>
      </c>
      <c r="O9" s="509">
        <f>-ROUND(SUMIF('2.0'!$D:$D,T_IS!D9,'2.0'!$V:$V),0)</f>
        <v>0</v>
      </c>
      <c r="P9" s="509">
        <f>-ROUND(SUMIF('3.0'!$D:$D,T_IS!D9,'3.0'!$H:$H),0)</f>
        <v>-1118559196</v>
      </c>
      <c r="Q9" s="509">
        <f>-ROUND(SUMIF('4.0'!$D:$D,T_IS!D9,'4.0'!$V:$V),0)</f>
        <v>0</v>
      </c>
      <c r="R9" s="509">
        <f>-ROUND(SUMIF('5.0'!$D:$D,T_IS!D9,'5.0'!$V:$V),0)</f>
        <v>0</v>
      </c>
      <c r="S9" s="509">
        <f>-ROUND(SUMIF('6.0'!$D:$D,T_IS!D9,'6.0'!$V:$V),0)</f>
        <v>0</v>
      </c>
      <c r="T9" s="509">
        <f>-ROUND(SUMIF('7.0'!$D:$D,T_IS!D9,'7.0'!$V:$V),0)</f>
        <v>0</v>
      </c>
      <c r="U9" s="509">
        <f>-ROUND(SUMIF('8.0'!$D:$D,T_IS!F9,'8.0'!$H:$H),0)</f>
        <v>0</v>
      </c>
      <c r="V9" s="1470">
        <f t="shared" si="2"/>
        <v>-1118559196</v>
      </c>
      <c r="X9" s="1616">
        <f t="shared" si="3"/>
        <v>19378649063</v>
      </c>
      <c r="Z9" s="1616">
        <f t="shared" si="4"/>
        <v>5985934731</v>
      </c>
      <c r="AA9" s="1616">
        <f t="shared" si="5"/>
        <v>805119332</v>
      </c>
      <c r="AB9" s="1616">
        <f t="shared" si="6"/>
        <v>5180815399</v>
      </c>
      <c r="AD9" s="1616">
        <f t="shared" si="7"/>
        <v>5985934731</v>
      </c>
      <c r="AE9" s="1616">
        <f t="shared" si="8"/>
        <v>7505761220</v>
      </c>
      <c r="AF9" s="1616">
        <f t="shared" si="9"/>
        <v>-1519826489</v>
      </c>
      <c r="AH9" s="1616">
        <f t="shared" si="10"/>
        <v>580972993</v>
      </c>
      <c r="AI9" s="1616">
        <f t="shared" si="11"/>
        <v>4601327010</v>
      </c>
      <c r="AJ9" s="1616">
        <f t="shared" si="12"/>
        <v>-4020354017</v>
      </c>
      <c r="AL9" s="550">
        <v>18797676070</v>
      </c>
      <c r="AM9" s="550">
        <v>14196349060</v>
      </c>
      <c r="AN9" s="550">
        <v>13392714332</v>
      </c>
      <c r="AO9" s="550">
        <v>12147099926</v>
      </c>
      <c r="AP9" s="550">
        <v>6717842971</v>
      </c>
      <c r="AQ9" s="550">
        <v>5886953112</v>
      </c>
      <c r="AR9" s="550">
        <v>1263215718</v>
      </c>
      <c r="AS9" s="550">
        <v>4490106613</v>
      </c>
      <c r="AT9" s="550">
        <v>4144767335</v>
      </c>
      <c r="AU9" s="550">
        <v>3684987281</v>
      </c>
      <c r="AV9" s="550">
        <v>2551516872</v>
      </c>
      <c r="AW9" s="1616">
        <v>795584555</v>
      </c>
      <c r="AX9" s="509">
        <v>5965069792</v>
      </c>
      <c r="AY9" s="1616">
        <v>5150077146</v>
      </c>
      <c r="AZ9" s="1617">
        <v>3972489239</v>
      </c>
      <c r="BA9" s="1618">
        <v>1395531155</v>
      </c>
    </row>
    <row r="10" spans="1:53" ht="18" customHeight="1">
      <c r="A10" s="509"/>
      <c r="D10" s="1593">
        <v>410140</v>
      </c>
      <c r="E10" s="1359" t="s">
        <v>228</v>
      </c>
      <c r="F10" s="1361">
        <v>105</v>
      </c>
      <c r="G10" s="1359" t="s">
        <v>615</v>
      </c>
      <c r="H10" s="498">
        <v>-81138</v>
      </c>
      <c r="I10" s="498">
        <v>0</v>
      </c>
      <c r="J10" s="710">
        <v>0</v>
      </c>
      <c r="K10" s="710">
        <v>0</v>
      </c>
      <c r="L10" s="510">
        <f t="shared" si="1"/>
        <v>-81138</v>
      </c>
      <c r="N10" s="1468">
        <f>-ROUND(SUMIF('1.0'!$D:$D,T_IS!D10,'1.0'!$V:$V),0)</f>
        <v>0</v>
      </c>
      <c r="O10" s="509">
        <f>-ROUND(SUMIF('2.0'!$D:$D,T_IS!D10,'2.0'!$V:$V),0)</f>
        <v>0</v>
      </c>
      <c r="P10" s="509">
        <f>-ROUND(SUMIF('3.0'!$D:$D,T_IS!D10,'3.0'!$H:$H),0)</f>
        <v>0</v>
      </c>
      <c r="Q10" s="509">
        <f>-ROUND(SUMIF('4.0'!$D:$D,T_IS!D10,'4.0'!$V:$V),0)</f>
        <v>0</v>
      </c>
      <c r="R10" s="509">
        <f>-ROUND(SUMIF('5.0'!$D:$D,T_IS!D10,'5.0'!$V:$V),0)</f>
        <v>0</v>
      </c>
      <c r="S10" s="509">
        <f>-ROUND(SUMIF('6.0'!$D:$D,T_IS!D10,'6.0'!$V:$V),0)</f>
        <v>0</v>
      </c>
      <c r="T10" s="509">
        <f>-ROUND(SUMIF('7.0'!$D:$D,T_IS!D10,'7.0'!$V:$V),0)</f>
        <v>0</v>
      </c>
      <c r="U10" s="509">
        <f>-ROUND(SUMIF('8.0'!$D:$D,T_IS!F10,'8.0'!$H:$H),0)</f>
        <v>0</v>
      </c>
      <c r="V10" s="1470">
        <f t="shared" si="2"/>
        <v>0</v>
      </c>
      <c r="X10" s="1616">
        <f t="shared" si="3"/>
        <v>-81138</v>
      </c>
      <c r="Z10" s="1616">
        <f t="shared" si="4"/>
        <v>-81138</v>
      </c>
      <c r="AA10" s="1616">
        <f t="shared" si="5"/>
        <v>0</v>
      </c>
      <c r="AB10" s="1616">
        <f t="shared" si="6"/>
        <v>-81138</v>
      </c>
      <c r="AD10" s="1616">
        <f t="shared" si="7"/>
        <v>-81138</v>
      </c>
      <c r="AE10" s="1616">
        <f t="shared" si="8"/>
        <v>0</v>
      </c>
      <c r="AF10" s="1616">
        <f t="shared" si="9"/>
        <v>-81138</v>
      </c>
      <c r="AH10" s="1616">
        <f t="shared" si="10"/>
        <v>0</v>
      </c>
      <c r="AI10" s="1616">
        <f t="shared" si="11"/>
        <v>-81138</v>
      </c>
      <c r="AJ10" s="1616">
        <f t="shared" si="12"/>
        <v>81138</v>
      </c>
      <c r="AL10" s="550">
        <v>-81138</v>
      </c>
      <c r="AM10" s="550">
        <v>0</v>
      </c>
      <c r="AN10" s="550">
        <v>0</v>
      </c>
      <c r="AO10" s="550">
        <v>0</v>
      </c>
      <c r="AP10" s="550">
        <v>0</v>
      </c>
      <c r="AQ10" s="550">
        <v>0</v>
      </c>
      <c r="AR10" s="550">
        <v>0</v>
      </c>
      <c r="AS10" s="550">
        <v>0</v>
      </c>
      <c r="AT10" s="550">
        <v>0</v>
      </c>
      <c r="AU10" s="550">
        <v>0</v>
      </c>
      <c r="AV10" s="550">
        <v>0</v>
      </c>
      <c r="AW10" s="1616">
        <v>0</v>
      </c>
      <c r="AX10" s="509">
        <v>-18771583</v>
      </c>
      <c r="AY10" s="1616">
        <v>-18771583</v>
      </c>
      <c r="AZ10" s="1810">
        <v>-18771583</v>
      </c>
      <c r="BA10" s="1618">
        <v>0</v>
      </c>
    </row>
    <row r="11" spans="1:53" ht="18" customHeight="1">
      <c r="A11" s="509"/>
      <c r="C11" s="1411"/>
      <c r="D11" s="1593">
        <v>410250</v>
      </c>
      <c r="E11" s="1359" t="s">
        <v>228</v>
      </c>
      <c r="F11" s="1361">
        <v>105</v>
      </c>
      <c r="G11" s="1359" t="s">
        <v>1900</v>
      </c>
      <c r="H11" s="498">
        <v>-24809513</v>
      </c>
      <c r="I11" s="498">
        <v>0</v>
      </c>
      <c r="J11" s="710">
        <v>0</v>
      </c>
      <c r="K11" s="710">
        <v>0</v>
      </c>
      <c r="L11" s="510">
        <f t="shared" si="1"/>
        <v>-24809513</v>
      </c>
      <c r="N11" s="1468">
        <f>-ROUND(SUMIF('1.0'!$D:$D,T_IS!D11,'1.0'!$V:$V),0)</f>
        <v>0</v>
      </c>
      <c r="O11" s="509">
        <f>-ROUND(SUMIF('2.0'!$D:$D,T_IS!D11,'2.0'!$V:$V),0)</f>
        <v>0</v>
      </c>
      <c r="P11" s="509">
        <f>-ROUND(SUMIF('3.0'!$D:$D,T_IS!D11,'3.0'!$H:$H),0)</f>
        <v>0</v>
      </c>
      <c r="Q11" s="509">
        <f>-ROUND(SUMIF('4.0'!$D:$D,T_IS!D11,'4.0'!$V:$V),0)</f>
        <v>0</v>
      </c>
      <c r="R11" s="509">
        <f>-ROUND(SUMIF('5.0'!$D:$D,T_IS!D11,'5.0'!$V:$V),0)</f>
        <v>0</v>
      </c>
      <c r="S11" s="509">
        <f>-ROUND(SUMIF('6.0'!$D:$D,T_IS!D11,'6.0'!$V:$V),0)</f>
        <v>0</v>
      </c>
      <c r="T11" s="509">
        <f>-ROUND(SUMIF('7.0'!$D:$D,T_IS!D11,'7.0'!$V:$V),0)</f>
        <v>0</v>
      </c>
      <c r="U11" s="509">
        <f>-ROUND(SUMIF('8.0'!$D:$D,T_IS!F11,'8.0'!$H:$H),0)</f>
        <v>0</v>
      </c>
      <c r="V11" s="1470">
        <f t="shared" si="2"/>
        <v>0</v>
      </c>
      <c r="X11" s="1616">
        <f t="shared" si="3"/>
        <v>-24809513</v>
      </c>
      <c r="Z11" s="1616">
        <f t="shared" si="4"/>
        <v>-13514125</v>
      </c>
      <c r="AA11" s="1616">
        <f t="shared" si="5"/>
        <v>-35609</v>
      </c>
      <c r="AB11" s="1616">
        <f t="shared" si="6"/>
        <v>-13478516</v>
      </c>
      <c r="AD11" s="1616">
        <f t="shared" si="7"/>
        <v>-13514125</v>
      </c>
      <c r="AE11" s="1616">
        <f t="shared" si="8"/>
        <v>-1045006</v>
      </c>
      <c r="AF11" s="1616">
        <f t="shared" si="9"/>
        <v>-12469119</v>
      </c>
      <c r="AH11" s="1616">
        <f t="shared" si="10"/>
        <v>-4394551</v>
      </c>
      <c r="AI11" s="1616">
        <f t="shared" si="11"/>
        <v>-2923691</v>
      </c>
      <c r="AJ11" s="1616">
        <f t="shared" si="12"/>
        <v>-1470860</v>
      </c>
      <c r="AL11" s="550">
        <v>-20414962</v>
      </c>
      <c r="AM11" s="550">
        <v>-17491271</v>
      </c>
      <c r="AN11" s="550">
        <v>-11295388</v>
      </c>
      <c r="AO11" s="550">
        <v>-11167723</v>
      </c>
      <c r="AP11" s="550">
        <v>-10273846</v>
      </c>
      <c r="AQ11" s="550">
        <v>-10250382</v>
      </c>
      <c r="AR11" s="550">
        <v>-3419963</v>
      </c>
      <c r="AS11" s="550">
        <v>-1892367</v>
      </c>
      <c r="AT11" s="550">
        <v>-1856758</v>
      </c>
      <c r="AU11" s="550">
        <v>-1856758</v>
      </c>
      <c r="AV11" s="550">
        <v>-1472626</v>
      </c>
      <c r="AW11" s="1616">
        <v>-537489</v>
      </c>
      <c r="AX11" s="509">
        <v>-5636045</v>
      </c>
      <c r="AY11" s="1616">
        <v>-4076194</v>
      </c>
      <c r="AZ11" s="1810">
        <v>-1392647</v>
      </c>
      <c r="BA11" s="1618">
        <v>0</v>
      </c>
    </row>
    <row r="12" spans="1:53" ht="18" customHeight="1">
      <c r="A12" s="509"/>
      <c r="D12" s="1593" t="s">
        <v>1763</v>
      </c>
      <c r="E12" s="1359" t="s">
        <v>228</v>
      </c>
      <c r="F12" s="1361">
        <v>105</v>
      </c>
      <c r="G12" s="1359" t="s">
        <v>1764</v>
      </c>
      <c r="H12" s="498">
        <v>0</v>
      </c>
      <c r="I12" s="498">
        <v>0</v>
      </c>
      <c r="J12" s="710">
        <v>0</v>
      </c>
      <c r="K12" s="710">
        <v>0</v>
      </c>
      <c r="L12" s="510">
        <f t="shared" si="1"/>
        <v>0</v>
      </c>
      <c r="N12" s="1468">
        <f>-ROUND(SUMIF('1.0'!$D:$D,T_IS!D12,'1.0'!$V:$V),0)</f>
        <v>0</v>
      </c>
      <c r="O12" s="509">
        <f>-ROUND(SUMIF('2.0'!$D:$D,T_IS!D12,'2.0'!$V:$V),0)</f>
        <v>0</v>
      </c>
      <c r="P12" s="509">
        <f>-ROUND(SUMIF('3.0'!$D:$D,T_IS!D12,'3.0'!$H:$H),0)</f>
        <v>0</v>
      </c>
      <c r="Q12" s="509">
        <f>-ROUND(SUMIF('4.0'!$D:$D,T_IS!D12,'4.0'!$V:$V),0)</f>
        <v>0</v>
      </c>
      <c r="R12" s="509">
        <f>-ROUND(SUMIF('5.0'!$D:$D,T_IS!D12,'5.0'!$V:$V),0)</f>
        <v>0</v>
      </c>
      <c r="S12" s="509">
        <f>-ROUND(SUMIF('6.0'!$D:$D,T_IS!D12,'6.0'!$V:$V),0)</f>
        <v>0</v>
      </c>
      <c r="T12" s="509">
        <f>-ROUND(SUMIF('7.0'!$D:$D,T_IS!D12,'7.0'!$V:$V),0)</f>
        <v>0</v>
      </c>
      <c r="U12" s="509">
        <f>-ROUND(SUMIF('8.0'!$D:$D,T_IS!F12,'8.0'!$H:$H),0)</f>
        <v>0</v>
      </c>
      <c r="V12" s="1470">
        <f t="shared" si="2"/>
        <v>0</v>
      </c>
      <c r="X12" s="1616">
        <f t="shared" si="3"/>
        <v>0</v>
      </c>
      <c r="Z12" s="1616">
        <f t="shared" si="4"/>
        <v>0</v>
      </c>
      <c r="AA12" s="1616">
        <f t="shared" si="5"/>
        <v>0</v>
      </c>
      <c r="AB12" s="1616">
        <f t="shared" si="6"/>
        <v>0</v>
      </c>
      <c r="AD12" s="1616">
        <f t="shared" si="7"/>
        <v>0</v>
      </c>
      <c r="AE12" s="1616">
        <f t="shared" si="8"/>
        <v>0</v>
      </c>
      <c r="AF12" s="1616">
        <f t="shared" si="9"/>
        <v>0</v>
      </c>
      <c r="AH12" s="1616">
        <f t="shared" si="10"/>
        <v>0</v>
      </c>
      <c r="AI12" s="1616">
        <f t="shared" si="11"/>
        <v>0</v>
      </c>
      <c r="AJ12" s="1616">
        <f t="shared" si="12"/>
        <v>0</v>
      </c>
      <c r="AL12" s="550">
        <v>0</v>
      </c>
      <c r="AM12" s="550">
        <v>0</v>
      </c>
      <c r="AN12" s="550">
        <v>0</v>
      </c>
      <c r="AO12" s="550">
        <v>0</v>
      </c>
      <c r="AP12" s="550">
        <v>0</v>
      </c>
      <c r="AQ12" s="550">
        <v>0</v>
      </c>
      <c r="AR12" s="550">
        <v>0</v>
      </c>
      <c r="AS12" s="550">
        <v>0</v>
      </c>
      <c r="AT12" s="550">
        <v>0</v>
      </c>
      <c r="AU12" s="550">
        <v>0</v>
      </c>
      <c r="AV12" s="550">
        <v>0</v>
      </c>
      <c r="AW12" s="1616">
        <v>0</v>
      </c>
      <c r="AX12" s="509">
        <v>0</v>
      </c>
      <c r="AY12" s="1616">
        <v>0</v>
      </c>
      <c r="AZ12" s="1617">
        <v>0</v>
      </c>
      <c r="BA12" s="1618">
        <v>0</v>
      </c>
    </row>
    <row r="13" spans="1:53" ht="18" customHeight="1">
      <c r="A13" s="509"/>
      <c r="D13" s="1593">
        <v>410200</v>
      </c>
      <c r="E13" s="1359" t="s">
        <v>228</v>
      </c>
      <c r="F13" s="1361">
        <v>102</v>
      </c>
      <c r="G13" s="1359" t="s">
        <v>616</v>
      </c>
      <c r="H13" s="498">
        <v>1629554150</v>
      </c>
      <c r="I13" s="498">
        <v>0</v>
      </c>
      <c r="J13" s="710">
        <v>0</v>
      </c>
      <c r="K13" s="710">
        <v>0</v>
      </c>
      <c r="L13" s="510">
        <f t="shared" si="1"/>
        <v>1629554150</v>
      </c>
      <c r="N13" s="1468">
        <f>-ROUND(SUMIF('1.0'!$D:$D,T_IS!D13,'1.0'!$V:$V),0)</f>
        <v>0</v>
      </c>
      <c r="O13" s="509">
        <f>-ROUND(SUMIF('2.0'!$D:$D,T_IS!D13,'2.0'!$V:$V),0)</f>
        <v>0</v>
      </c>
      <c r="P13" s="509">
        <f>-ROUND(SUMIF('3.0'!$D:$D,T_IS!D13,'3.0'!$H:$H),0)</f>
        <v>0</v>
      </c>
      <c r="Q13" s="509">
        <f>-ROUND(SUMIF('4.0'!$D:$D,T_IS!D13,'4.0'!$V:$V),0)</f>
        <v>0</v>
      </c>
      <c r="R13" s="509">
        <f>-ROUND(SUMIF('5.0'!$D:$D,T_IS!D13,'5.0'!$V:$V),0)</f>
        <v>0</v>
      </c>
      <c r="S13" s="509">
        <f>-ROUND(SUMIF('6.0'!$D:$D,T_IS!D13,'6.0'!$V:$V),0)</f>
        <v>0</v>
      </c>
      <c r="T13" s="509">
        <f>-ROUND(SUMIF('7.0'!$D:$D,T_IS!D13,'7.0'!$V:$V),0)</f>
        <v>0</v>
      </c>
      <c r="U13" s="509">
        <f>-ROUND(SUMIF('8.0'!$D:$D,T_IS!F13,'8.0'!$H:$H),0)</f>
        <v>0</v>
      </c>
      <c r="V13" s="1470">
        <f t="shared" si="2"/>
        <v>0</v>
      </c>
      <c r="X13" s="1616">
        <f t="shared" si="3"/>
        <v>1629554150</v>
      </c>
      <c r="Z13" s="1616">
        <f t="shared" si="4"/>
        <v>713322870</v>
      </c>
      <c r="AA13" s="1616">
        <f t="shared" si="5"/>
        <v>607549340</v>
      </c>
      <c r="AB13" s="1616">
        <f t="shared" si="6"/>
        <v>105773530</v>
      </c>
      <c r="AD13" s="1616">
        <f t="shared" si="7"/>
        <v>713322870</v>
      </c>
      <c r="AE13" s="1616">
        <f t="shared" si="8"/>
        <v>140124458</v>
      </c>
      <c r="AF13" s="1616">
        <f t="shared" si="9"/>
        <v>573198412</v>
      </c>
      <c r="AH13" s="1616">
        <f t="shared" si="10"/>
        <v>122135229</v>
      </c>
      <c r="AI13" s="1616">
        <f t="shared" si="11"/>
        <v>378219825</v>
      </c>
      <c r="AJ13" s="1616">
        <f t="shared" si="12"/>
        <v>-256084596</v>
      </c>
      <c r="AL13" s="550">
        <v>1507418921</v>
      </c>
      <c r="AM13" s="550">
        <v>1129199096</v>
      </c>
      <c r="AN13" s="550">
        <v>916231280</v>
      </c>
      <c r="AO13" s="550">
        <v>830819091</v>
      </c>
      <c r="AP13" s="550">
        <v>813097126</v>
      </c>
      <c r="AQ13" s="550">
        <v>776106822</v>
      </c>
      <c r="AR13" s="550">
        <v>227104873</v>
      </c>
      <c r="AS13" s="550">
        <v>2022047250</v>
      </c>
      <c r="AT13" s="550">
        <v>1827068140</v>
      </c>
      <c r="AU13" s="550">
        <v>1414497910</v>
      </c>
      <c r="AV13" s="550">
        <v>720337769</v>
      </c>
      <c r="AW13" s="1616">
        <v>298817967</v>
      </c>
      <c r="AX13" s="509">
        <v>5300479614</v>
      </c>
      <c r="AY13" s="1616">
        <v>4912041742</v>
      </c>
      <c r="AZ13" s="1617">
        <v>3683010180</v>
      </c>
      <c r="BA13" s="1618">
        <v>2375227116</v>
      </c>
    </row>
    <row r="14" spans="1:53" ht="18" customHeight="1">
      <c r="A14" s="509"/>
      <c r="D14" s="1593">
        <v>410220</v>
      </c>
      <c r="E14" s="1359" t="s">
        <v>228</v>
      </c>
      <c r="F14" s="1361">
        <v>102</v>
      </c>
      <c r="G14" s="1359" t="s">
        <v>617</v>
      </c>
      <c r="H14" s="498">
        <v>-2405000</v>
      </c>
      <c r="I14" s="498">
        <v>0</v>
      </c>
      <c r="J14" s="710">
        <v>0</v>
      </c>
      <c r="K14" s="710">
        <v>0</v>
      </c>
      <c r="L14" s="510">
        <f t="shared" si="1"/>
        <v>-2405000</v>
      </c>
      <c r="N14" s="1468">
        <f>-ROUND(SUMIF('1.0'!$D:$D,T_IS!D14,'1.0'!$V:$V),0)</f>
        <v>0</v>
      </c>
      <c r="O14" s="509">
        <f>-ROUND(SUMIF('2.0'!$D:$D,T_IS!D14,'2.0'!$V:$V),0)</f>
        <v>0</v>
      </c>
      <c r="P14" s="509">
        <f>-ROUND(SUMIF('3.0'!$D:$D,T_IS!D14,'3.0'!$H:$H),0)</f>
        <v>0</v>
      </c>
      <c r="Q14" s="509">
        <f>-ROUND(SUMIF('4.0'!$D:$D,T_IS!D14,'4.0'!$V:$V),0)</f>
        <v>0</v>
      </c>
      <c r="R14" s="509">
        <f>-ROUND(SUMIF('5.0'!$D:$D,T_IS!D14,'5.0'!$V:$V),0)</f>
        <v>0</v>
      </c>
      <c r="S14" s="509">
        <f>-ROUND(SUMIF('6.0'!$D:$D,T_IS!D14,'6.0'!$V:$V),0)</f>
        <v>0</v>
      </c>
      <c r="T14" s="509">
        <f>-ROUND(SUMIF('7.0'!$D:$D,T_IS!D14,'7.0'!$V:$V),0)</f>
        <v>0</v>
      </c>
      <c r="U14" s="509">
        <f>-ROUND(SUMIF('8.0'!$D:$D,T_IS!F14,'8.0'!$H:$H),0)</f>
        <v>0</v>
      </c>
      <c r="V14" s="1470">
        <f t="shared" si="2"/>
        <v>0</v>
      </c>
      <c r="X14" s="1616">
        <f t="shared" si="3"/>
        <v>-2405000</v>
      </c>
      <c r="Z14" s="1616">
        <f t="shared" si="4"/>
        <v>-2016000</v>
      </c>
      <c r="AA14" s="1616">
        <f t="shared" si="5"/>
        <v>0</v>
      </c>
      <c r="AB14" s="1616">
        <f t="shared" si="6"/>
        <v>-2016000</v>
      </c>
      <c r="AD14" s="1616">
        <f t="shared" si="7"/>
        <v>-2016000</v>
      </c>
      <c r="AE14" s="1616">
        <f t="shared" si="8"/>
        <v>-389000</v>
      </c>
      <c r="AF14" s="1616">
        <f t="shared" si="9"/>
        <v>-1627000</v>
      </c>
      <c r="AH14" s="1616">
        <f t="shared" si="10"/>
        <v>0</v>
      </c>
      <c r="AI14" s="1616">
        <f t="shared" si="11"/>
        <v>-477000</v>
      </c>
      <c r="AJ14" s="1616">
        <f t="shared" si="12"/>
        <v>477000</v>
      </c>
      <c r="AL14" s="550">
        <v>-2405000</v>
      </c>
      <c r="AM14" s="550">
        <v>-1928000</v>
      </c>
      <c r="AN14" s="550">
        <v>-389000</v>
      </c>
      <c r="AO14" s="550">
        <v>-389000</v>
      </c>
      <c r="AP14" s="550">
        <v>0</v>
      </c>
      <c r="AQ14" s="550">
        <v>0</v>
      </c>
      <c r="AR14" s="550">
        <v>0</v>
      </c>
      <c r="AS14" s="550">
        <v>-635000</v>
      </c>
      <c r="AT14" s="550">
        <v>-635000</v>
      </c>
      <c r="AU14" s="550">
        <v>-635000</v>
      </c>
      <c r="AV14" s="550">
        <v>0</v>
      </c>
      <c r="AW14" s="1616">
        <v>0</v>
      </c>
      <c r="AX14" s="509">
        <v>-2402000</v>
      </c>
      <c r="AY14" s="1616">
        <v>-2402000</v>
      </c>
      <c r="AZ14" s="1810">
        <v>-2402000</v>
      </c>
      <c r="BA14" s="1811">
        <v>-2402000</v>
      </c>
    </row>
    <row r="15" spans="1:53" ht="18" customHeight="1">
      <c r="A15" s="509"/>
      <c r="D15" s="1593" t="s">
        <v>1542</v>
      </c>
      <c r="E15" s="1359" t="s">
        <v>228</v>
      </c>
      <c r="F15" s="1361">
        <v>102</v>
      </c>
      <c r="G15" s="1359" t="s">
        <v>1543</v>
      </c>
      <c r="H15" s="498">
        <v>-27066376</v>
      </c>
      <c r="I15" s="498">
        <v>0</v>
      </c>
      <c r="J15" s="710">
        <v>0</v>
      </c>
      <c r="K15" s="710">
        <v>0</v>
      </c>
      <c r="L15" s="510">
        <f t="shared" si="1"/>
        <v>-27066376</v>
      </c>
      <c r="N15" s="1468">
        <f>-ROUND(SUMIF('1.0'!$D:$D,T_IS!D15,'1.0'!$V:$V),0)</f>
        <v>0</v>
      </c>
      <c r="O15" s="509">
        <f>-ROUND(SUMIF('2.0'!$D:$D,T_IS!D15,'2.0'!$V:$V),0)</f>
        <v>0</v>
      </c>
      <c r="P15" s="509">
        <f>-ROUND(SUMIF('3.0'!$D:$D,T_IS!D15,'3.0'!$H:$H),0)</f>
        <v>0</v>
      </c>
      <c r="Q15" s="509"/>
      <c r="R15" s="509">
        <f>-ROUND(SUMIF('5.0'!$D:$D,T_IS!D15,'5.0'!$V:$V),0)</f>
        <v>0</v>
      </c>
      <c r="S15" s="509"/>
      <c r="T15" s="509">
        <f>-ROUND(SUMIF('7.0'!$D:$D,T_IS!D15,'7.0'!$V:$V),0)</f>
        <v>0</v>
      </c>
      <c r="U15" s="509"/>
      <c r="V15" s="1470">
        <f t="shared" si="2"/>
        <v>0</v>
      </c>
      <c r="X15" s="1616">
        <f t="shared" si="3"/>
        <v>-27066376</v>
      </c>
      <c r="Z15" s="1616">
        <f t="shared" si="4"/>
        <v>-7183468</v>
      </c>
      <c r="AA15" s="1616">
        <f t="shared" si="5"/>
        <v>-44122672</v>
      </c>
      <c r="AB15" s="1616">
        <f t="shared" si="6"/>
        <v>36939204</v>
      </c>
      <c r="AD15" s="1616">
        <f t="shared" si="7"/>
        <v>-7183468</v>
      </c>
      <c r="AE15" s="1616">
        <f t="shared" si="8"/>
        <v>0</v>
      </c>
      <c r="AF15" s="1616">
        <f t="shared" si="9"/>
        <v>-7183468</v>
      </c>
      <c r="AH15" s="1616">
        <f t="shared" si="10"/>
        <v>-7183468</v>
      </c>
      <c r="AI15" s="1616">
        <f t="shared" si="11"/>
        <v>0</v>
      </c>
      <c r="AJ15" s="1616">
        <f t="shared" si="12"/>
        <v>-7183468</v>
      </c>
      <c r="AL15" s="550">
        <v>-19882908</v>
      </c>
      <c r="AM15" s="550">
        <v>-19882908</v>
      </c>
      <c r="AN15" s="550">
        <v>-19882908</v>
      </c>
      <c r="AO15" s="550">
        <v>-19882908</v>
      </c>
      <c r="AP15" s="550">
        <v>-19882908</v>
      </c>
      <c r="AQ15" s="550">
        <v>-19882908</v>
      </c>
      <c r="AR15" s="550">
        <v>0</v>
      </c>
      <c r="AS15" s="550">
        <v>-7087617</v>
      </c>
      <c r="AT15" s="550">
        <v>37035055</v>
      </c>
      <c r="AU15" s="550">
        <v>37035055</v>
      </c>
      <c r="AV15" s="550">
        <v>37035055</v>
      </c>
      <c r="AW15" s="1616">
        <v>0</v>
      </c>
      <c r="AX15" s="509">
        <v>-119669243</v>
      </c>
      <c r="AY15" s="1616">
        <v>-154254245</v>
      </c>
      <c r="AZ15" s="1810">
        <v>-154254245</v>
      </c>
      <c r="BA15" s="1618">
        <v>0</v>
      </c>
    </row>
    <row r="16" spans="1:53" ht="18" customHeight="1">
      <c r="A16" s="509"/>
      <c r="D16" s="1593">
        <v>410230</v>
      </c>
      <c r="E16" s="1359" t="s">
        <v>228</v>
      </c>
      <c r="F16" s="1361">
        <v>106</v>
      </c>
      <c r="G16" s="1359" t="s">
        <v>618</v>
      </c>
      <c r="H16" s="498">
        <v>0</v>
      </c>
      <c r="I16" s="498">
        <v>0</v>
      </c>
      <c r="J16" s="710">
        <v>0</v>
      </c>
      <c r="K16" s="710">
        <v>0</v>
      </c>
      <c r="L16" s="510">
        <f t="shared" si="1"/>
        <v>0</v>
      </c>
      <c r="N16" s="1468">
        <f>-ROUND(SUMIF('1.0'!$D:$D,T_IS!D16,'1.0'!$V:$V),0)</f>
        <v>0</v>
      </c>
      <c r="O16" s="509">
        <f>-ROUND(SUMIF('2.0'!$D:$D,T_IS!D16,'2.0'!$V:$V),0)</f>
        <v>0</v>
      </c>
      <c r="P16" s="509">
        <f>-ROUND(SUMIF('3.0'!$D:$D,T_IS!D16,'3.0'!$H:$H),0)</f>
        <v>0</v>
      </c>
      <c r="Q16" s="509">
        <f>-ROUND(SUMIF('4.0'!$D:$D,T_IS!D16,'4.0'!$V:$V),0)</f>
        <v>0</v>
      </c>
      <c r="R16" s="509">
        <f>-ROUND(SUMIF('5.0'!$D:$D,T_IS!D16,'5.0'!$V:$V),0)</f>
        <v>0</v>
      </c>
      <c r="S16" s="509">
        <f>-ROUND(SUMIF('6.0'!$D:$D,T_IS!D16,'6.0'!$V:$V),0)</f>
        <v>0</v>
      </c>
      <c r="T16" s="509">
        <f>-ROUND(SUMIF('7.0'!$D:$D,T_IS!D16,'7.0'!$V:$V),0)</f>
        <v>0</v>
      </c>
      <c r="U16" s="509">
        <f>-ROUND(SUMIF('8.0'!$D:$D,T_IS!F16,'8.0'!$H:$H),0)</f>
        <v>0</v>
      </c>
      <c r="V16" s="1470">
        <f t="shared" si="2"/>
        <v>0</v>
      </c>
      <c r="X16" s="1616">
        <f t="shared" si="3"/>
        <v>0</v>
      </c>
      <c r="Z16" s="1616">
        <f t="shared" si="4"/>
        <v>0</v>
      </c>
      <c r="AA16" s="1616">
        <f t="shared" si="5"/>
        <v>-66675123</v>
      </c>
      <c r="AB16" s="1616">
        <f t="shared" si="6"/>
        <v>66675123</v>
      </c>
      <c r="AD16" s="1616">
        <f t="shared" si="7"/>
        <v>0</v>
      </c>
      <c r="AE16" s="1616">
        <f t="shared" si="8"/>
        <v>0</v>
      </c>
      <c r="AF16" s="1616">
        <f t="shared" si="9"/>
        <v>0</v>
      </c>
      <c r="AH16" s="1616">
        <f t="shared" si="10"/>
        <v>0</v>
      </c>
      <c r="AI16" s="1616">
        <f t="shared" si="11"/>
        <v>0</v>
      </c>
      <c r="AJ16" s="1616">
        <f t="shared" si="12"/>
        <v>0</v>
      </c>
      <c r="AL16" s="550">
        <v>0</v>
      </c>
      <c r="AM16" s="550">
        <v>0</v>
      </c>
      <c r="AN16" s="550">
        <v>0</v>
      </c>
      <c r="AO16" s="550">
        <v>0</v>
      </c>
      <c r="AP16" s="550">
        <v>0</v>
      </c>
      <c r="AQ16" s="550">
        <v>0</v>
      </c>
      <c r="AR16" s="550">
        <v>0</v>
      </c>
      <c r="AS16" s="550">
        <v>-243176228</v>
      </c>
      <c r="AT16" s="550">
        <v>-243176228</v>
      </c>
      <c r="AU16" s="550">
        <v>-176501105</v>
      </c>
      <c r="AV16" s="550">
        <v>-108547669</v>
      </c>
      <c r="AW16" s="1616">
        <v>-64980052</v>
      </c>
      <c r="AX16" s="509">
        <v>-252852656</v>
      </c>
      <c r="AY16" s="1616">
        <v>-209274128</v>
      </c>
      <c r="AZ16" s="1810">
        <v>-137813060</v>
      </c>
      <c r="BA16" s="1811">
        <v>-81191072</v>
      </c>
    </row>
    <row r="17" spans="1:53" ht="18" customHeight="1">
      <c r="A17" s="509"/>
      <c r="D17" s="1593">
        <v>410240</v>
      </c>
      <c r="E17" s="1359" t="s">
        <v>228</v>
      </c>
      <c r="F17" s="1361">
        <v>106</v>
      </c>
      <c r="G17" s="1359" t="s">
        <v>619</v>
      </c>
      <c r="H17" s="498">
        <v>18671820349</v>
      </c>
      <c r="I17" s="498">
        <v>0</v>
      </c>
      <c r="J17" s="710">
        <v>0</v>
      </c>
      <c r="K17" s="710">
        <v>0</v>
      </c>
      <c r="L17" s="510">
        <f t="shared" si="1"/>
        <v>18671820349</v>
      </c>
      <c r="N17" s="1468">
        <f>-ROUND(SUMIF('1.0'!$D:$D,T_IS!D17,'1.0'!$V:$V),0)</f>
        <v>0</v>
      </c>
      <c r="O17" s="509">
        <f>-ROUND(SUMIF('2.0'!$D:$D,T_IS!D17,'2.0'!$V:$V),0)</f>
        <v>0</v>
      </c>
      <c r="P17" s="509">
        <f>-ROUND(SUMIF('3.0'!$D:$D,T_IS!D17,'3.0'!$H:$H),0)</f>
        <v>-2696524</v>
      </c>
      <c r="Q17" s="509">
        <f>-ROUND(SUMIF('4.0'!$D:$D,T_IS!D17,'4.0'!$V:$V),0)</f>
        <v>0</v>
      </c>
      <c r="R17" s="509">
        <f>-ROUND(SUMIF('5.0'!$D:$D,T_IS!D17,'5.0'!$V:$V),0)</f>
        <v>0</v>
      </c>
      <c r="S17" s="509">
        <f>-ROUND(SUMIF('6.0'!$D:$D,T_IS!D17,'6.0'!$V:$V),0)</f>
        <v>0</v>
      </c>
      <c r="T17" s="509">
        <f>-ROUND(SUMIF('7.0'!$D:$D,T_IS!D17,'7.0'!$V:$V),0)</f>
        <v>0</v>
      </c>
      <c r="U17" s="509">
        <f>-ROUND(SUMIF('8.0'!$D:$D,T_IS!F17,'8.0'!$H:$H),0)</f>
        <v>0</v>
      </c>
      <c r="V17" s="1470">
        <f t="shared" si="2"/>
        <v>-2696524</v>
      </c>
      <c r="X17" s="1616">
        <f t="shared" si="3"/>
        <v>18669123825</v>
      </c>
      <c r="Z17" s="1616">
        <f t="shared" si="4"/>
        <v>5230029957</v>
      </c>
      <c r="AA17" s="1616">
        <f t="shared" si="5"/>
        <v>4877826841</v>
      </c>
      <c r="AB17" s="1616">
        <f t="shared" si="6"/>
        <v>352203116</v>
      </c>
      <c r="AD17" s="1616">
        <f t="shared" si="7"/>
        <v>5230029957</v>
      </c>
      <c r="AE17" s="1616">
        <f t="shared" si="8"/>
        <v>4708125482</v>
      </c>
      <c r="AF17" s="1616">
        <f t="shared" si="9"/>
        <v>521904475</v>
      </c>
      <c r="AH17" s="1616">
        <f t="shared" si="10"/>
        <v>527932748</v>
      </c>
      <c r="AI17" s="1616">
        <f t="shared" si="11"/>
        <v>2121688685</v>
      </c>
      <c r="AJ17" s="1616">
        <f t="shared" si="12"/>
        <v>-1593755937</v>
      </c>
      <c r="AL17" s="550">
        <v>18141191077</v>
      </c>
      <c r="AM17" s="550">
        <v>16019502392</v>
      </c>
      <c r="AN17" s="550">
        <v>13439093868</v>
      </c>
      <c r="AO17" s="550">
        <v>10272374467</v>
      </c>
      <c r="AP17" s="550">
        <v>9665240237</v>
      </c>
      <c r="AQ17" s="550">
        <v>8730968386</v>
      </c>
      <c r="AR17" s="550">
        <v>3325175111</v>
      </c>
      <c r="AS17" s="550">
        <v>15848454078</v>
      </c>
      <c r="AT17" s="550">
        <v>13014992387</v>
      </c>
      <c r="AU17" s="550">
        <v>10970627237</v>
      </c>
      <c r="AV17" s="550">
        <v>7333980545</v>
      </c>
      <c r="AW17" s="1616">
        <v>3586452331</v>
      </c>
      <c r="AX17" s="509">
        <v>15953956142</v>
      </c>
      <c r="AY17" s="1616">
        <v>12131447985</v>
      </c>
      <c r="AZ17" s="1617">
        <v>8643354358</v>
      </c>
      <c r="BA17" s="1618">
        <v>3928003417</v>
      </c>
    </row>
    <row r="18" spans="1:53" ht="18" customHeight="1">
      <c r="A18" s="509"/>
      <c r="D18" s="1593">
        <v>410241</v>
      </c>
      <c r="E18" s="1359" t="s">
        <v>228</v>
      </c>
      <c r="F18" s="1361">
        <v>106</v>
      </c>
      <c r="G18" s="1359" t="s">
        <v>620</v>
      </c>
      <c r="H18" s="498">
        <v>-30770984</v>
      </c>
      <c r="I18" s="498">
        <v>0</v>
      </c>
      <c r="J18" s="710">
        <v>0</v>
      </c>
      <c r="K18" s="710">
        <v>0</v>
      </c>
      <c r="L18" s="510">
        <f t="shared" si="1"/>
        <v>-30770984</v>
      </c>
      <c r="N18" s="1468">
        <f>-ROUND(SUMIF('1.0'!$D:$D,T_IS!D18,'1.0'!$V:$V),0)</f>
        <v>0</v>
      </c>
      <c r="O18" s="509">
        <f>-ROUND(SUMIF('2.0'!$D:$D,T_IS!D18,'2.0'!$V:$V),0)</f>
        <v>0</v>
      </c>
      <c r="P18" s="509">
        <f>-ROUND(SUMIF('3.0'!$D:$D,T_IS!D18,'3.0'!$H:$H),0)</f>
        <v>0</v>
      </c>
      <c r="Q18" s="509">
        <f>-ROUND(SUMIF('4.0'!$D:$D,T_IS!D18,'4.0'!$V:$V),0)</f>
        <v>0</v>
      </c>
      <c r="R18" s="509">
        <f>-ROUND(SUMIF('5.0'!$D:$D,T_IS!D18,'5.0'!$V:$V),0)</f>
        <v>0</v>
      </c>
      <c r="S18" s="509">
        <f>-ROUND(SUMIF('6.0'!$D:$D,T_IS!D18,'6.0'!$V:$V),0)</f>
        <v>0</v>
      </c>
      <c r="T18" s="509">
        <f>-ROUND(SUMIF('7.0'!$D:$D,T_IS!D18,'7.0'!$V:$V),0)</f>
        <v>0</v>
      </c>
      <c r="U18" s="509">
        <f>-ROUND(SUMIF('8.0'!$D:$D,T_IS!F18,'8.0'!$H:$H),0)</f>
        <v>0</v>
      </c>
      <c r="V18" s="1470">
        <f t="shared" si="2"/>
        <v>0</v>
      </c>
      <c r="X18" s="1616">
        <f t="shared" si="3"/>
        <v>-30770984</v>
      </c>
      <c r="Z18" s="1616">
        <f t="shared" si="4"/>
        <v>-26243147</v>
      </c>
      <c r="AA18" s="1616">
        <f t="shared" si="5"/>
        <v>0</v>
      </c>
      <c r="AB18" s="1616">
        <f t="shared" si="6"/>
        <v>-26243147</v>
      </c>
      <c r="AD18" s="1616">
        <f t="shared" si="7"/>
        <v>-26243147</v>
      </c>
      <c r="AE18" s="1616">
        <f t="shared" si="8"/>
        <v>-4295115</v>
      </c>
      <c r="AF18" s="1616">
        <f t="shared" si="9"/>
        <v>-21948032</v>
      </c>
      <c r="AH18" s="1616">
        <f t="shared" si="10"/>
        <v>-2138400</v>
      </c>
      <c r="AI18" s="1616">
        <f t="shared" si="11"/>
        <v>-24104747</v>
      </c>
      <c r="AJ18" s="1616">
        <f t="shared" si="12"/>
        <v>21966347</v>
      </c>
      <c r="AL18" s="550">
        <v>-28632584</v>
      </c>
      <c r="AM18" s="550">
        <v>-4527837</v>
      </c>
      <c r="AN18" s="550">
        <v>-4527837</v>
      </c>
      <c r="AO18" s="550">
        <v>-4527837</v>
      </c>
      <c r="AP18" s="550">
        <v>-232722</v>
      </c>
      <c r="AQ18" s="550">
        <v>-232722</v>
      </c>
      <c r="AR18" s="550">
        <v>0</v>
      </c>
      <c r="AS18" s="550">
        <v>-2038700</v>
      </c>
      <c r="AT18" s="550">
        <v>-2038700</v>
      </c>
      <c r="AU18" s="550">
        <v>-2038700</v>
      </c>
      <c r="AV18" s="550">
        <v>-2038700</v>
      </c>
      <c r="AW18" s="1616">
        <v>-1620600</v>
      </c>
      <c r="AX18" s="509">
        <v>-418907882</v>
      </c>
      <c r="AY18" s="1616">
        <v>-245082967</v>
      </c>
      <c r="AZ18" s="1810">
        <v>-244543642</v>
      </c>
      <c r="BA18" s="1811">
        <v>-177438173</v>
      </c>
    </row>
    <row r="19" spans="1:53" ht="18" customHeight="1">
      <c r="A19" s="509"/>
      <c r="D19" s="1593">
        <v>410610</v>
      </c>
      <c r="E19" s="1359" t="s">
        <v>228</v>
      </c>
      <c r="F19" s="1361">
        <v>103</v>
      </c>
      <c r="G19" s="1359" t="s">
        <v>231</v>
      </c>
      <c r="H19" s="498">
        <v>52899677642</v>
      </c>
      <c r="I19" s="498">
        <v>0</v>
      </c>
      <c r="J19" s="710">
        <v>0</v>
      </c>
      <c r="K19" s="710">
        <v>0</v>
      </c>
      <c r="L19" s="510">
        <f t="shared" si="1"/>
        <v>52899677642</v>
      </c>
      <c r="N19" s="1468">
        <f>-ROUND(SUMIF('1.0'!$D:$D,T_IS!D19,'1.0'!$V:$V),0)</f>
        <v>0</v>
      </c>
      <c r="O19" s="509">
        <f>-ROUND(SUMIF('2.0'!$D:$D,T_IS!D19,'2.0'!$V:$V),0)</f>
        <v>0</v>
      </c>
      <c r="P19" s="509">
        <f>-ROUND(SUMIF('3.0'!$D:$D,T_IS!D19,'3.0'!$H:$H),0)</f>
        <v>0</v>
      </c>
      <c r="Q19" s="509">
        <f>-ROUND(SUMIF('4.0'!$D:$D,T_IS!D19,'4.0'!$V:$V),0)</f>
        <v>0</v>
      </c>
      <c r="R19" s="509">
        <f>-ROUND(SUMIF('5.0'!$D:$D,T_IS!D19,'5.0'!$V:$V),0)</f>
        <v>0</v>
      </c>
      <c r="S19" s="509">
        <f>-ROUND(SUMIF('6.0'!$D:$D,T_IS!D19,'6.0'!$V:$V),0)</f>
        <v>0</v>
      </c>
      <c r="T19" s="509">
        <f>-ROUND(SUMIF('7.0'!$D:$D,T_IS!D19,'7.0'!$V:$V),0)</f>
        <v>0</v>
      </c>
      <c r="U19" s="509">
        <f>-ROUND(SUMIF('8.0'!$D:$D,T_IS!F19,'8.0'!$H:$H),0)</f>
        <v>0</v>
      </c>
      <c r="V19" s="1470">
        <f t="shared" si="2"/>
        <v>0</v>
      </c>
      <c r="X19" s="1616">
        <f t="shared" si="3"/>
        <v>52899677642</v>
      </c>
      <c r="Z19" s="1616">
        <f t="shared" si="4"/>
        <v>16091793038</v>
      </c>
      <c r="AA19" s="1616">
        <f t="shared" si="5"/>
        <v>8987286400</v>
      </c>
      <c r="AB19" s="1616">
        <f t="shared" si="6"/>
        <v>7104506638</v>
      </c>
      <c r="AD19" s="1616">
        <f t="shared" si="7"/>
        <v>16091793038</v>
      </c>
      <c r="AE19" s="1616">
        <f t="shared" si="8"/>
        <v>15206754626</v>
      </c>
      <c r="AF19" s="1616">
        <f t="shared" si="9"/>
        <v>885038412</v>
      </c>
      <c r="AH19" s="1616">
        <f t="shared" si="10"/>
        <v>5999601644</v>
      </c>
      <c r="AI19" s="1616">
        <f t="shared" si="11"/>
        <v>4775643091</v>
      </c>
      <c r="AJ19" s="1616">
        <f t="shared" si="12"/>
        <v>1223958553</v>
      </c>
      <c r="AL19" s="550">
        <v>46900075998</v>
      </c>
      <c r="AM19" s="550">
        <v>42124432907</v>
      </c>
      <c r="AN19" s="550">
        <v>36807884604</v>
      </c>
      <c r="AO19" s="550">
        <v>32300543524</v>
      </c>
      <c r="AP19" s="550">
        <v>27408402743</v>
      </c>
      <c r="AQ19" s="550">
        <v>21601129978</v>
      </c>
      <c r="AR19" s="550">
        <v>8571976077</v>
      </c>
      <c r="AS19" s="550">
        <v>40213000086</v>
      </c>
      <c r="AT19" s="550">
        <v>34352180107</v>
      </c>
      <c r="AU19" s="550">
        <v>31225713686</v>
      </c>
      <c r="AV19" s="550">
        <v>20634981857</v>
      </c>
      <c r="AW19" s="1616">
        <v>11594263363</v>
      </c>
      <c r="AX19" s="509">
        <v>55164035937</v>
      </c>
      <c r="AY19" s="1616">
        <v>41328985405</v>
      </c>
      <c r="AZ19" s="1617">
        <v>28605751325</v>
      </c>
      <c r="BA19" s="1618">
        <v>13482951360</v>
      </c>
    </row>
    <row r="20" spans="1:53" ht="18" customHeight="1">
      <c r="A20" s="509"/>
      <c r="D20" s="1593">
        <v>410620</v>
      </c>
      <c r="E20" s="1359" t="s">
        <v>228</v>
      </c>
      <c r="F20" s="1361">
        <v>103</v>
      </c>
      <c r="G20" s="1359" t="s">
        <v>232</v>
      </c>
      <c r="H20" s="498">
        <v>12799453095</v>
      </c>
      <c r="I20" s="498">
        <v>0</v>
      </c>
      <c r="J20" s="710">
        <v>0</v>
      </c>
      <c r="K20" s="710">
        <v>0</v>
      </c>
      <c r="L20" s="510">
        <f t="shared" si="1"/>
        <v>12799453095</v>
      </c>
      <c r="N20" s="1468">
        <f>-ROUND(SUMIF('1.0'!$D:$D,T_IS!D20,'1.0'!$V:$V),0)</f>
        <v>0</v>
      </c>
      <c r="O20" s="509">
        <f>-ROUND(SUMIF('2.0'!$D:$D,T_IS!D20,'2.0'!$V:$V),0)</f>
        <v>0</v>
      </c>
      <c r="P20" s="509">
        <f>-ROUND(SUMIF('3.0'!$D:$D,T_IS!D20,'3.0'!$H:$H),0)</f>
        <v>0</v>
      </c>
      <c r="Q20" s="509">
        <f>-ROUND(SUMIF('4.0'!$D:$D,T_IS!D20,'4.0'!$V:$V),0)</f>
        <v>0</v>
      </c>
      <c r="R20" s="509">
        <f>-ROUND(SUMIF('5.0'!$D:$D,T_IS!D20,'5.0'!$V:$V),0)</f>
        <v>0</v>
      </c>
      <c r="S20" s="509">
        <f>-ROUND(SUMIF('6.0'!$D:$D,T_IS!D20,'6.0'!$V:$V),0)</f>
        <v>0</v>
      </c>
      <c r="T20" s="509">
        <f>-ROUND(SUMIF('7.0'!$D:$D,T_IS!D20,'7.0'!$V:$V),0)</f>
        <v>0</v>
      </c>
      <c r="U20" s="509">
        <f>-ROUND(SUMIF('8.0'!$D:$D,T_IS!F20,'8.0'!$H:$H),0)</f>
        <v>0</v>
      </c>
      <c r="V20" s="1470">
        <f t="shared" si="2"/>
        <v>0</v>
      </c>
      <c r="X20" s="1616">
        <f t="shared" si="3"/>
        <v>12799453095</v>
      </c>
      <c r="Z20" s="1616">
        <f t="shared" si="4"/>
        <v>3127982378</v>
      </c>
      <c r="AA20" s="1616">
        <f t="shared" si="5"/>
        <v>2728158842</v>
      </c>
      <c r="AB20" s="1616">
        <f t="shared" si="6"/>
        <v>399823536</v>
      </c>
      <c r="AD20" s="1616">
        <f t="shared" si="7"/>
        <v>3127982378</v>
      </c>
      <c r="AE20" s="1616">
        <f t="shared" si="8"/>
        <v>3266382286</v>
      </c>
      <c r="AF20" s="1616">
        <f t="shared" si="9"/>
        <v>-138399908</v>
      </c>
      <c r="AH20" s="1616">
        <f t="shared" si="10"/>
        <v>1708061989</v>
      </c>
      <c r="AI20" s="1616">
        <f t="shared" si="11"/>
        <v>145757963</v>
      </c>
      <c r="AJ20" s="1616">
        <f t="shared" si="12"/>
        <v>1562304026</v>
      </c>
      <c r="AL20" s="550">
        <v>11091391106</v>
      </c>
      <c r="AM20" s="550">
        <v>10945633143</v>
      </c>
      <c r="AN20" s="550">
        <v>9671470717</v>
      </c>
      <c r="AO20" s="550">
        <v>8408441642</v>
      </c>
      <c r="AP20" s="550">
        <v>7628555937</v>
      </c>
      <c r="AQ20" s="550">
        <v>6405088431</v>
      </c>
      <c r="AR20" s="550">
        <v>2644209346</v>
      </c>
      <c r="AS20" s="550">
        <v>12629981629</v>
      </c>
      <c r="AT20" s="550">
        <v>10768569690</v>
      </c>
      <c r="AU20" s="550">
        <v>9901822787</v>
      </c>
      <c r="AV20" s="550">
        <v>7071351089</v>
      </c>
      <c r="AW20" s="1616">
        <v>2588755754</v>
      </c>
      <c r="AX20" s="509">
        <v>10567744810</v>
      </c>
      <c r="AY20" s="1616">
        <v>6647132786</v>
      </c>
      <c r="AZ20" s="1617">
        <v>5025935915</v>
      </c>
      <c r="BA20" s="1618">
        <v>2234898577</v>
      </c>
    </row>
    <row r="21" spans="1:53" ht="18" customHeight="1">
      <c r="A21" s="509"/>
      <c r="D21" s="1593">
        <v>410630</v>
      </c>
      <c r="E21" s="1359" t="s">
        <v>228</v>
      </c>
      <c r="F21" s="1361">
        <v>103</v>
      </c>
      <c r="G21" s="1359" t="s">
        <v>233</v>
      </c>
      <c r="H21" s="498">
        <v>115835622506</v>
      </c>
      <c r="I21" s="498">
        <v>0</v>
      </c>
      <c r="J21" s="710">
        <v>0</v>
      </c>
      <c r="K21" s="710">
        <v>0</v>
      </c>
      <c r="L21" s="510">
        <f t="shared" si="1"/>
        <v>115835622506</v>
      </c>
      <c r="N21" s="1468">
        <f>-ROUND(SUMIF('1.0'!$D:$D,T_IS!D21,'1.0'!$V:$V),0)</f>
        <v>0</v>
      </c>
      <c r="O21" s="509">
        <f>-ROUND(SUMIF('2.0'!$D:$D,T_IS!D21,'2.0'!$V:$V),0)</f>
        <v>0</v>
      </c>
      <c r="P21" s="509">
        <f>-ROUND(SUMIF('3.0'!$D:$D,T_IS!D21,'3.0'!$H:$H),0)</f>
        <v>0</v>
      </c>
      <c r="Q21" s="509">
        <f>-ROUND(SUMIF('4.0'!$D:$D,T_IS!D21,'4.0'!$V:$V),0)</f>
        <v>0</v>
      </c>
      <c r="R21" s="509">
        <f>-ROUND(SUMIF('5.0'!$D:$D,T_IS!D21,'5.0'!$V:$V),0)</f>
        <v>0</v>
      </c>
      <c r="S21" s="509">
        <f>-ROUND(SUMIF('6.0'!$D:$D,T_IS!D21,'6.0'!$V:$V),0)</f>
        <v>0</v>
      </c>
      <c r="T21" s="509">
        <f>-ROUND(SUMIF('7.0'!$D:$D,T_IS!D21,'7.0'!$V:$V),0)</f>
        <v>0</v>
      </c>
      <c r="U21" s="509">
        <f>-ROUND(SUMIF('8.0'!$D:$D,T_IS!F21,'8.0'!$H:$H),0)</f>
        <v>0</v>
      </c>
      <c r="V21" s="1470">
        <f t="shared" si="2"/>
        <v>0</v>
      </c>
      <c r="X21" s="1616">
        <f t="shared" si="3"/>
        <v>115835622506</v>
      </c>
      <c r="Z21" s="1616">
        <f t="shared" si="4"/>
        <v>28347889464</v>
      </c>
      <c r="AA21" s="1616">
        <f t="shared" si="5"/>
        <v>36017898481</v>
      </c>
      <c r="AB21" s="1616">
        <f t="shared" si="6"/>
        <v>-7670009017</v>
      </c>
      <c r="AD21" s="1616">
        <f t="shared" si="7"/>
        <v>28347889464</v>
      </c>
      <c r="AE21" s="1616">
        <f t="shared" si="8"/>
        <v>28302958937</v>
      </c>
      <c r="AF21" s="1616">
        <f t="shared" si="9"/>
        <v>44930527</v>
      </c>
      <c r="AH21" s="1616">
        <f t="shared" si="10"/>
        <v>9394538520</v>
      </c>
      <c r="AI21" s="1616">
        <f t="shared" si="11"/>
        <v>9352378933</v>
      </c>
      <c r="AJ21" s="1616">
        <f t="shared" si="12"/>
        <v>42159587</v>
      </c>
      <c r="AL21" s="550">
        <v>106441083986</v>
      </c>
      <c r="AM21" s="550">
        <v>97088705053</v>
      </c>
      <c r="AN21" s="550">
        <v>87487733042</v>
      </c>
      <c r="AO21" s="550">
        <v>78060839586</v>
      </c>
      <c r="AP21" s="550">
        <v>68661363594</v>
      </c>
      <c r="AQ21" s="550">
        <v>59184774105</v>
      </c>
      <c r="AR21" s="550">
        <v>31189431228</v>
      </c>
      <c r="AS21" s="550">
        <v>126627357763</v>
      </c>
      <c r="AT21" s="550">
        <v>101466218976</v>
      </c>
      <c r="AU21" s="550">
        <v>90609459282</v>
      </c>
      <c r="AV21" s="550">
        <v>59122191074</v>
      </c>
      <c r="AW21" s="1616">
        <v>29036482559</v>
      </c>
      <c r="AX21" s="509">
        <v>103264033490</v>
      </c>
      <c r="AY21" s="1616">
        <v>73506280757</v>
      </c>
      <c r="AZ21" s="1617">
        <v>46836965075</v>
      </c>
      <c r="BA21" s="1618">
        <v>22232739982</v>
      </c>
    </row>
    <row r="22" spans="1:53" ht="18" customHeight="1">
      <c r="A22" s="509"/>
      <c r="D22" s="1593">
        <v>410640</v>
      </c>
      <c r="E22" s="1359" t="s">
        <v>228</v>
      </c>
      <c r="F22" s="1361">
        <v>103</v>
      </c>
      <c r="G22" s="1359" t="s">
        <v>234</v>
      </c>
      <c r="H22" s="498">
        <v>0</v>
      </c>
      <c r="I22" s="498">
        <v>0</v>
      </c>
      <c r="J22" s="710">
        <v>0</v>
      </c>
      <c r="K22" s="710">
        <v>0</v>
      </c>
      <c r="L22" s="510">
        <f t="shared" si="1"/>
        <v>0</v>
      </c>
      <c r="N22" s="1468">
        <f>-ROUND(SUMIF('1.0'!$D:$D,T_IS!D22,'1.0'!$V:$V),0)</f>
        <v>0</v>
      </c>
      <c r="O22" s="509">
        <f>-ROUND(SUMIF('2.0'!$D:$D,T_IS!D22,'2.0'!$V:$V),0)</f>
        <v>0</v>
      </c>
      <c r="P22" s="509">
        <f>-ROUND(SUMIF('3.0'!$D:$D,T_IS!D22,'3.0'!$H:$H),0)</f>
        <v>0</v>
      </c>
      <c r="Q22" s="509">
        <f>-ROUND(SUMIF('4.0'!$D:$D,T_IS!D22,'4.0'!$V:$V),0)</f>
        <v>0</v>
      </c>
      <c r="R22" s="509">
        <f>-ROUND(SUMIF('5.0'!$D:$D,T_IS!D22,'5.0'!$V:$V),0)</f>
        <v>0</v>
      </c>
      <c r="S22" s="509">
        <f>-ROUND(SUMIF('6.0'!$D:$D,T_IS!D22,'6.0'!$V:$V),0)</f>
        <v>0</v>
      </c>
      <c r="T22" s="509">
        <f>-ROUND(SUMIF('7.0'!$D:$D,T_IS!D22,'7.0'!$V:$V),0)</f>
        <v>0</v>
      </c>
      <c r="U22" s="509">
        <f>-ROUND(SUMIF('8.0'!$D:$D,T_IS!F22,'8.0'!$H:$H),0)</f>
        <v>0</v>
      </c>
      <c r="V22" s="1470">
        <f t="shared" si="2"/>
        <v>0</v>
      </c>
      <c r="X22" s="1616">
        <f t="shared" si="3"/>
        <v>0</v>
      </c>
      <c r="Z22" s="1616">
        <f t="shared" si="4"/>
        <v>0</v>
      </c>
      <c r="AA22" s="1616">
        <f t="shared" si="5"/>
        <v>0</v>
      </c>
      <c r="AB22" s="1616">
        <f t="shared" si="6"/>
        <v>0</v>
      </c>
      <c r="AD22" s="1616">
        <f t="shared" si="7"/>
        <v>0</v>
      </c>
      <c r="AE22" s="1616">
        <f t="shared" si="8"/>
        <v>0</v>
      </c>
      <c r="AF22" s="1616">
        <f t="shared" si="9"/>
        <v>0</v>
      </c>
      <c r="AH22" s="1616">
        <f t="shared" si="10"/>
        <v>0</v>
      </c>
      <c r="AI22" s="1616">
        <f t="shared" si="11"/>
        <v>0</v>
      </c>
      <c r="AJ22" s="1616">
        <f t="shared" si="12"/>
        <v>0</v>
      </c>
      <c r="AL22" s="550">
        <v>0</v>
      </c>
      <c r="AM22" s="550">
        <v>0</v>
      </c>
      <c r="AN22" s="550">
        <v>0</v>
      </c>
      <c r="AO22" s="550">
        <v>0</v>
      </c>
      <c r="AP22" s="550">
        <v>0</v>
      </c>
      <c r="AQ22" s="550">
        <v>0</v>
      </c>
      <c r="AR22" s="550">
        <v>0</v>
      </c>
      <c r="AS22" s="550">
        <v>0</v>
      </c>
      <c r="AT22" s="550">
        <v>0</v>
      </c>
      <c r="AU22" s="550">
        <v>0</v>
      </c>
      <c r="AV22" s="550">
        <v>0</v>
      </c>
      <c r="AW22" s="1616">
        <v>0</v>
      </c>
      <c r="AX22" s="509">
        <v>-2474371</v>
      </c>
      <c r="AY22" s="1616">
        <v>-2474371</v>
      </c>
      <c r="AZ22" s="1810">
        <v>-2474371</v>
      </c>
      <c r="BA22" s="1811">
        <v>-2474371</v>
      </c>
    </row>
    <row r="23" spans="1:53" ht="18" customHeight="1">
      <c r="A23" s="509"/>
      <c r="D23" s="1593">
        <v>410650</v>
      </c>
      <c r="E23" s="1359" t="s">
        <v>228</v>
      </c>
      <c r="F23" s="1361">
        <v>103</v>
      </c>
      <c r="G23" s="1359" t="s">
        <v>235</v>
      </c>
      <c r="H23" s="498">
        <v>6377547088</v>
      </c>
      <c r="I23" s="498">
        <v>0</v>
      </c>
      <c r="J23" s="710">
        <v>0</v>
      </c>
      <c r="K23" s="710">
        <v>0</v>
      </c>
      <c r="L23" s="510">
        <f t="shared" si="1"/>
        <v>6377547088</v>
      </c>
      <c r="N23" s="1468">
        <f>-ROUND(SUMIF('1.0'!$D:$D,T_IS!D23,'1.0'!$V:$V),0)</f>
        <v>0</v>
      </c>
      <c r="O23" s="509">
        <f>-ROUND(SUMIF('2.0'!$D:$D,T_IS!D23,'2.0'!$V:$V),0)</f>
        <v>0</v>
      </c>
      <c r="P23" s="509">
        <f>-ROUND(SUMIF('3.0'!$D:$D,T_IS!D23,'3.0'!$H:$H),0)</f>
        <v>0</v>
      </c>
      <c r="Q23" s="509">
        <f>-ROUND(SUMIF('4.0'!$D:$D,T_IS!D23,'4.0'!$V:$V),0)</f>
        <v>0</v>
      </c>
      <c r="R23" s="509">
        <f>-ROUND(SUMIF('5.0'!$D:$D,T_IS!D23,'5.0'!$V:$V),0)</f>
        <v>0</v>
      </c>
      <c r="S23" s="509">
        <f>-ROUND(SUMIF('6.0'!$D:$D,T_IS!D23,'6.0'!$V:$V),0)</f>
        <v>0</v>
      </c>
      <c r="T23" s="509">
        <f>-ROUND(SUMIF('7.0'!$D:$D,T_IS!D23,'7.0'!$V:$V),0)</f>
        <v>0</v>
      </c>
      <c r="U23" s="509">
        <f>-ROUND(SUMIF('8.0'!$D:$D,T_IS!F23,'8.0'!$H:$H),0)</f>
        <v>0</v>
      </c>
      <c r="V23" s="1470">
        <f t="shared" si="2"/>
        <v>0</v>
      </c>
      <c r="X23" s="1616">
        <f t="shared" si="3"/>
        <v>6377547088</v>
      </c>
      <c r="Z23" s="1616">
        <f t="shared" si="4"/>
        <v>1728893459</v>
      </c>
      <c r="AA23" s="1616">
        <f t="shared" si="5"/>
        <v>2595777588</v>
      </c>
      <c r="AB23" s="1616">
        <f t="shared" si="6"/>
        <v>-866884129</v>
      </c>
      <c r="AD23" s="1616">
        <f t="shared" si="7"/>
        <v>1728893459</v>
      </c>
      <c r="AE23" s="1616">
        <f t="shared" si="8"/>
        <v>955747052</v>
      </c>
      <c r="AF23" s="1616">
        <f t="shared" si="9"/>
        <v>773146407</v>
      </c>
      <c r="AH23" s="1616">
        <f t="shared" si="10"/>
        <v>382074330</v>
      </c>
      <c r="AI23" s="1616">
        <f t="shared" si="11"/>
        <v>1062323883</v>
      </c>
      <c r="AJ23" s="1616">
        <f t="shared" si="12"/>
        <v>-680249553</v>
      </c>
      <c r="AL23" s="550">
        <v>5995472758</v>
      </c>
      <c r="AM23" s="550">
        <v>4933148875</v>
      </c>
      <c r="AN23" s="550">
        <v>4648653629</v>
      </c>
      <c r="AO23" s="550">
        <v>4326941924</v>
      </c>
      <c r="AP23" s="550">
        <v>4198866492</v>
      </c>
      <c r="AQ23" s="550">
        <v>3692906577</v>
      </c>
      <c r="AR23" s="550">
        <v>1099603793</v>
      </c>
      <c r="AS23" s="550">
        <v>8806759273</v>
      </c>
      <c r="AT23" s="550">
        <v>6254373527</v>
      </c>
      <c r="AU23" s="550">
        <v>6210981685</v>
      </c>
      <c r="AV23" s="550">
        <v>4335009989</v>
      </c>
      <c r="AW23" s="1616">
        <v>751781313</v>
      </c>
      <c r="AX23" s="509">
        <v>4186277157</v>
      </c>
      <c r="AY23" s="1616">
        <v>2859598012</v>
      </c>
      <c r="AZ23" s="1617">
        <v>1393558735</v>
      </c>
      <c r="BA23" s="1618">
        <v>1045227331</v>
      </c>
    </row>
    <row r="24" spans="1:53" ht="18" customHeight="1">
      <c r="A24" s="509"/>
      <c r="D24" s="1593">
        <v>410660</v>
      </c>
      <c r="E24" s="1359" t="s">
        <v>228</v>
      </c>
      <c r="F24" s="1361">
        <v>103</v>
      </c>
      <c r="G24" s="1359" t="s">
        <v>236</v>
      </c>
      <c r="H24" s="498">
        <v>141400000</v>
      </c>
      <c r="I24" s="498">
        <v>0</v>
      </c>
      <c r="J24" s="710">
        <v>0</v>
      </c>
      <c r="K24" s="710">
        <v>0</v>
      </c>
      <c r="L24" s="510">
        <f t="shared" si="1"/>
        <v>141400000</v>
      </c>
      <c r="N24" s="1468">
        <f>-ROUND(SUMIF('1.0'!$D:$D,T_IS!D24,'1.0'!$V:$V),0)</f>
        <v>0</v>
      </c>
      <c r="O24" s="509">
        <f>-ROUND(SUMIF('2.0'!$D:$D,T_IS!D24,'2.0'!$V:$V),0)</f>
        <v>0</v>
      </c>
      <c r="P24" s="509">
        <f>-ROUND(SUMIF('3.0'!$D:$D,T_IS!D24,'3.0'!$H:$H),0)</f>
        <v>0</v>
      </c>
      <c r="Q24" s="509">
        <f>-ROUND(SUMIF('4.0'!$D:$D,T_IS!D24,'4.0'!$V:$V),0)</f>
        <v>0</v>
      </c>
      <c r="R24" s="509">
        <f>-ROUND(SUMIF('5.0'!$D:$D,T_IS!D24,'5.0'!$V:$V),0)</f>
        <v>0</v>
      </c>
      <c r="S24" s="509">
        <f>-ROUND(SUMIF('6.0'!$D:$D,T_IS!D24,'6.0'!$V:$V),0)</f>
        <v>0</v>
      </c>
      <c r="T24" s="509">
        <f>-ROUND(SUMIF('7.0'!$D:$D,T_IS!D24,'7.0'!$V:$V),0)</f>
        <v>0</v>
      </c>
      <c r="U24" s="509">
        <f>-ROUND(SUMIF('8.0'!$D:$D,T_IS!F24,'8.0'!$H:$H),0)</f>
        <v>0</v>
      </c>
      <c r="V24" s="1470">
        <f t="shared" si="2"/>
        <v>0</v>
      </c>
      <c r="X24" s="1616">
        <f t="shared" si="3"/>
        <v>141400000</v>
      </c>
      <c r="Z24" s="1616">
        <f t="shared" si="4"/>
        <v>0</v>
      </c>
      <c r="AA24" s="1616">
        <f t="shared" si="5"/>
        <v>0</v>
      </c>
      <c r="AB24" s="1616">
        <f t="shared" si="6"/>
        <v>0</v>
      </c>
      <c r="AD24" s="1616">
        <f t="shared" si="7"/>
        <v>0</v>
      </c>
      <c r="AE24" s="1616">
        <f t="shared" si="8"/>
        <v>119000000</v>
      </c>
      <c r="AF24" s="1616">
        <f t="shared" si="9"/>
        <v>-119000000</v>
      </c>
      <c r="AH24" s="1616">
        <f t="shared" si="10"/>
        <v>0</v>
      </c>
      <c r="AI24" s="1616">
        <f t="shared" si="11"/>
        <v>0</v>
      </c>
      <c r="AJ24" s="1616">
        <f t="shared" si="12"/>
        <v>0</v>
      </c>
      <c r="AL24" s="550">
        <v>141400000</v>
      </c>
      <c r="AM24" s="550">
        <v>141400000</v>
      </c>
      <c r="AN24" s="550">
        <v>141400000</v>
      </c>
      <c r="AO24" s="550">
        <v>141400000</v>
      </c>
      <c r="AP24" s="550">
        <v>141400000</v>
      </c>
      <c r="AQ24" s="550">
        <v>22400000</v>
      </c>
      <c r="AR24" s="550">
        <v>22400000</v>
      </c>
      <c r="AS24" s="550">
        <v>0</v>
      </c>
      <c r="AT24" s="550">
        <v>0</v>
      </c>
      <c r="AU24" s="550">
        <v>0</v>
      </c>
      <c r="AV24" s="550">
        <v>0</v>
      </c>
      <c r="AW24" s="1616">
        <v>0</v>
      </c>
      <c r="AX24" s="509">
        <v>0</v>
      </c>
      <c r="AY24" s="1616">
        <v>0</v>
      </c>
      <c r="AZ24" s="1617">
        <v>0</v>
      </c>
      <c r="BA24" s="1618">
        <v>0</v>
      </c>
    </row>
    <row r="25" spans="1:53" ht="18" customHeight="1">
      <c r="A25" s="509"/>
      <c r="D25" s="1593">
        <v>410899</v>
      </c>
      <c r="E25" s="1359" t="s">
        <v>228</v>
      </c>
      <c r="F25" s="1361">
        <v>103</v>
      </c>
      <c r="G25" s="1359" t="s">
        <v>237</v>
      </c>
      <c r="H25" s="498">
        <v>3591621174</v>
      </c>
      <c r="I25" s="498">
        <v>2119958142</v>
      </c>
      <c r="J25" s="710">
        <v>510804949</v>
      </c>
      <c r="K25" s="710">
        <v>94981540</v>
      </c>
      <c r="L25" s="510">
        <f t="shared" si="1"/>
        <v>6317365805</v>
      </c>
      <c r="N25" s="1468">
        <f>-ROUND(SUMIF('1.0'!$D:$D,T_IS!D25,'1.0'!$V:$V),0)</f>
        <v>0</v>
      </c>
      <c r="O25" s="509">
        <f>-ROUND(SUMIF('2.0'!$D:$D,T_IS!D25,'2.0'!$V:$V),0)</f>
        <v>0</v>
      </c>
      <c r="P25" s="509">
        <f>-ROUND(SUMIF('3.0'!$D:$D,T_IS!D25,'3.0'!$H:$H),0)</f>
        <v>-2446479744</v>
      </c>
      <c r="Q25" s="509">
        <f>-ROUND(SUMIF('4.0'!$D:$D,T_IS!D25,'4.0'!$V:$V),0)</f>
        <v>0</v>
      </c>
      <c r="R25" s="509">
        <f>-ROUND(SUMIF('5.0'!$D:$D,T_IS!D25,'5.0'!$V:$V),0)</f>
        <v>0</v>
      </c>
      <c r="S25" s="509">
        <f>-ROUND(SUMIF('6.0'!$D:$D,T_IS!D25,'6.0'!$V:$V),0)</f>
        <v>0</v>
      </c>
      <c r="T25" s="509">
        <f>-ROUND(SUMIF('7.0'!$D:$D,T_IS!D25,'7.0'!$V:$V),0)</f>
        <v>0</v>
      </c>
      <c r="U25" s="509">
        <f>-ROUND(SUMIF('8.0'!$D:$D,T_IS!F25,'8.0'!$H:$H),0)</f>
        <v>0</v>
      </c>
      <c r="V25" s="1470">
        <f t="shared" si="2"/>
        <v>-2446479744</v>
      </c>
      <c r="X25" s="1616">
        <f t="shared" si="3"/>
        <v>3870886061</v>
      </c>
      <c r="Z25" s="1616">
        <f t="shared" si="4"/>
        <v>1108351290</v>
      </c>
      <c r="AA25" s="1616">
        <f t="shared" si="5"/>
        <v>1145960306</v>
      </c>
      <c r="AB25" s="1616">
        <f t="shared" si="6"/>
        <v>-37609016</v>
      </c>
      <c r="AD25" s="1616">
        <f t="shared" si="7"/>
        <v>1108351290</v>
      </c>
      <c r="AE25" s="1616">
        <f t="shared" si="8"/>
        <v>1108585911</v>
      </c>
      <c r="AF25" s="1616">
        <f t="shared" si="9"/>
        <v>-234621</v>
      </c>
      <c r="AH25" s="1616">
        <f t="shared" si="10"/>
        <v>350827936</v>
      </c>
      <c r="AI25" s="1616">
        <f t="shared" si="11"/>
        <v>425648100</v>
      </c>
      <c r="AJ25" s="1616">
        <f t="shared" si="12"/>
        <v>-74820164</v>
      </c>
      <c r="AL25" s="550">
        <v>3520058125</v>
      </c>
      <c r="AM25" s="550">
        <v>3094410025</v>
      </c>
      <c r="AN25" s="550">
        <v>2762534771</v>
      </c>
      <c r="AO25" s="550">
        <v>2385170925</v>
      </c>
      <c r="AP25" s="550">
        <v>1990682086</v>
      </c>
      <c r="AQ25" s="550">
        <v>1653948860</v>
      </c>
      <c r="AR25" s="550">
        <v>503578659</v>
      </c>
      <c r="AS25" s="550">
        <v>4638327955</v>
      </c>
      <c r="AT25" s="550">
        <v>3861691037</v>
      </c>
      <c r="AU25" s="550">
        <v>3492367649</v>
      </c>
      <c r="AV25" s="550">
        <v>2059584978</v>
      </c>
      <c r="AW25" s="1616">
        <v>1175182966</v>
      </c>
      <c r="AX25" s="509">
        <v>1021991474</v>
      </c>
      <c r="AY25" s="1616">
        <v>351224499</v>
      </c>
      <c r="AZ25" s="1617">
        <v>292702461</v>
      </c>
      <c r="BA25" s="1618">
        <v>166784256</v>
      </c>
    </row>
    <row r="26" spans="1:53" ht="18" customHeight="1">
      <c r="A26" s="509"/>
      <c r="D26" s="1583"/>
      <c r="E26" s="1584"/>
      <c r="F26" s="1607"/>
      <c r="G26" s="1584" t="s">
        <v>238</v>
      </c>
      <c r="H26" s="1619">
        <f>SUM(H27:H35)</f>
        <v>199798916102</v>
      </c>
      <c r="I26" s="503">
        <f>SUM(I27:I35)</f>
        <v>1769049134</v>
      </c>
      <c r="J26" s="503">
        <f>SUM(J27:J35)</f>
        <v>122123658</v>
      </c>
      <c r="K26" s="503">
        <f>SUM(K27:K35)</f>
        <v>14189071828</v>
      </c>
      <c r="L26" s="504">
        <f>SUM(L27:L35)</f>
        <v>215879160722</v>
      </c>
      <c r="N26" s="1620">
        <f t="shared" ref="N26:V26" si="13">SUM(N27:N35)</f>
        <v>0</v>
      </c>
      <c r="O26" s="503">
        <f t="shared" si="13"/>
        <v>0</v>
      </c>
      <c r="P26" s="503">
        <f t="shared" si="13"/>
        <v>-1118559196</v>
      </c>
      <c r="Q26" s="503">
        <f t="shared" si="13"/>
        <v>-27164280</v>
      </c>
      <c r="R26" s="503">
        <f t="shared" si="13"/>
        <v>0</v>
      </c>
      <c r="S26" s="503">
        <f t="shared" si="13"/>
        <v>0</v>
      </c>
      <c r="T26" s="503">
        <f t="shared" si="13"/>
        <v>0</v>
      </c>
      <c r="U26" s="503">
        <f t="shared" si="13"/>
        <v>0</v>
      </c>
      <c r="V26" s="1621">
        <f t="shared" si="13"/>
        <v>-1145723476</v>
      </c>
      <c r="X26" s="1622">
        <f>SUM(X27:X35)</f>
        <v>214733437246</v>
      </c>
      <c r="Z26" s="1622">
        <f>SUM(Z27:Z35)</f>
        <v>59350433764</v>
      </c>
      <c r="AA26" s="1622">
        <f>SUM(AA27:AA35)</f>
        <v>47950388248</v>
      </c>
      <c r="AB26" s="1622">
        <f>SUM(AB27:AB35)</f>
        <v>11400045516</v>
      </c>
      <c r="AD26" s="1622">
        <f>SUM(AD27:AD35)</f>
        <v>59350433764</v>
      </c>
      <c r="AE26" s="1622">
        <f>SUM(AE27:AE35)</f>
        <v>57887318583</v>
      </c>
      <c r="AF26" s="1622">
        <f>SUM(AF27:AF35)</f>
        <v>1463115181</v>
      </c>
      <c r="AH26" s="1622">
        <f>SUM(AH27:AH35)</f>
        <v>21862796442</v>
      </c>
      <c r="AI26" s="1622">
        <f>SUM(AI27:AI35)</f>
        <v>20422036381</v>
      </c>
      <c r="AJ26" s="1622">
        <f>SUM(AJ27:AJ35)</f>
        <v>1440760061</v>
      </c>
      <c r="AL26" s="1623">
        <v>192870640804</v>
      </c>
      <c r="AM26" s="1623">
        <v>172448604423</v>
      </c>
      <c r="AN26" s="1623">
        <v>155383003482</v>
      </c>
      <c r="AO26" s="1623">
        <v>138243959500</v>
      </c>
      <c r="AP26" s="1623">
        <v>117115396668</v>
      </c>
      <c r="AQ26" s="1623">
        <v>97495684899</v>
      </c>
      <c r="AR26" s="1623">
        <v>44657346855</v>
      </c>
      <c r="AS26" s="1623">
        <v>184688310354</v>
      </c>
      <c r="AT26" s="1623">
        <v>151564056479</v>
      </c>
      <c r="AU26" s="1623">
        <v>136737922106</v>
      </c>
      <c r="AV26" s="1623">
        <v>91374419912</v>
      </c>
      <c r="AW26" s="1622">
        <f>SUM(AW27:AW35)</f>
        <v>44994036091</v>
      </c>
      <c r="AX26" s="503">
        <f>SUM(AX27:AX35)</f>
        <v>181205387327</v>
      </c>
      <c r="AY26" s="1622">
        <f>SUM(AY27:AY35)</f>
        <v>130389155182</v>
      </c>
      <c r="AZ26" s="1622">
        <f>SUM(AZ27:AZ35)</f>
        <v>85703512987</v>
      </c>
      <c r="BA26" s="504">
        <f>SUM(BA27:BA35)</f>
        <v>39300752333</v>
      </c>
    </row>
    <row r="27" spans="1:53" ht="18" customHeight="1">
      <c r="A27" s="509"/>
      <c r="D27" s="1593" t="s">
        <v>239</v>
      </c>
      <c r="E27" s="1359" t="s">
        <v>238</v>
      </c>
      <c r="F27" s="1361">
        <v>201</v>
      </c>
      <c r="G27" s="1359" t="s">
        <v>240</v>
      </c>
      <c r="H27" s="498">
        <v>38725678186</v>
      </c>
      <c r="I27" s="498">
        <v>0</v>
      </c>
      <c r="J27" s="710">
        <v>122123658</v>
      </c>
      <c r="K27" s="710">
        <v>14189071828</v>
      </c>
      <c r="L27" s="510">
        <f t="shared" ref="L27:L35" si="14">SUM(H27:K27)</f>
        <v>53036873672</v>
      </c>
      <c r="N27" s="1468">
        <f>ROUND(SUMIF('1.0'!$D:$D,T_IS!D27,'1.0'!$V:$V),0)</f>
        <v>0</v>
      </c>
      <c r="O27" s="509">
        <f>-ROUND(SUMIF('2.0'!$D:$D,T_IS!D27,'2.0'!$V:$V),0)</f>
        <v>0</v>
      </c>
      <c r="P27" s="509">
        <f>ROUND(SUMIF('3.0'!$D:$D,T_IS!D27,'3.0'!$H:$H),0)</f>
        <v>-1118559196</v>
      </c>
      <c r="Q27" s="509">
        <f>ROUND(SUMIF('4.0'!$D:$D,T_IS!D27,'4.0'!$V:$V),0)</f>
        <v>-9769970</v>
      </c>
      <c r="R27" s="509">
        <f>ROUND(SUMIF('5.0'!$D:$D,T_IS!D27,'5.0'!$V:$V),0)</f>
        <v>0</v>
      </c>
      <c r="S27" s="509">
        <f>ROUND(SUMIF('6.0'!$D:$D,T_IS!D27,'6.0'!$V:$V),0)</f>
        <v>0</v>
      </c>
      <c r="T27" s="509">
        <f>ROUND(SUMIF('7.0'!$D:$D,T_IS!D27,'7.0'!$V:$V),0)</f>
        <v>0</v>
      </c>
      <c r="U27" s="509">
        <f>ROUND(SUMIF('8.0'!$D:$D,T_IS!F27,'8.0'!$H:$H),0)</f>
        <v>0</v>
      </c>
      <c r="V27" s="1470">
        <f t="shared" ref="V27:V35" si="15">SUM(N27:U27)</f>
        <v>-1128329166</v>
      </c>
      <c r="X27" s="1616">
        <f t="shared" ref="X27:X35" si="16">V27+L27</f>
        <v>51908544506</v>
      </c>
      <c r="Z27" s="1616">
        <f t="shared" ref="Z27:Z35" si="17">X27-AN27</f>
        <v>15353378015</v>
      </c>
      <c r="AA27" s="1616">
        <f t="shared" ref="AA27:AA35" si="18">AS27-AU27</f>
        <v>8557509354</v>
      </c>
      <c r="AB27" s="1616">
        <f t="shared" ref="AB27:AB35" si="19">Z27-AA27</f>
        <v>6795868661</v>
      </c>
      <c r="AD27" s="1616">
        <f t="shared" ref="AD27:AD35" si="20">X27-AN27</f>
        <v>15353378015</v>
      </c>
      <c r="AE27" s="1616">
        <f t="shared" ref="AE27:AE35" si="21">AN27-AQ27</f>
        <v>16533643123</v>
      </c>
      <c r="AF27" s="1616">
        <f t="shared" ref="AF27:AF35" si="22">AD27-AE27</f>
        <v>-1180265108</v>
      </c>
      <c r="AH27" s="1616">
        <f t="shared" ref="AH27:AH35" si="23">X27-AL27</f>
        <v>6892166885</v>
      </c>
      <c r="AI27" s="1616">
        <f t="shared" ref="AI27:AI35" si="24">AL27-AM27</f>
        <v>6059753515</v>
      </c>
      <c r="AJ27" s="1616">
        <f t="shared" ref="AJ27:AJ35" si="25">AH27-AI27</f>
        <v>832413370</v>
      </c>
      <c r="AL27" s="550">
        <v>45016377621</v>
      </c>
      <c r="AM27" s="550">
        <v>38956624106</v>
      </c>
      <c r="AN27" s="550">
        <v>36555166491</v>
      </c>
      <c r="AO27" s="550">
        <v>33568860614</v>
      </c>
      <c r="AP27" s="550">
        <v>25362430439</v>
      </c>
      <c r="AQ27" s="550">
        <v>20021523368</v>
      </c>
      <c r="AR27" s="550">
        <v>9105901119</v>
      </c>
      <c r="AS27" s="550">
        <v>28088117014</v>
      </c>
      <c r="AT27" s="550">
        <v>22187472273</v>
      </c>
      <c r="AU27" s="550">
        <v>19530607660</v>
      </c>
      <c r="AV27" s="550">
        <v>13448770713</v>
      </c>
      <c r="AW27" s="1616">
        <v>6858201701</v>
      </c>
      <c r="AX27" s="509">
        <v>26833967325</v>
      </c>
      <c r="AY27" s="1616">
        <v>17557500163</v>
      </c>
      <c r="AZ27" s="1617">
        <v>11196910989</v>
      </c>
      <c r="BA27" s="1618">
        <v>4254257020</v>
      </c>
    </row>
    <row r="28" spans="1:53" ht="18" customHeight="1">
      <c r="A28" s="509"/>
      <c r="D28" s="1593" t="s">
        <v>241</v>
      </c>
      <c r="E28" s="1359" t="s">
        <v>238</v>
      </c>
      <c r="F28" s="1361">
        <v>202</v>
      </c>
      <c r="G28" s="1359" t="s">
        <v>242</v>
      </c>
      <c r="H28" s="498">
        <v>12714794171</v>
      </c>
      <c r="I28" s="498">
        <v>0</v>
      </c>
      <c r="J28" s="710">
        <v>0</v>
      </c>
      <c r="K28" s="710">
        <v>0</v>
      </c>
      <c r="L28" s="510">
        <f t="shared" si="14"/>
        <v>12714794171</v>
      </c>
      <c r="N28" s="1468">
        <f>ROUND(SUMIF('1.0'!$D:$D,T_IS!D28,'1.0'!$V:$V),0)</f>
        <v>0</v>
      </c>
      <c r="O28" s="509">
        <f>-ROUND(SUMIF('2.0'!$D:$D,T_IS!D28,'2.0'!$V:$V),0)</f>
        <v>0</v>
      </c>
      <c r="P28" s="509">
        <f>ROUND(SUMIF('3.0'!$D:$D,T_IS!D28,'3.0'!$H:$H),0)</f>
        <v>0</v>
      </c>
      <c r="Q28" s="509">
        <f>ROUND(SUMIF('4.0'!$D:$D,T_IS!D28,'4.0'!$V:$V),0)</f>
        <v>-17394310</v>
      </c>
      <c r="R28" s="509">
        <f>ROUND(SUMIF('5.0'!$D:$D,T_IS!D28,'5.0'!$V:$V),0)</f>
        <v>0</v>
      </c>
      <c r="S28" s="509">
        <f>ROUND(SUMIF('6.0'!$D:$D,T_IS!D28,'6.0'!$V:$V),0)</f>
        <v>0</v>
      </c>
      <c r="T28" s="509">
        <f>ROUND(SUMIF('7.0'!$D:$D,T_IS!D28,'7.0'!$V:$V),0)</f>
        <v>0</v>
      </c>
      <c r="U28" s="509">
        <f>ROUND(SUMIF('8.0'!$D:$D,T_IS!F28,'8.0'!$H:$H),0)</f>
        <v>0</v>
      </c>
      <c r="V28" s="1470">
        <f t="shared" si="15"/>
        <v>-17394310</v>
      </c>
      <c r="X28" s="1616">
        <f t="shared" si="16"/>
        <v>12697399861</v>
      </c>
      <c r="Z28" s="1616">
        <f t="shared" si="17"/>
        <v>3403458333</v>
      </c>
      <c r="AA28" s="1616">
        <f t="shared" si="18"/>
        <v>2520907267</v>
      </c>
      <c r="AB28" s="1616">
        <f t="shared" si="19"/>
        <v>882551066</v>
      </c>
      <c r="AD28" s="1616">
        <f t="shared" si="20"/>
        <v>3403458333</v>
      </c>
      <c r="AE28" s="1616">
        <f t="shared" si="21"/>
        <v>2974133452</v>
      </c>
      <c r="AF28" s="1616">
        <f t="shared" si="22"/>
        <v>429324881</v>
      </c>
      <c r="AH28" s="1616">
        <f t="shared" si="23"/>
        <v>896381824</v>
      </c>
      <c r="AI28" s="1616">
        <f t="shared" si="24"/>
        <v>1261020696</v>
      </c>
      <c r="AJ28" s="1616">
        <f t="shared" si="25"/>
        <v>-364638872</v>
      </c>
      <c r="AL28" s="550">
        <v>11801018037</v>
      </c>
      <c r="AM28" s="550">
        <v>10539997341</v>
      </c>
      <c r="AN28" s="550">
        <v>9293941528</v>
      </c>
      <c r="AO28" s="550">
        <v>7421490008</v>
      </c>
      <c r="AP28" s="550">
        <v>6984367517</v>
      </c>
      <c r="AQ28" s="550">
        <v>6319808076</v>
      </c>
      <c r="AR28" s="550">
        <v>2704920287</v>
      </c>
      <c r="AS28" s="550">
        <v>10227362198</v>
      </c>
      <c r="AT28" s="550">
        <v>8585165940</v>
      </c>
      <c r="AU28" s="550">
        <v>7706454931</v>
      </c>
      <c r="AV28" s="550">
        <v>5030917195</v>
      </c>
      <c r="AW28" s="1616">
        <v>2129978210</v>
      </c>
      <c r="AX28" s="509">
        <v>13476781012</v>
      </c>
      <c r="AY28" s="1616">
        <v>9675428377</v>
      </c>
      <c r="AZ28" s="1617">
        <v>6895368186</v>
      </c>
      <c r="BA28" s="1618">
        <v>3389832111</v>
      </c>
    </row>
    <row r="29" spans="1:53" ht="18" customHeight="1">
      <c r="A29" s="509"/>
      <c r="D29" s="1624">
        <v>420510</v>
      </c>
      <c r="E29" s="1359" t="s">
        <v>238</v>
      </c>
      <c r="F29" s="1361">
        <v>204</v>
      </c>
      <c r="G29" s="1359" t="s">
        <v>244</v>
      </c>
      <c r="H29" s="498">
        <v>54175995678</v>
      </c>
      <c r="I29" s="498">
        <v>0</v>
      </c>
      <c r="J29" s="710">
        <v>0</v>
      </c>
      <c r="K29" s="710">
        <v>0</v>
      </c>
      <c r="L29" s="510">
        <f t="shared" si="14"/>
        <v>54175995678</v>
      </c>
      <c r="N29" s="1468">
        <f>ROUND(SUMIF('1.0'!$D:$D,T_IS!D29,'1.0'!$V:$V),0)</f>
        <v>0</v>
      </c>
      <c r="O29" s="509">
        <f>-ROUND(SUMIF('2.0'!$D:$D,T_IS!D29,'2.0'!$V:$V),0)</f>
        <v>0</v>
      </c>
      <c r="P29" s="509">
        <f>ROUND(SUMIF('3.0'!$D:$D,T_IS!D29,'3.0'!$H:$H),0)</f>
        <v>0</v>
      </c>
      <c r="Q29" s="509">
        <f>ROUND(SUMIF('4.0'!$D:$D,T_IS!D29,'4.0'!$V:$V),0)</f>
        <v>0</v>
      </c>
      <c r="R29" s="509">
        <f>ROUND(SUMIF('5.0'!$D:$D,T_IS!D29,'5.0'!$V:$V),0)</f>
        <v>0</v>
      </c>
      <c r="S29" s="509">
        <f>ROUND(SUMIF('6.0'!$D:$D,T_IS!D29,'6.0'!$V:$V),0)</f>
        <v>0</v>
      </c>
      <c r="T29" s="509">
        <f>ROUND(SUMIF('7.0'!$D:$D,T_IS!D29,'7.0'!$V:$V),0)</f>
        <v>0</v>
      </c>
      <c r="U29" s="509">
        <f>ROUND(SUMIF('8.0'!$D:$D,T_IS!F29,'8.0'!$H:$H),0)</f>
        <v>0</v>
      </c>
      <c r="V29" s="1470">
        <f t="shared" si="15"/>
        <v>0</v>
      </c>
      <c r="X29" s="1616">
        <f t="shared" si="16"/>
        <v>54175995678</v>
      </c>
      <c r="Z29" s="1616">
        <f t="shared" si="17"/>
        <v>15939725307</v>
      </c>
      <c r="AA29" s="1616">
        <f t="shared" si="18"/>
        <v>10195716074</v>
      </c>
      <c r="AB29" s="1616">
        <f t="shared" si="19"/>
        <v>5744009233</v>
      </c>
      <c r="AD29" s="1616">
        <f t="shared" si="20"/>
        <v>15939725307</v>
      </c>
      <c r="AE29" s="1616">
        <f t="shared" si="21"/>
        <v>15436505199</v>
      </c>
      <c r="AF29" s="1616">
        <f t="shared" si="22"/>
        <v>503220108</v>
      </c>
      <c r="AH29" s="1616">
        <f t="shared" si="23"/>
        <v>5495644832</v>
      </c>
      <c r="AI29" s="1616">
        <f t="shared" si="24"/>
        <v>4963399326</v>
      </c>
      <c r="AJ29" s="1616">
        <f t="shared" si="25"/>
        <v>532245506</v>
      </c>
      <c r="AL29" s="550">
        <v>48680350846</v>
      </c>
      <c r="AM29" s="550">
        <v>43716951520</v>
      </c>
      <c r="AN29" s="550">
        <v>38236270371</v>
      </c>
      <c r="AO29" s="550">
        <v>33501988415</v>
      </c>
      <c r="AP29" s="550">
        <v>28419318220</v>
      </c>
      <c r="AQ29" s="550">
        <v>22799765172</v>
      </c>
      <c r="AR29" s="550">
        <v>8995897958</v>
      </c>
      <c r="AS29" s="550">
        <v>43037495044</v>
      </c>
      <c r="AT29" s="550">
        <v>36236345863</v>
      </c>
      <c r="AU29" s="550">
        <v>32841778970</v>
      </c>
      <c r="AV29" s="550">
        <v>21746487875</v>
      </c>
      <c r="AW29" s="1616">
        <v>12092986859</v>
      </c>
      <c r="AX29" s="509">
        <v>57087044548</v>
      </c>
      <c r="AY29" s="1616">
        <v>42671840931</v>
      </c>
      <c r="AZ29" s="1617">
        <v>29338092191</v>
      </c>
      <c r="BA29" s="1618">
        <v>13930162269</v>
      </c>
    </row>
    <row r="30" spans="1:53" ht="18" customHeight="1">
      <c r="A30" s="509"/>
      <c r="D30" s="1593" t="s">
        <v>245</v>
      </c>
      <c r="E30" s="1359" t="s">
        <v>238</v>
      </c>
      <c r="F30" s="1361">
        <v>204</v>
      </c>
      <c r="G30" s="1359" t="s">
        <v>246</v>
      </c>
      <c r="H30" s="498">
        <v>3812691198</v>
      </c>
      <c r="I30" s="498">
        <v>0</v>
      </c>
      <c r="J30" s="710">
        <v>0</v>
      </c>
      <c r="K30" s="710">
        <v>0</v>
      </c>
      <c r="L30" s="510">
        <f t="shared" si="14"/>
        <v>3812691198</v>
      </c>
      <c r="N30" s="1468">
        <f>ROUND(SUMIF('1.0'!$D:$D,T_IS!D30,'1.0'!$V:$V),0)</f>
        <v>0</v>
      </c>
      <c r="O30" s="509">
        <f>-ROUND(SUMIF('2.0'!$D:$D,T_IS!D30,'2.0'!$V:$V),0)</f>
        <v>0</v>
      </c>
      <c r="P30" s="509">
        <f>ROUND(SUMIF('3.0'!$D:$D,T_IS!D30,'3.0'!$H:$H),0)</f>
        <v>0</v>
      </c>
      <c r="Q30" s="509">
        <f>ROUND(SUMIF('4.0'!$D:$D,T_IS!D30,'4.0'!$V:$V),0)</f>
        <v>0</v>
      </c>
      <c r="R30" s="509">
        <f>ROUND(SUMIF('5.0'!$D:$D,T_IS!D30,'5.0'!$V:$V),0)</f>
        <v>0</v>
      </c>
      <c r="S30" s="509">
        <f>ROUND(SUMIF('6.0'!$D:$D,T_IS!D30,'6.0'!$V:$V),0)</f>
        <v>0</v>
      </c>
      <c r="T30" s="509">
        <f>ROUND(SUMIF('7.0'!$D:$D,T_IS!D30,'7.0'!$V:$V),0)</f>
        <v>0</v>
      </c>
      <c r="U30" s="509">
        <f>ROUND(SUMIF('8.0'!$D:$D,T_IS!F30,'8.0'!$H:$H),0)</f>
        <v>0</v>
      </c>
      <c r="V30" s="1470">
        <f t="shared" si="15"/>
        <v>0</v>
      </c>
      <c r="X30" s="1616">
        <f t="shared" si="16"/>
        <v>3812691198</v>
      </c>
      <c r="Z30" s="1616">
        <f t="shared" si="17"/>
        <v>1143622622</v>
      </c>
      <c r="AA30" s="1616">
        <f t="shared" si="18"/>
        <v>806709191</v>
      </c>
      <c r="AB30" s="1616">
        <f t="shared" si="19"/>
        <v>336913431</v>
      </c>
      <c r="AD30" s="1616">
        <f t="shared" si="20"/>
        <v>1143622622</v>
      </c>
      <c r="AE30" s="1616">
        <f t="shared" si="21"/>
        <v>926712769</v>
      </c>
      <c r="AF30" s="1616">
        <f t="shared" si="22"/>
        <v>216909853</v>
      </c>
      <c r="AH30" s="1616">
        <f t="shared" si="23"/>
        <v>372413394</v>
      </c>
      <c r="AI30" s="1616">
        <f t="shared" si="24"/>
        <v>288024606</v>
      </c>
      <c r="AJ30" s="1616">
        <f t="shared" si="25"/>
        <v>84388788</v>
      </c>
      <c r="AL30" s="550">
        <v>3440277804</v>
      </c>
      <c r="AM30" s="550">
        <v>3152253198</v>
      </c>
      <c r="AN30" s="550">
        <v>2669068576</v>
      </c>
      <c r="AO30" s="550">
        <v>2332494245</v>
      </c>
      <c r="AP30" s="550">
        <v>2062493216</v>
      </c>
      <c r="AQ30" s="550">
        <v>1742355807</v>
      </c>
      <c r="AR30" s="550">
        <v>889890394</v>
      </c>
      <c r="AS30" s="550">
        <v>3585936577</v>
      </c>
      <c r="AT30" s="550">
        <v>3021062164</v>
      </c>
      <c r="AU30" s="550">
        <v>2779227386</v>
      </c>
      <c r="AV30" s="550">
        <v>1896704452</v>
      </c>
      <c r="AW30" s="1616">
        <v>840628122</v>
      </c>
      <c r="AX30" s="509">
        <v>3476419595</v>
      </c>
      <c r="AY30" s="1616">
        <v>2153598212</v>
      </c>
      <c r="AZ30" s="1617">
        <v>1658767627</v>
      </c>
      <c r="BA30" s="1618">
        <v>847591276</v>
      </c>
    </row>
    <row r="31" spans="1:53" ht="18" customHeight="1">
      <c r="A31" s="509"/>
      <c r="D31" s="1593" t="s">
        <v>247</v>
      </c>
      <c r="E31" s="1359" t="s">
        <v>238</v>
      </c>
      <c r="F31" s="1361">
        <v>204</v>
      </c>
      <c r="G31" s="1359" t="s">
        <v>248</v>
      </c>
      <c r="H31" s="498">
        <v>83317526656</v>
      </c>
      <c r="I31" s="498">
        <v>0</v>
      </c>
      <c r="J31" s="710">
        <v>0</v>
      </c>
      <c r="K31" s="710">
        <v>0</v>
      </c>
      <c r="L31" s="510">
        <f t="shared" si="14"/>
        <v>83317526656</v>
      </c>
      <c r="N31" s="1468">
        <f>ROUND(SUMIF('1.0'!$D:$D,T_IS!D31,'1.0'!$V:$V),0)</f>
        <v>0</v>
      </c>
      <c r="O31" s="509">
        <f>-ROUND(SUMIF('2.0'!$D:$D,T_IS!D31,'2.0'!$V:$V),0)</f>
        <v>0</v>
      </c>
      <c r="P31" s="509">
        <f>ROUND(SUMIF('3.0'!$D:$D,T_IS!D31,'3.0'!$H:$H),0)</f>
        <v>0</v>
      </c>
      <c r="Q31" s="509">
        <f>ROUND(SUMIF('4.0'!$D:$D,T_IS!D31,'4.0'!$V:$V),0)</f>
        <v>0</v>
      </c>
      <c r="R31" s="509">
        <f>ROUND(SUMIF('5.0'!$D:$D,T_IS!D31,'5.0'!$V:$V),0)</f>
        <v>0</v>
      </c>
      <c r="S31" s="509">
        <f>ROUND(SUMIF('6.0'!$D:$D,T_IS!D31,'6.0'!$V:$V),0)</f>
        <v>0</v>
      </c>
      <c r="T31" s="509">
        <f>ROUND(SUMIF('7.0'!$D:$D,T_IS!D31,'7.0'!$V:$V),0)</f>
        <v>0</v>
      </c>
      <c r="U31" s="509">
        <f>ROUND(SUMIF('8.0'!$D:$D,T_IS!F31,'8.0'!$H:$H),0)</f>
        <v>0</v>
      </c>
      <c r="V31" s="1470">
        <f t="shared" si="15"/>
        <v>0</v>
      </c>
      <c r="X31" s="1616">
        <f t="shared" si="16"/>
        <v>83317526656</v>
      </c>
      <c r="Z31" s="1616">
        <f t="shared" si="17"/>
        <v>20784382227</v>
      </c>
      <c r="AA31" s="1616">
        <f t="shared" si="18"/>
        <v>22831642986</v>
      </c>
      <c r="AB31" s="1616">
        <f t="shared" si="19"/>
        <v>-2047260759</v>
      </c>
      <c r="AD31" s="1616">
        <f t="shared" si="20"/>
        <v>20784382227</v>
      </c>
      <c r="AE31" s="1616">
        <f t="shared" si="21"/>
        <v>20639790791</v>
      </c>
      <c r="AF31" s="1616">
        <f t="shared" si="22"/>
        <v>144591436</v>
      </c>
      <c r="AH31" s="1616">
        <f t="shared" si="23"/>
        <v>6948896085</v>
      </c>
      <c r="AI31" s="1616">
        <f t="shared" si="24"/>
        <v>6787791286</v>
      </c>
      <c r="AJ31" s="1616">
        <f t="shared" si="25"/>
        <v>161104799</v>
      </c>
      <c r="AL31" s="550">
        <v>76368630571</v>
      </c>
      <c r="AM31" s="550">
        <v>69580839285</v>
      </c>
      <c r="AN31" s="550">
        <v>62533144429</v>
      </c>
      <c r="AO31" s="550">
        <v>55700714465</v>
      </c>
      <c r="AP31" s="550">
        <v>48805228898</v>
      </c>
      <c r="AQ31" s="550">
        <v>41893353638</v>
      </c>
      <c r="AR31" s="550">
        <v>21690101619</v>
      </c>
      <c r="AS31" s="550">
        <v>90896848609</v>
      </c>
      <c r="AT31" s="550">
        <v>75685359064</v>
      </c>
      <c r="AU31" s="550">
        <v>68065205623</v>
      </c>
      <c r="AV31" s="550">
        <v>45091676704</v>
      </c>
      <c r="AW31" s="1616">
        <v>21885913390</v>
      </c>
      <c r="AX31" s="509">
        <v>76246007518</v>
      </c>
      <c r="AY31" s="1616">
        <v>55625530604</v>
      </c>
      <c r="AZ31" s="1617">
        <v>35322987389</v>
      </c>
      <c r="BA31" s="1618">
        <v>16069441153</v>
      </c>
    </row>
    <row r="32" spans="1:53" ht="18" customHeight="1">
      <c r="A32" s="509"/>
      <c r="D32" s="1593" t="s">
        <v>249</v>
      </c>
      <c r="E32" s="1359" t="s">
        <v>238</v>
      </c>
      <c r="F32" s="1361">
        <v>204</v>
      </c>
      <c r="G32" s="1359" t="s">
        <v>250</v>
      </c>
      <c r="H32" s="498">
        <v>0</v>
      </c>
      <c r="I32" s="498">
        <v>0</v>
      </c>
      <c r="J32" s="710">
        <v>0</v>
      </c>
      <c r="K32" s="710">
        <v>0</v>
      </c>
      <c r="L32" s="510">
        <f t="shared" si="14"/>
        <v>0</v>
      </c>
      <c r="N32" s="1468">
        <f>ROUND(SUMIF('1.0'!$D:$D,T_IS!D32,'1.0'!$V:$V),0)</f>
        <v>0</v>
      </c>
      <c r="O32" s="509">
        <f>-ROUND(SUMIF('2.0'!$D:$D,T_IS!D32,'2.0'!$V:$V),0)</f>
        <v>0</v>
      </c>
      <c r="P32" s="509">
        <f>ROUND(SUMIF('3.0'!$D:$D,T_IS!D32,'3.0'!$H:$H),0)</f>
        <v>0</v>
      </c>
      <c r="Q32" s="509">
        <f>ROUND(SUMIF('4.0'!$D:$D,T_IS!D32,'4.0'!$V:$V),0)</f>
        <v>0</v>
      </c>
      <c r="R32" s="509">
        <f>ROUND(SUMIF('5.0'!$D:$D,T_IS!D32,'5.0'!$V:$V),0)</f>
        <v>0</v>
      </c>
      <c r="S32" s="509">
        <f>ROUND(SUMIF('6.0'!$D:$D,T_IS!D32,'6.0'!$V:$V),0)</f>
        <v>0</v>
      </c>
      <c r="T32" s="509">
        <f>ROUND(SUMIF('7.0'!$D:$D,T_IS!D32,'7.0'!$V:$V),0)</f>
        <v>0</v>
      </c>
      <c r="U32" s="509">
        <f>ROUND(SUMIF('8.0'!$D:$D,T_IS!F32,'8.0'!$H:$H),0)</f>
        <v>0</v>
      </c>
      <c r="V32" s="1470">
        <f t="shared" si="15"/>
        <v>0</v>
      </c>
      <c r="X32" s="1616">
        <f t="shared" si="16"/>
        <v>0</v>
      </c>
      <c r="Z32" s="1616">
        <f t="shared" si="17"/>
        <v>0</v>
      </c>
      <c r="AA32" s="1616">
        <f t="shared" si="18"/>
        <v>0</v>
      </c>
      <c r="AB32" s="1616">
        <f t="shared" si="19"/>
        <v>0</v>
      </c>
      <c r="AD32" s="1616">
        <f t="shared" si="20"/>
        <v>0</v>
      </c>
      <c r="AE32" s="1616">
        <f t="shared" si="21"/>
        <v>0</v>
      </c>
      <c r="AF32" s="1616">
        <f t="shared" si="22"/>
        <v>0</v>
      </c>
      <c r="AH32" s="1616">
        <f t="shared" si="23"/>
        <v>0</v>
      </c>
      <c r="AI32" s="1616">
        <f t="shared" si="24"/>
        <v>0</v>
      </c>
      <c r="AJ32" s="1616">
        <f t="shared" si="25"/>
        <v>0</v>
      </c>
      <c r="AL32" s="550">
        <v>0</v>
      </c>
      <c r="AM32" s="550">
        <v>0</v>
      </c>
      <c r="AN32" s="550">
        <v>0</v>
      </c>
      <c r="AO32" s="550">
        <v>0</v>
      </c>
      <c r="AP32" s="550">
        <v>0</v>
      </c>
      <c r="AQ32" s="550">
        <v>0</v>
      </c>
      <c r="AR32" s="550">
        <v>0</v>
      </c>
      <c r="AS32" s="550">
        <v>0</v>
      </c>
      <c r="AT32" s="550">
        <v>0</v>
      </c>
      <c r="AU32" s="550">
        <v>0</v>
      </c>
      <c r="AV32" s="550">
        <v>0</v>
      </c>
      <c r="AW32" s="1616">
        <v>0</v>
      </c>
      <c r="AX32" s="509">
        <v>4</v>
      </c>
      <c r="AY32" s="1616">
        <v>4</v>
      </c>
      <c r="AZ32" s="1810">
        <v>-4</v>
      </c>
      <c r="BA32" s="1618">
        <v>0</v>
      </c>
    </row>
    <row r="33" spans="1:53" ht="18" customHeight="1">
      <c r="A33" s="509"/>
      <c r="D33" s="1593" t="s">
        <v>251</v>
      </c>
      <c r="E33" s="1359" t="s">
        <v>238</v>
      </c>
      <c r="F33" s="1361">
        <v>204</v>
      </c>
      <c r="G33" s="1359" t="s">
        <v>252</v>
      </c>
      <c r="H33" s="498">
        <v>7020672329</v>
      </c>
      <c r="I33" s="498">
        <v>0</v>
      </c>
      <c r="J33" s="710">
        <v>0</v>
      </c>
      <c r="K33" s="710">
        <v>0</v>
      </c>
      <c r="L33" s="510">
        <f t="shared" si="14"/>
        <v>7020672329</v>
      </c>
      <c r="N33" s="1468">
        <f>ROUND(SUMIF('1.0'!$D:$D,T_IS!D33,'1.0'!$V:$V),0)</f>
        <v>0</v>
      </c>
      <c r="O33" s="509">
        <f>-ROUND(SUMIF('2.0'!$D:$D,T_IS!D33,'2.0'!$V:$V),0)</f>
        <v>0</v>
      </c>
      <c r="P33" s="509">
        <f>ROUND(SUMIF('3.0'!$D:$D,T_IS!D33,'3.0'!$H:$H),0)</f>
        <v>0</v>
      </c>
      <c r="Q33" s="509">
        <f>ROUND(SUMIF('4.0'!$D:$D,T_IS!D33,'4.0'!$V:$V),0)</f>
        <v>0</v>
      </c>
      <c r="R33" s="509">
        <f>ROUND(SUMIF('5.0'!$D:$D,T_IS!D33,'5.0'!$V:$V),0)</f>
        <v>0</v>
      </c>
      <c r="S33" s="509">
        <f>ROUND(SUMIF('6.0'!$D:$D,T_IS!D33,'6.0'!$V:$V),0)</f>
        <v>0</v>
      </c>
      <c r="T33" s="509">
        <f>ROUND(SUMIF('7.0'!$D:$D,T_IS!D33,'7.0'!$V:$V),0)</f>
        <v>0</v>
      </c>
      <c r="U33" s="509">
        <f>ROUND(SUMIF('8.0'!$D:$D,T_IS!F33,'8.0'!$H:$H),0)</f>
        <v>0</v>
      </c>
      <c r="V33" s="1470">
        <f t="shared" si="15"/>
        <v>0</v>
      </c>
      <c r="X33" s="1616">
        <f t="shared" si="16"/>
        <v>7020672329</v>
      </c>
      <c r="Z33" s="1616">
        <f t="shared" si="17"/>
        <v>2220624179</v>
      </c>
      <c r="AA33" s="1616">
        <f t="shared" si="18"/>
        <v>2430028799</v>
      </c>
      <c r="AB33" s="1616">
        <f t="shared" si="19"/>
        <v>-209404620</v>
      </c>
      <c r="AD33" s="1616">
        <f t="shared" si="20"/>
        <v>2220624179</v>
      </c>
      <c r="AE33" s="1616">
        <f t="shared" si="21"/>
        <v>1012006497</v>
      </c>
      <c r="AF33" s="1616">
        <f t="shared" si="22"/>
        <v>1208617682</v>
      </c>
      <c r="AH33" s="1616">
        <f t="shared" si="23"/>
        <v>1003296323</v>
      </c>
      <c r="AI33" s="1616">
        <f t="shared" si="24"/>
        <v>930022070</v>
      </c>
      <c r="AJ33" s="1616">
        <f t="shared" si="25"/>
        <v>73274253</v>
      </c>
      <c r="AL33" s="550">
        <v>6017376006</v>
      </c>
      <c r="AM33" s="550">
        <v>5087353936</v>
      </c>
      <c r="AN33" s="550">
        <v>4800048150</v>
      </c>
      <c r="AO33" s="550">
        <v>4544011157</v>
      </c>
      <c r="AP33" s="550">
        <v>4435952473</v>
      </c>
      <c r="AQ33" s="550">
        <v>3788041653</v>
      </c>
      <c r="AR33" s="550">
        <v>970372405</v>
      </c>
      <c r="AS33" s="550">
        <v>7800460840</v>
      </c>
      <c r="AT33" s="550">
        <v>5396242561</v>
      </c>
      <c r="AU33" s="550">
        <v>5370432041</v>
      </c>
      <c r="AV33" s="550">
        <v>3717598481</v>
      </c>
      <c r="AW33" s="1616">
        <v>745733099</v>
      </c>
      <c r="AX33" s="509">
        <v>3946794323</v>
      </c>
      <c r="AY33" s="1616">
        <v>2617653599</v>
      </c>
      <c r="AZ33" s="1617">
        <v>1205095102</v>
      </c>
      <c r="BA33" s="1618">
        <v>747484173</v>
      </c>
    </row>
    <row r="34" spans="1:53" ht="18" customHeight="1">
      <c r="A34" s="509"/>
      <c r="D34" s="1593" t="s">
        <v>253</v>
      </c>
      <c r="E34" s="1359" t="s">
        <v>238</v>
      </c>
      <c r="F34" s="1361">
        <v>204</v>
      </c>
      <c r="G34" s="1359" t="s">
        <v>254</v>
      </c>
      <c r="H34" s="498">
        <v>0</v>
      </c>
      <c r="I34" s="498">
        <v>0</v>
      </c>
      <c r="J34" s="710">
        <v>0</v>
      </c>
      <c r="K34" s="710">
        <v>0</v>
      </c>
      <c r="L34" s="510">
        <f t="shared" si="14"/>
        <v>0</v>
      </c>
      <c r="N34" s="1468">
        <f>ROUND(SUMIF('1.0'!$D:$D,T_IS!D34,'1.0'!$V:$V),0)</f>
        <v>0</v>
      </c>
      <c r="O34" s="509">
        <f>-ROUND(SUMIF('2.0'!$D:$D,T_IS!D34,'2.0'!$V:$V),0)</f>
        <v>0</v>
      </c>
      <c r="P34" s="509">
        <f>ROUND(SUMIF('3.0'!$D:$D,T_IS!D34,'3.0'!$H:$H),0)</f>
        <v>0</v>
      </c>
      <c r="Q34" s="509">
        <f>ROUND(SUMIF('4.0'!$D:$D,T_IS!D34,'4.0'!$V:$V),0)</f>
        <v>0</v>
      </c>
      <c r="R34" s="509">
        <f>ROUND(SUMIF('5.0'!$D:$D,T_IS!D34,'5.0'!$V:$V),0)</f>
        <v>0</v>
      </c>
      <c r="S34" s="509">
        <f>ROUND(SUMIF('6.0'!$D:$D,T_IS!D34,'6.0'!$V:$V),0)</f>
        <v>0</v>
      </c>
      <c r="T34" s="509">
        <f>ROUND(SUMIF('7.0'!$D:$D,T_IS!D34,'7.0'!$V:$V),0)</f>
        <v>0</v>
      </c>
      <c r="U34" s="509">
        <f>ROUND(SUMIF('8.0'!$D:$D,T_IS!F34,'8.0'!$H:$H),0)</f>
        <v>0</v>
      </c>
      <c r="V34" s="1470">
        <f t="shared" si="15"/>
        <v>0</v>
      </c>
      <c r="X34" s="1616">
        <f t="shared" si="16"/>
        <v>0</v>
      </c>
      <c r="Z34" s="1616">
        <f t="shared" si="17"/>
        <v>0</v>
      </c>
      <c r="AA34" s="1616">
        <f t="shared" si="18"/>
        <v>0</v>
      </c>
      <c r="AB34" s="1616">
        <f t="shared" si="19"/>
        <v>0</v>
      </c>
      <c r="AD34" s="1616">
        <f t="shared" si="20"/>
        <v>0</v>
      </c>
      <c r="AE34" s="1616">
        <f t="shared" si="21"/>
        <v>0</v>
      </c>
      <c r="AF34" s="1616">
        <f t="shared" si="22"/>
        <v>0</v>
      </c>
      <c r="AH34" s="1616">
        <f t="shared" si="23"/>
        <v>0</v>
      </c>
      <c r="AI34" s="1616">
        <f t="shared" si="24"/>
        <v>0</v>
      </c>
      <c r="AJ34" s="1616">
        <f t="shared" si="25"/>
        <v>0</v>
      </c>
      <c r="AL34" s="550">
        <v>0</v>
      </c>
      <c r="AM34" s="550">
        <v>0</v>
      </c>
      <c r="AN34" s="550">
        <v>0</v>
      </c>
      <c r="AO34" s="550">
        <v>0</v>
      </c>
      <c r="AP34" s="550">
        <v>0</v>
      </c>
      <c r="AQ34" s="550">
        <v>0</v>
      </c>
      <c r="AR34" s="550">
        <v>0</v>
      </c>
      <c r="AS34" s="550">
        <v>0</v>
      </c>
      <c r="AT34" s="550">
        <v>0</v>
      </c>
      <c r="AU34" s="550">
        <v>0</v>
      </c>
      <c r="AV34" s="550">
        <v>0</v>
      </c>
      <c r="AW34" s="1616">
        <v>0</v>
      </c>
      <c r="AX34" s="509">
        <v>0</v>
      </c>
      <c r="AY34" s="1616">
        <v>0</v>
      </c>
      <c r="AZ34" s="1617">
        <v>0</v>
      </c>
      <c r="BA34" s="1618">
        <v>0</v>
      </c>
    </row>
    <row r="35" spans="1:53" ht="18" customHeight="1">
      <c r="A35" s="509"/>
      <c r="D35" s="1593" t="s">
        <v>255</v>
      </c>
      <c r="E35" s="1359" t="s">
        <v>238</v>
      </c>
      <c r="F35" s="1361">
        <v>204</v>
      </c>
      <c r="G35" s="1359" t="s">
        <v>256</v>
      </c>
      <c r="H35" s="498">
        <v>31557884</v>
      </c>
      <c r="I35" s="498">
        <v>1769049134</v>
      </c>
      <c r="J35" s="710">
        <v>0</v>
      </c>
      <c r="K35" s="710">
        <v>0</v>
      </c>
      <c r="L35" s="510">
        <f t="shared" si="14"/>
        <v>1800607018</v>
      </c>
      <c r="N35" s="1468">
        <f>ROUND(SUMIF('1.0'!$D:$D,T_IS!D35,'1.0'!$V:$V),0)</f>
        <v>0</v>
      </c>
      <c r="O35" s="509">
        <f>-ROUND(SUMIF('2.0'!$D:$D,T_IS!D35,'2.0'!$V:$V),0)</f>
        <v>0</v>
      </c>
      <c r="P35" s="509">
        <f>ROUND(SUMIF('3.0'!$D:$D,T_IS!D35,'3.0'!$H:$H),0)</f>
        <v>0</v>
      </c>
      <c r="Q35" s="509">
        <f>ROUND(SUMIF('4.0'!$D:$D,T_IS!D35,'4.0'!$V:$V),0)</f>
        <v>0</v>
      </c>
      <c r="R35" s="509">
        <f>ROUND(SUMIF('5.0'!$D:$D,T_IS!D35,'5.0'!$V:$V),0)</f>
        <v>0</v>
      </c>
      <c r="S35" s="509">
        <f>ROUND(SUMIF('6.0'!$D:$D,T_IS!D35,'6.0'!$V:$V),0)</f>
        <v>0</v>
      </c>
      <c r="T35" s="509">
        <f>ROUND(SUMIF('7.0'!$D:$D,T_IS!D35,'7.0'!$V:$V),0)</f>
        <v>0</v>
      </c>
      <c r="U35" s="509">
        <f>ROUND(SUMIF('8.0'!$D:$D,T_IS!F35,'8.0'!$H:$H),0)</f>
        <v>0</v>
      </c>
      <c r="V35" s="1470">
        <f t="shared" si="15"/>
        <v>0</v>
      </c>
      <c r="X35" s="1616">
        <f t="shared" si="16"/>
        <v>1800607018</v>
      </c>
      <c r="Z35" s="1616">
        <f t="shared" si="17"/>
        <v>505243081</v>
      </c>
      <c r="AA35" s="1616">
        <f t="shared" si="18"/>
        <v>607874577</v>
      </c>
      <c r="AB35" s="1616">
        <f t="shared" si="19"/>
        <v>-102631496</v>
      </c>
      <c r="AD35" s="1616">
        <f t="shared" si="20"/>
        <v>505243081</v>
      </c>
      <c r="AE35" s="1616">
        <f t="shared" si="21"/>
        <v>364526752</v>
      </c>
      <c r="AF35" s="1616">
        <f t="shared" si="22"/>
        <v>140716329</v>
      </c>
      <c r="AH35" s="1616">
        <f t="shared" si="23"/>
        <v>253997099</v>
      </c>
      <c r="AI35" s="1616">
        <f t="shared" si="24"/>
        <v>132024882</v>
      </c>
      <c r="AJ35" s="1616">
        <f t="shared" si="25"/>
        <v>121972217</v>
      </c>
      <c r="AL35" s="550">
        <v>1546609919</v>
      </c>
      <c r="AM35" s="550">
        <v>1414585037</v>
      </c>
      <c r="AN35" s="550">
        <v>1295363937</v>
      </c>
      <c r="AO35" s="550">
        <v>1174400596</v>
      </c>
      <c r="AP35" s="550">
        <v>1045605905</v>
      </c>
      <c r="AQ35" s="550">
        <v>930837185</v>
      </c>
      <c r="AR35" s="550">
        <v>300263073</v>
      </c>
      <c r="AS35" s="550">
        <v>1052090072</v>
      </c>
      <c r="AT35" s="550">
        <v>452408614</v>
      </c>
      <c r="AU35" s="550">
        <v>444215495</v>
      </c>
      <c r="AV35" s="550">
        <v>442264492</v>
      </c>
      <c r="AW35" s="1616">
        <v>440594710</v>
      </c>
      <c r="AX35" s="509">
        <v>138373002</v>
      </c>
      <c r="AY35" s="1616">
        <v>87603292</v>
      </c>
      <c r="AZ35" s="1617">
        <v>86291507</v>
      </c>
      <c r="BA35" s="1618">
        <v>61984331</v>
      </c>
    </row>
    <row r="36" spans="1:53" ht="18" customHeight="1">
      <c r="A36" s="925"/>
      <c r="D36" s="1583"/>
      <c r="E36" s="1584"/>
      <c r="F36" s="1607"/>
      <c r="G36" s="1584" t="s">
        <v>257</v>
      </c>
      <c r="H36" s="1619">
        <f>H6-H26</f>
        <v>57775819367</v>
      </c>
      <c r="I36" s="503">
        <f>I6-I26</f>
        <v>350909008</v>
      </c>
      <c r="J36" s="503">
        <f>J6-J26</f>
        <v>503834772</v>
      </c>
      <c r="K36" s="503">
        <f>K6-K26</f>
        <v>3282124268</v>
      </c>
      <c r="L36" s="504">
        <f>L6-L26</f>
        <v>61912687415</v>
      </c>
      <c r="N36" s="1620">
        <f t="shared" ref="N36:V36" si="26">N6-N26</f>
        <v>0</v>
      </c>
      <c r="O36" s="503">
        <f t="shared" si="26"/>
        <v>0</v>
      </c>
      <c r="P36" s="503">
        <f t="shared" si="26"/>
        <v>-2449176268</v>
      </c>
      <c r="Q36" s="503">
        <f t="shared" si="26"/>
        <v>27164280</v>
      </c>
      <c r="R36" s="503">
        <f t="shared" si="26"/>
        <v>0</v>
      </c>
      <c r="S36" s="503">
        <f t="shared" si="26"/>
        <v>0</v>
      </c>
      <c r="T36" s="503">
        <f t="shared" si="26"/>
        <v>0</v>
      </c>
      <c r="U36" s="503">
        <f t="shared" si="26"/>
        <v>0</v>
      </c>
      <c r="V36" s="1621">
        <f t="shared" si="26"/>
        <v>-2422011988</v>
      </c>
      <c r="X36" s="1622">
        <f>X6-X26</f>
        <v>59490675427</v>
      </c>
      <c r="Z36" s="1622">
        <f>Z6-Z26</f>
        <v>14838946733</v>
      </c>
      <c r="AA36" s="1622">
        <f>AA6-AA26</f>
        <v>18272643274</v>
      </c>
      <c r="AB36" s="1622">
        <f>AB6-AB26</f>
        <v>-3433696541</v>
      </c>
      <c r="AD36" s="1622">
        <f>AD6-AD26</f>
        <v>14838946733</v>
      </c>
      <c r="AE36" s="1622">
        <f>AE6-AE26</f>
        <v>16043692106</v>
      </c>
      <c r="AF36" s="1622">
        <f>AF6-AF26</f>
        <v>-1204745373</v>
      </c>
      <c r="AH36" s="1622">
        <f>AH6-AH26</f>
        <v>4574503456</v>
      </c>
      <c r="AI36" s="1622">
        <f>AI6-AI26</f>
        <v>4812283123</v>
      </c>
      <c r="AJ36" s="1622">
        <f>AJ6-AJ26</f>
        <v>-237779667</v>
      </c>
      <c r="AL36" s="1623">
        <v>54916171971</v>
      </c>
      <c r="AM36" s="1623">
        <v>50103888848</v>
      </c>
      <c r="AN36" s="1623">
        <v>44651728694</v>
      </c>
      <c r="AO36" s="1623">
        <v>39288507162</v>
      </c>
      <c r="AP36" s="1623">
        <v>34028951380</v>
      </c>
      <c r="AQ36" s="1623">
        <v>28608036588</v>
      </c>
      <c r="AR36" s="1623">
        <v>13508572838</v>
      </c>
      <c r="AS36" s="1623">
        <v>59500954148</v>
      </c>
      <c r="AT36" s="1623">
        <v>46409529011</v>
      </c>
      <c r="AU36" s="1623">
        <v>41228310874</v>
      </c>
      <c r="AV36" s="1623">
        <v>26598789049</v>
      </c>
      <c r="AW36" s="1622">
        <f>AW6-AW26</f>
        <v>12690314938</v>
      </c>
      <c r="AX36" s="503">
        <f>AX6-AX26</f>
        <v>45123684896</v>
      </c>
      <c r="AY36" s="1622">
        <f>AY6-AY26</f>
        <v>32247309004</v>
      </c>
      <c r="AZ36" s="1622">
        <f>AZ6-AZ26</f>
        <v>21898908735</v>
      </c>
      <c r="BA36" s="504">
        <f>BA6-BA26</f>
        <v>11275014099</v>
      </c>
    </row>
    <row r="37" spans="1:53" ht="18" customHeight="1">
      <c r="A37" s="925"/>
      <c r="D37" s="1583"/>
      <c r="E37" s="1584"/>
      <c r="F37" s="1607"/>
      <c r="G37" s="1584" t="s">
        <v>258</v>
      </c>
      <c r="H37" s="1619">
        <f>SUM(H38:H74)</f>
        <v>66850876108</v>
      </c>
      <c r="I37" s="503">
        <f>SUM(I38:I74)</f>
        <v>632882086</v>
      </c>
      <c r="J37" s="503">
        <f>SUM(J38:J74)</f>
        <v>452016850</v>
      </c>
      <c r="K37" s="503">
        <f>SUM(K38:K74)</f>
        <v>1835075043</v>
      </c>
      <c r="L37" s="504">
        <f>SUM(L38:L74)</f>
        <v>69770850087</v>
      </c>
      <c r="N37" s="1620">
        <f t="shared" ref="N37:V37" si="27">SUM(N38:N74)</f>
        <v>0</v>
      </c>
      <c r="O37" s="503">
        <f t="shared" si="27"/>
        <v>0</v>
      </c>
      <c r="P37" s="503">
        <f t="shared" si="27"/>
        <v>-2445629600</v>
      </c>
      <c r="Q37" s="503">
        <f t="shared" si="27"/>
        <v>193111111</v>
      </c>
      <c r="R37" s="503">
        <f t="shared" si="27"/>
        <v>0</v>
      </c>
      <c r="S37" s="503">
        <f t="shared" si="27"/>
        <v>0</v>
      </c>
      <c r="T37" s="503">
        <f t="shared" si="27"/>
        <v>0</v>
      </c>
      <c r="U37" s="503">
        <f t="shared" si="27"/>
        <v>0</v>
      </c>
      <c r="V37" s="1621">
        <f t="shared" si="27"/>
        <v>-2252518489</v>
      </c>
      <c r="X37" s="1622">
        <f>SUM(X38:X74)</f>
        <v>67518331598</v>
      </c>
      <c r="Z37" s="1622">
        <f>SUM(Z38:Z74)</f>
        <v>21022193972</v>
      </c>
      <c r="AA37" s="1622">
        <f>SUM(AA38:AA74)</f>
        <v>18138020958</v>
      </c>
      <c r="AB37" s="1622">
        <f>SUM(AB38:AB74)</f>
        <v>2884173014</v>
      </c>
      <c r="AD37" s="1622">
        <f>SUM(AD38:AD74)</f>
        <v>21022193972</v>
      </c>
      <c r="AE37" s="1622">
        <f>SUM(AE38:AE74)</f>
        <v>16861855695</v>
      </c>
      <c r="AF37" s="1622">
        <f>SUM(AF38:AF74)</f>
        <v>4160338277</v>
      </c>
      <c r="AH37" s="1622">
        <f>SUM(AH38:AH74)</f>
        <v>9894872046</v>
      </c>
      <c r="AI37" s="1622">
        <f>SUM(AI38:AI74)</f>
        <v>5490023010</v>
      </c>
      <c r="AJ37" s="1622">
        <f>SUM(AJ38:AJ74)</f>
        <v>4404849036</v>
      </c>
      <c r="AL37" s="1623">
        <v>57623459552</v>
      </c>
      <c r="AM37" s="1623">
        <v>52133436542</v>
      </c>
      <c r="AN37" s="1623">
        <v>46496137626</v>
      </c>
      <c r="AO37" s="1623">
        <v>41151041048</v>
      </c>
      <c r="AP37" s="1623">
        <v>35384917733</v>
      </c>
      <c r="AQ37" s="1623">
        <v>29634281931</v>
      </c>
      <c r="AR37" s="1623">
        <v>13919892653</v>
      </c>
      <c r="AS37" s="1623">
        <v>54652445309</v>
      </c>
      <c r="AT37" s="1623">
        <v>40721929024</v>
      </c>
      <c r="AU37" s="1623">
        <v>36514424351</v>
      </c>
      <c r="AV37" s="1623">
        <v>23830391473</v>
      </c>
      <c r="AW37" s="1622">
        <f>SUM(AW38:AW74)</f>
        <v>11633145089</v>
      </c>
      <c r="AX37" s="503">
        <f>SUM(AX38:AX74)</f>
        <v>57012606885</v>
      </c>
      <c r="AY37" s="1622">
        <f>SUM(AY38:AY74)</f>
        <v>41868940448</v>
      </c>
      <c r="AZ37" s="1622">
        <f>SUM(AZ38:AZ74)</f>
        <v>27568897549</v>
      </c>
      <c r="BA37" s="504">
        <f>SUM(BA38:BA74)</f>
        <v>12976105803</v>
      </c>
    </row>
    <row r="38" spans="1:53" ht="18" customHeight="1">
      <c r="A38" s="1086" t="s">
        <v>260</v>
      </c>
      <c r="B38" s="1359" t="b">
        <f>A38=G38</f>
        <v>1</v>
      </c>
      <c r="D38" s="1593" t="s">
        <v>259</v>
      </c>
      <c r="E38" s="1359" t="s">
        <v>258</v>
      </c>
      <c r="F38" s="1361">
        <v>301</v>
      </c>
      <c r="G38" s="1359" t="s">
        <v>260</v>
      </c>
      <c r="H38" s="498">
        <v>18420233151</v>
      </c>
      <c r="I38" s="498">
        <v>304829870</v>
      </c>
      <c r="J38" s="710">
        <v>270419003</v>
      </c>
      <c r="K38" s="710">
        <v>608525893</v>
      </c>
      <c r="L38" s="510">
        <f t="shared" ref="L38:L74" si="28">SUM(H38:K38)</f>
        <v>19604007917</v>
      </c>
      <c r="N38" s="1468">
        <f>ROUND(SUMIF('1.0'!$D:$D,T_IS!D38,'1.0'!$V:$V),0)</f>
        <v>0</v>
      </c>
      <c r="O38" s="509">
        <f>ROUND(SUMIF('2.0'!$D:$D,T_IS!D38,'2.0'!$V:$V),0)</f>
        <v>0</v>
      </c>
      <c r="P38" s="509">
        <f>ROUND(SUMIF('3.0'!$D:$D,T_IS!D38,'3.0'!$H:$H),0)</f>
        <v>0</v>
      </c>
      <c r="Q38" s="509">
        <f>ROUND(SUMIF('4.0'!$D:$D,T_IS!D38,'4.0'!$V:$V),0)</f>
        <v>0</v>
      </c>
      <c r="R38" s="509">
        <f>ROUND(SUMIF('5.0'!$D:$D,T_IS!D38,'5.0'!$V:$V),0)</f>
        <v>0</v>
      </c>
      <c r="S38" s="509">
        <f>ROUND(SUMIF('6.0'!$D:$D,T_IS!D38,'6.0'!$V:$V),0)</f>
        <v>0</v>
      </c>
      <c r="T38" s="509">
        <f>ROUND(SUMIF('7.0'!$D:$D,T_IS!D38,'7.0'!$V:$V),0)</f>
        <v>0</v>
      </c>
      <c r="U38" s="509">
        <f>ROUND(SUMIF('8.0'!$D:$D,T_IS!F38,'8.0'!$H:$H),0)</f>
        <v>0</v>
      </c>
      <c r="V38" s="1470">
        <f t="shared" ref="V38:V74" si="29">SUM(N38:U38)</f>
        <v>0</v>
      </c>
      <c r="X38" s="1616">
        <f t="shared" ref="X38:X74" si="30">V38+L38</f>
        <v>19604007917</v>
      </c>
      <c r="Z38" s="1616">
        <f t="shared" ref="Z38:Z74" si="31">X38-AN38</f>
        <v>5649851677</v>
      </c>
      <c r="AA38" s="1616">
        <f t="shared" ref="AA38:AA74" si="32">AS38-AU38</f>
        <v>5811573494</v>
      </c>
      <c r="AB38" s="1616">
        <f t="shared" ref="AB38:AB74" si="33">Z38-AA38</f>
        <v>-161721817</v>
      </c>
      <c r="AD38" s="1616">
        <f t="shared" ref="AD38:AD74" si="34">X38-AN38</f>
        <v>5649851677</v>
      </c>
      <c r="AE38" s="1616">
        <f t="shared" ref="AE38:AE74" si="35">AN38-AQ38</f>
        <v>4737044799</v>
      </c>
      <c r="AF38" s="1616">
        <f t="shared" ref="AF38:AF74" si="36">AD38-AE38</f>
        <v>912806878</v>
      </c>
      <c r="AH38" s="1616">
        <f t="shared" ref="AH38:AH74" si="37">X38-AL38</f>
        <v>2509084488</v>
      </c>
      <c r="AI38" s="1616">
        <f t="shared" ref="AI38:AI74" si="38">AL38-AM38</f>
        <v>1585019329</v>
      </c>
      <c r="AJ38" s="1616">
        <f t="shared" ref="AJ38:AJ74" si="39">AH38-AI38</f>
        <v>924065159</v>
      </c>
      <c r="AL38" s="550">
        <v>17094923429</v>
      </c>
      <c r="AM38" s="550">
        <v>15509904100</v>
      </c>
      <c r="AN38" s="550">
        <v>13954156240</v>
      </c>
      <c r="AO38" s="550">
        <v>12332347326</v>
      </c>
      <c r="AP38" s="550">
        <v>10765676001</v>
      </c>
      <c r="AQ38" s="550">
        <v>9217111441</v>
      </c>
      <c r="AR38" s="550">
        <v>4578928591</v>
      </c>
      <c r="AS38" s="550">
        <v>17522853044</v>
      </c>
      <c r="AT38" s="550">
        <v>13126826015</v>
      </c>
      <c r="AU38" s="550">
        <v>11711279550</v>
      </c>
      <c r="AV38" s="550">
        <v>7785579892</v>
      </c>
      <c r="AW38" s="1616">
        <v>3846526795</v>
      </c>
      <c r="AX38" s="509">
        <v>15962194642</v>
      </c>
      <c r="AY38" s="1616">
        <v>11013830261</v>
      </c>
      <c r="AZ38" s="1617">
        <v>7458340686</v>
      </c>
      <c r="BA38" s="1618">
        <v>3611887413</v>
      </c>
    </row>
    <row r="39" spans="1:53" ht="18" customHeight="1">
      <c r="A39" s="1086" t="s">
        <v>262</v>
      </c>
      <c r="B39" s="1359" t="b">
        <f>A39=G39</f>
        <v>1</v>
      </c>
      <c r="D39" s="1593" t="s">
        <v>261</v>
      </c>
      <c r="E39" s="1359" t="s">
        <v>258</v>
      </c>
      <c r="F39" s="1361">
        <v>302</v>
      </c>
      <c r="G39" s="1359" t="s">
        <v>262</v>
      </c>
      <c r="H39" s="498">
        <v>1859910883</v>
      </c>
      <c r="I39" s="498">
        <v>35234876</v>
      </c>
      <c r="J39" s="710">
        <v>0</v>
      </c>
      <c r="K39" s="710">
        <v>28507182</v>
      </c>
      <c r="L39" s="510">
        <f t="shared" si="28"/>
        <v>1923652941</v>
      </c>
      <c r="N39" s="1468">
        <f>ROUND(SUMIF('1.0'!$D:$D,T_IS!D39,'1.0'!$V:$V),0)</f>
        <v>0</v>
      </c>
      <c r="O39" s="509">
        <f>ROUND(SUMIF('2.0'!$D:$D,T_IS!D39,'2.0'!$V:$V),0)</f>
        <v>0</v>
      </c>
      <c r="P39" s="509">
        <f>ROUND(SUMIF('3.0'!$D:$D,T_IS!D39,'3.0'!$H:$H),0)</f>
        <v>0</v>
      </c>
      <c r="Q39" s="509">
        <f>ROUND(SUMIF('4.0'!$D:$D,T_IS!D39,'4.0'!$V:$V),0)</f>
        <v>0</v>
      </c>
      <c r="R39" s="509">
        <f>ROUND(SUMIF('5.0'!$D:$D,T_IS!D39,'5.0'!$V:$V),0)</f>
        <v>0</v>
      </c>
      <c r="S39" s="509">
        <f>ROUND(SUMIF('6.0'!$D:$D,T_IS!D39,'6.0'!$V:$V),0)</f>
        <v>0</v>
      </c>
      <c r="T39" s="509">
        <f>ROUND(SUMIF('7.0'!$D:$D,T_IS!D39,'7.0'!$V:$V),0)</f>
        <v>0</v>
      </c>
      <c r="U39" s="509">
        <f>ROUND(SUMIF('8.0'!$D:$D,T_IS!F39,'8.0'!$H:$H),0)</f>
        <v>0</v>
      </c>
      <c r="V39" s="1470">
        <f t="shared" si="29"/>
        <v>0</v>
      </c>
      <c r="X39" s="1616">
        <f t="shared" si="30"/>
        <v>1923652941</v>
      </c>
      <c r="Z39" s="1616">
        <f t="shared" si="31"/>
        <v>485538092</v>
      </c>
      <c r="AA39" s="1616">
        <f t="shared" si="32"/>
        <v>466659751</v>
      </c>
      <c r="AB39" s="1616">
        <f t="shared" si="33"/>
        <v>18878341</v>
      </c>
      <c r="AD39" s="1616">
        <f t="shared" si="34"/>
        <v>485538092</v>
      </c>
      <c r="AE39" s="1616">
        <f t="shared" si="35"/>
        <v>478743581</v>
      </c>
      <c r="AF39" s="1616">
        <f t="shared" si="36"/>
        <v>6794511</v>
      </c>
      <c r="AH39" s="1616">
        <f t="shared" si="37"/>
        <v>163862399</v>
      </c>
      <c r="AI39" s="1616">
        <f t="shared" si="38"/>
        <v>161045915</v>
      </c>
      <c r="AJ39" s="1616">
        <f t="shared" si="39"/>
        <v>2816484</v>
      </c>
      <c r="AL39" s="550">
        <v>1759790542</v>
      </c>
      <c r="AM39" s="550">
        <v>1598744627</v>
      </c>
      <c r="AN39" s="550">
        <v>1438114849</v>
      </c>
      <c r="AO39" s="550">
        <v>1277404422</v>
      </c>
      <c r="AP39" s="550">
        <v>1117163037</v>
      </c>
      <c r="AQ39" s="550">
        <v>959371268</v>
      </c>
      <c r="AR39" s="550">
        <v>499300362</v>
      </c>
      <c r="AS39" s="550">
        <v>1793869353</v>
      </c>
      <c r="AT39" s="550">
        <v>1475250123</v>
      </c>
      <c r="AU39" s="550">
        <v>1327209602</v>
      </c>
      <c r="AV39" s="550">
        <v>883413247</v>
      </c>
      <c r="AW39" s="1616">
        <v>445699323</v>
      </c>
      <c r="AX39" s="509">
        <v>1716897804</v>
      </c>
      <c r="AY39" s="1616">
        <v>1295143664</v>
      </c>
      <c r="AZ39" s="1617">
        <v>829435383</v>
      </c>
      <c r="BA39" s="1618">
        <v>423252238</v>
      </c>
    </row>
    <row r="40" spans="1:53" ht="18" customHeight="1">
      <c r="A40" s="1086"/>
      <c r="D40" s="1593" t="s">
        <v>1545</v>
      </c>
      <c r="E40" s="1359" t="s">
        <v>258</v>
      </c>
      <c r="F40" s="1361">
        <v>303</v>
      </c>
      <c r="G40" s="1359" t="s">
        <v>758</v>
      </c>
      <c r="H40" s="498">
        <v>-31098658</v>
      </c>
      <c r="I40" s="498">
        <v>0</v>
      </c>
      <c r="J40" s="710">
        <v>0</v>
      </c>
      <c r="K40" s="710">
        <v>0</v>
      </c>
      <c r="L40" s="510">
        <f t="shared" si="28"/>
        <v>-31098658</v>
      </c>
      <c r="N40" s="1468"/>
      <c r="O40" s="509">
        <f>ROUND(SUMIF('2.0'!$D:$D,T_IS!D40,'2.0'!$V:$V),0)</f>
        <v>0</v>
      </c>
      <c r="P40" s="509">
        <f>ROUND(SUMIF('3.0'!$D:$D,T_IS!D40,'3.0'!$H:$H),0)</f>
        <v>0</v>
      </c>
      <c r="Q40" s="509">
        <f>ROUND(SUMIF('4.0'!$D:$D,T_IS!D40,'4.0'!$V:$V),0)</f>
        <v>0</v>
      </c>
      <c r="R40" s="509">
        <f>ROUND(SUMIF('5.0'!$D:$D,T_IS!D40,'5.0'!$V:$V),0)</f>
        <v>0</v>
      </c>
      <c r="S40" s="509"/>
      <c r="T40" s="509">
        <f>ROUND(SUMIF('7.0'!$D:$D,T_IS!D40,'7.0'!$V:$V),0)</f>
        <v>0</v>
      </c>
      <c r="U40" s="509">
        <f>ROUND(SUMIF('8.0'!$D:$D,T_IS!F40,'8.0'!$H:$H),0)</f>
        <v>0</v>
      </c>
      <c r="V40" s="1470">
        <f t="shared" si="29"/>
        <v>0</v>
      </c>
      <c r="X40" s="1616">
        <f t="shared" si="30"/>
        <v>-31098658</v>
      </c>
      <c r="Z40" s="1616">
        <f t="shared" si="31"/>
        <v>25035042</v>
      </c>
      <c r="AA40" s="1616">
        <f t="shared" si="32"/>
        <v>61506960</v>
      </c>
      <c r="AB40" s="1616">
        <f t="shared" si="33"/>
        <v>-36471918</v>
      </c>
      <c r="AD40" s="1616">
        <f t="shared" si="34"/>
        <v>25035042</v>
      </c>
      <c r="AE40" s="1616">
        <f t="shared" si="35"/>
        <v>-491433</v>
      </c>
      <c r="AF40" s="1616">
        <f t="shared" si="36"/>
        <v>25526475</v>
      </c>
      <c r="AH40" s="1616">
        <f t="shared" si="37"/>
        <v>8345014</v>
      </c>
      <c r="AI40" s="1616">
        <f t="shared" si="38"/>
        <v>8345014</v>
      </c>
      <c r="AJ40" s="1616">
        <f t="shared" si="39"/>
        <v>0</v>
      </c>
      <c r="AL40" s="550">
        <v>-39443672</v>
      </c>
      <c r="AM40" s="550">
        <v>-47788686</v>
      </c>
      <c r="AN40" s="550">
        <v>-56133700</v>
      </c>
      <c r="AO40" s="550">
        <v>-37643189</v>
      </c>
      <c r="AP40" s="550">
        <v>-46642728</v>
      </c>
      <c r="AQ40" s="550">
        <v>-55642267</v>
      </c>
      <c r="AR40" s="550">
        <v>-41405382</v>
      </c>
      <c r="AS40" s="550">
        <v>329722924</v>
      </c>
      <c r="AT40" s="550">
        <v>296744225</v>
      </c>
      <c r="AU40" s="550">
        <v>268215964</v>
      </c>
      <c r="AV40" s="550">
        <v>193291355</v>
      </c>
      <c r="AW40" s="1616">
        <v>131581039</v>
      </c>
      <c r="AX40" s="509">
        <v>624260187</v>
      </c>
      <c r="AY40" s="1616">
        <v>607214925</v>
      </c>
      <c r="AZ40" s="1617">
        <v>412306506</v>
      </c>
      <c r="BA40" s="1618">
        <v>224894463</v>
      </c>
    </row>
    <row r="41" spans="1:53" ht="18" customHeight="1">
      <c r="A41" s="1086" t="s">
        <v>264</v>
      </c>
      <c r="B41" s="1359" t="b">
        <f t="shared" ref="B41:B74" si="40">A41=G41</f>
        <v>1</v>
      </c>
      <c r="D41" s="1593" t="s">
        <v>263</v>
      </c>
      <c r="E41" s="1359" t="s">
        <v>258</v>
      </c>
      <c r="F41" s="1361">
        <v>304</v>
      </c>
      <c r="G41" s="1359" t="s">
        <v>264</v>
      </c>
      <c r="H41" s="498">
        <v>4893286127</v>
      </c>
      <c r="I41" s="498">
        <v>32325481</v>
      </c>
      <c r="J41" s="710">
        <v>42963625</v>
      </c>
      <c r="K41" s="710">
        <v>159512237</v>
      </c>
      <c r="L41" s="510">
        <f t="shared" si="28"/>
        <v>5128087470</v>
      </c>
      <c r="N41" s="1468">
        <f>ROUND(SUMIF('1.0'!$D:$D,T_IS!D41,'1.0'!$V:$V),0)</f>
        <v>0</v>
      </c>
      <c r="O41" s="509">
        <f>ROUND(SUMIF('2.0'!$D:$D,T_IS!D41,'2.0'!$V:$V),0)</f>
        <v>0</v>
      </c>
      <c r="P41" s="509">
        <f>ROUND(SUMIF('3.0'!$D:$D,T_IS!D41,'3.0'!$H:$H),0)</f>
        <v>0</v>
      </c>
      <c r="Q41" s="509">
        <f>ROUND(SUMIF('4.0'!$D:$D,T_IS!D41,'4.0'!$V:$V),0)</f>
        <v>0</v>
      </c>
      <c r="R41" s="509">
        <f>ROUND(SUMIF('5.0'!$D:$D,T_IS!D41,'5.0'!$V:$V),0)</f>
        <v>0</v>
      </c>
      <c r="S41" s="509">
        <f>ROUND(SUMIF('6.0'!$D:$D,T_IS!D41,'6.0'!$V:$V),0)</f>
        <v>-14677174</v>
      </c>
      <c r="T41" s="509">
        <f>ROUND(SUMIF('7.0'!$D:$D,T_IS!D41,'7.0'!$V:$V),0)</f>
        <v>0</v>
      </c>
      <c r="U41" s="509">
        <f>ROUND(SUMIF('8.0'!$D:$D,T_IS!F41,'8.0'!$H:$H),0)</f>
        <v>0</v>
      </c>
      <c r="V41" s="1470">
        <f t="shared" si="29"/>
        <v>-14677174</v>
      </c>
      <c r="X41" s="1616">
        <f t="shared" si="30"/>
        <v>5113410296</v>
      </c>
      <c r="Z41" s="1616">
        <f t="shared" si="31"/>
        <v>2489471336</v>
      </c>
      <c r="AA41" s="1616">
        <f t="shared" si="32"/>
        <v>2050424379</v>
      </c>
      <c r="AB41" s="1616">
        <f t="shared" si="33"/>
        <v>439046957</v>
      </c>
      <c r="AD41" s="1616">
        <f t="shared" si="34"/>
        <v>2489471336</v>
      </c>
      <c r="AE41" s="1616">
        <f t="shared" si="35"/>
        <v>890967643</v>
      </c>
      <c r="AF41" s="1616">
        <f t="shared" si="36"/>
        <v>1598503693</v>
      </c>
      <c r="AH41" s="1616">
        <f t="shared" si="37"/>
        <v>1880362876</v>
      </c>
      <c r="AI41" s="1616">
        <f t="shared" si="38"/>
        <v>302670047</v>
      </c>
      <c r="AJ41" s="1616">
        <f t="shared" si="39"/>
        <v>1577692829</v>
      </c>
      <c r="AL41" s="550">
        <v>3233047420</v>
      </c>
      <c r="AM41" s="550">
        <v>2930377373</v>
      </c>
      <c r="AN41" s="550">
        <v>2623938960</v>
      </c>
      <c r="AO41" s="550">
        <v>2305617898</v>
      </c>
      <c r="AP41" s="550">
        <v>2034872996</v>
      </c>
      <c r="AQ41" s="550">
        <v>1732971317</v>
      </c>
      <c r="AR41" s="550">
        <v>755355770</v>
      </c>
      <c r="AS41" s="550">
        <v>4188955460</v>
      </c>
      <c r="AT41" s="550">
        <v>2313681457</v>
      </c>
      <c r="AU41" s="550">
        <v>2138531081</v>
      </c>
      <c r="AV41" s="550">
        <v>1394560304</v>
      </c>
      <c r="AW41" s="1616">
        <v>668695373</v>
      </c>
      <c r="AX41" s="509">
        <v>3367428459</v>
      </c>
      <c r="AY41" s="1616">
        <v>1933525453</v>
      </c>
      <c r="AZ41" s="1617">
        <v>1288720791</v>
      </c>
      <c r="BA41" s="1618">
        <v>606125687</v>
      </c>
    </row>
    <row r="42" spans="1:53" ht="18" customHeight="1">
      <c r="A42" s="1086" t="s">
        <v>266</v>
      </c>
      <c r="B42" s="1359" t="b">
        <f t="shared" si="40"/>
        <v>1</v>
      </c>
      <c r="D42" s="1593" t="s">
        <v>265</v>
      </c>
      <c r="E42" s="1359" t="s">
        <v>258</v>
      </c>
      <c r="F42" s="1361">
        <v>305</v>
      </c>
      <c r="G42" s="1359" t="s">
        <v>266</v>
      </c>
      <c r="H42" s="498">
        <v>147944634</v>
      </c>
      <c r="I42" s="498">
        <v>988530</v>
      </c>
      <c r="J42" s="710">
        <v>18162358</v>
      </c>
      <c r="K42" s="710">
        <v>59091202</v>
      </c>
      <c r="L42" s="510">
        <f t="shared" si="28"/>
        <v>226186724</v>
      </c>
      <c r="N42" s="1468">
        <f>ROUND(SUMIF('1.0'!$D:$D,T_IS!D42,'1.0'!$V:$V),0)</f>
        <v>0</v>
      </c>
      <c r="O42" s="509">
        <f>ROUND(SUMIF('2.0'!$D:$D,T_IS!D42,'2.0'!$V:$V),0)</f>
        <v>0</v>
      </c>
      <c r="P42" s="509">
        <f>ROUND(SUMIF('3.0'!$D:$D,T_IS!D42,'3.0'!$H:$H),0)</f>
        <v>0</v>
      </c>
      <c r="Q42" s="509">
        <f>ROUND(SUMIF('4.0'!$D:$D,T_IS!D42,'4.0'!$V:$V),0)</f>
        <v>0</v>
      </c>
      <c r="R42" s="509">
        <f>ROUND(SUMIF('5.0'!$D:$D,T_IS!D42,'5.0'!$V:$V),0)</f>
        <v>0</v>
      </c>
      <c r="S42" s="509">
        <f>ROUND(SUMIF('6.0'!$D:$D,T_IS!D42,'6.0'!$V:$V),0)</f>
        <v>0</v>
      </c>
      <c r="T42" s="509">
        <f>ROUND(SUMIF('7.0'!$D:$D,T_IS!D42,'7.0'!$V:$V),0)</f>
        <v>0</v>
      </c>
      <c r="U42" s="509">
        <f>ROUND(SUMIF('8.0'!$D:$D,T_IS!F42,'8.0'!$H:$H),0)</f>
        <v>0</v>
      </c>
      <c r="V42" s="1470">
        <f t="shared" si="29"/>
        <v>0</v>
      </c>
      <c r="X42" s="1616">
        <f t="shared" si="30"/>
        <v>226186724</v>
      </c>
      <c r="Z42" s="1616">
        <f t="shared" si="31"/>
        <v>66313624</v>
      </c>
      <c r="AA42" s="1616">
        <f t="shared" si="32"/>
        <v>35215439</v>
      </c>
      <c r="AB42" s="1616">
        <f t="shared" si="33"/>
        <v>31098185</v>
      </c>
      <c r="AD42" s="1616">
        <f t="shared" si="34"/>
        <v>66313624</v>
      </c>
      <c r="AE42" s="1616">
        <f t="shared" si="35"/>
        <v>70222345</v>
      </c>
      <c r="AF42" s="1616">
        <f t="shared" si="36"/>
        <v>-3908721</v>
      </c>
      <c r="AH42" s="1616">
        <f t="shared" si="37"/>
        <v>27656295</v>
      </c>
      <c r="AI42" s="1616">
        <f t="shared" si="38"/>
        <v>14485233</v>
      </c>
      <c r="AJ42" s="1616">
        <f t="shared" si="39"/>
        <v>13171062</v>
      </c>
      <c r="AL42" s="550">
        <v>198530429</v>
      </c>
      <c r="AM42" s="550">
        <v>184045196</v>
      </c>
      <c r="AN42" s="550">
        <v>159873100</v>
      </c>
      <c r="AO42" s="550">
        <v>144302401</v>
      </c>
      <c r="AP42" s="550">
        <v>102449997</v>
      </c>
      <c r="AQ42" s="550">
        <v>89650755</v>
      </c>
      <c r="AR42" s="550">
        <v>27347603</v>
      </c>
      <c r="AS42" s="550">
        <v>111359045</v>
      </c>
      <c r="AT42" s="550">
        <v>88125755</v>
      </c>
      <c r="AU42" s="550">
        <v>76143606</v>
      </c>
      <c r="AV42" s="550">
        <v>48071727</v>
      </c>
      <c r="AW42" s="1616">
        <v>19473848</v>
      </c>
      <c r="AX42" s="509">
        <v>160800898</v>
      </c>
      <c r="AY42" s="1616">
        <v>113208606</v>
      </c>
      <c r="AZ42" s="1617">
        <v>71547217</v>
      </c>
      <c r="BA42" s="1618">
        <v>47114816</v>
      </c>
    </row>
    <row r="43" spans="1:53" ht="18" customHeight="1">
      <c r="A43" s="1086" t="s">
        <v>268</v>
      </c>
      <c r="B43" s="1359" t="b">
        <f t="shared" si="40"/>
        <v>1</v>
      </c>
      <c r="D43" s="1593" t="s">
        <v>267</v>
      </c>
      <c r="E43" s="1359" t="s">
        <v>258</v>
      </c>
      <c r="F43" s="1361">
        <v>306</v>
      </c>
      <c r="G43" s="1359" t="s">
        <v>268</v>
      </c>
      <c r="H43" s="498">
        <v>85652644</v>
      </c>
      <c r="I43" s="498">
        <v>1772350</v>
      </c>
      <c r="J43" s="710">
        <v>0</v>
      </c>
      <c r="K43" s="710">
        <v>93779344</v>
      </c>
      <c r="L43" s="510">
        <f t="shared" si="28"/>
        <v>181204338</v>
      </c>
      <c r="N43" s="1468">
        <f>ROUND(SUMIF('1.0'!$D:$D,T_IS!D43,'1.0'!$V:$V),0)</f>
        <v>0</v>
      </c>
      <c r="O43" s="509">
        <f>ROUND(SUMIF('2.0'!$D:$D,T_IS!D43,'2.0'!$V:$V),0)</f>
        <v>0</v>
      </c>
      <c r="P43" s="509">
        <f>ROUND(SUMIF('3.0'!$D:$D,T_IS!D43,'3.0'!$H:$H),0)</f>
        <v>0</v>
      </c>
      <c r="Q43" s="509">
        <f>ROUND(SUMIF('4.0'!$D:$D,T_IS!D43,'4.0'!$V:$V),0)</f>
        <v>0</v>
      </c>
      <c r="R43" s="509">
        <f>ROUND(SUMIF('5.0'!$D:$D,T_IS!D43,'5.0'!$V:$V),0)</f>
        <v>0</v>
      </c>
      <c r="S43" s="509">
        <f>ROUND(SUMIF('6.0'!$D:$D,T_IS!D43,'6.0'!$V:$V),0)</f>
        <v>0</v>
      </c>
      <c r="T43" s="509">
        <f>ROUND(SUMIF('7.0'!$D:$D,T_IS!D43,'7.0'!$V:$V),0)</f>
        <v>0</v>
      </c>
      <c r="U43" s="509">
        <f>ROUND(SUMIF('8.0'!$D:$D,T_IS!F43,'8.0'!$H:$H),0)</f>
        <v>0</v>
      </c>
      <c r="V43" s="1470">
        <f t="shared" si="29"/>
        <v>0</v>
      </c>
      <c r="X43" s="1616">
        <f t="shared" si="30"/>
        <v>181204338</v>
      </c>
      <c r="Z43" s="1616">
        <f t="shared" si="31"/>
        <v>51201508</v>
      </c>
      <c r="AA43" s="1616">
        <f t="shared" si="32"/>
        <v>31758968</v>
      </c>
      <c r="AB43" s="1616">
        <f t="shared" si="33"/>
        <v>19442540</v>
      </c>
      <c r="AD43" s="1616">
        <f t="shared" si="34"/>
        <v>51201508</v>
      </c>
      <c r="AE43" s="1616">
        <f t="shared" si="35"/>
        <v>45882970</v>
      </c>
      <c r="AF43" s="1616">
        <f t="shared" si="36"/>
        <v>5318538</v>
      </c>
      <c r="AH43" s="1616">
        <f t="shared" si="37"/>
        <v>19233581</v>
      </c>
      <c r="AI43" s="1616">
        <f t="shared" si="38"/>
        <v>14364589</v>
      </c>
      <c r="AJ43" s="1616">
        <f t="shared" si="39"/>
        <v>4868992</v>
      </c>
      <c r="AL43" s="550">
        <v>161970757</v>
      </c>
      <c r="AM43" s="550">
        <v>147606168</v>
      </c>
      <c r="AN43" s="550">
        <v>130002830</v>
      </c>
      <c r="AO43" s="550">
        <v>111152976</v>
      </c>
      <c r="AP43" s="550">
        <v>99888926</v>
      </c>
      <c r="AQ43" s="550">
        <v>84119860</v>
      </c>
      <c r="AR43" s="550">
        <v>30864677</v>
      </c>
      <c r="AS43" s="550">
        <v>80690950</v>
      </c>
      <c r="AT43" s="550">
        <v>53533351</v>
      </c>
      <c r="AU43" s="550">
        <v>48931982</v>
      </c>
      <c r="AV43" s="550">
        <v>26366473</v>
      </c>
      <c r="AW43" s="1616">
        <v>12285971</v>
      </c>
      <c r="AX43" s="509">
        <v>74742706</v>
      </c>
      <c r="AY43" s="1616">
        <v>48959779</v>
      </c>
      <c r="AZ43" s="1617">
        <v>30926691</v>
      </c>
      <c r="BA43" s="1618">
        <v>21537169</v>
      </c>
    </row>
    <row r="44" spans="1:53" ht="18" customHeight="1">
      <c r="A44" s="1086" t="s">
        <v>270</v>
      </c>
      <c r="B44" s="1359" t="b">
        <f t="shared" si="40"/>
        <v>1</v>
      </c>
      <c r="D44" s="1593" t="s">
        <v>269</v>
      </c>
      <c r="E44" s="1359" t="s">
        <v>258</v>
      </c>
      <c r="F44" s="1361">
        <v>307</v>
      </c>
      <c r="G44" s="1359" t="s">
        <v>270</v>
      </c>
      <c r="H44" s="498">
        <v>186604547</v>
      </c>
      <c r="I44" s="498">
        <v>816644</v>
      </c>
      <c r="J44" s="710">
        <v>15872361</v>
      </c>
      <c r="K44" s="710">
        <v>12511422</v>
      </c>
      <c r="L44" s="510">
        <f t="shared" si="28"/>
        <v>215804974</v>
      </c>
      <c r="N44" s="1468">
        <f>ROUND(SUMIF('1.0'!$D:$D,T_IS!D44,'1.0'!$V:$V),0)</f>
        <v>0</v>
      </c>
      <c r="O44" s="509">
        <f>ROUND(SUMIF('2.0'!$D:$D,T_IS!D44,'2.0'!$V:$V),0)</f>
        <v>0</v>
      </c>
      <c r="P44" s="509">
        <f>ROUND(SUMIF('3.0'!$D:$D,T_IS!D44,'3.0'!$H:$H),0)</f>
        <v>0</v>
      </c>
      <c r="Q44" s="509">
        <f>ROUND(SUMIF('4.0'!$D:$D,T_IS!D44,'4.0'!$V:$V),0)</f>
        <v>0</v>
      </c>
      <c r="R44" s="509">
        <f>ROUND(SUMIF('5.0'!$D:$D,T_IS!D44,'5.0'!$V:$V),0)</f>
        <v>0</v>
      </c>
      <c r="S44" s="509">
        <f>ROUND(SUMIF('6.0'!$D:$D,T_IS!D44,'6.0'!$V:$V),0)</f>
        <v>-9928000</v>
      </c>
      <c r="T44" s="509">
        <f>ROUND(SUMIF('7.0'!$D:$D,T_IS!D44,'7.0'!$V:$V),0)</f>
        <v>0</v>
      </c>
      <c r="U44" s="509">
        <f>ROUND(SUMIF('8.0'!$D:$D,T_IS!F44,'8.0'!$H:$H),0)</f>
        <v>0</v>
      </c>
      <c r="V44" s="1470">
        <f t="shared" si="29"/>
        <v>-9928000</v>
      </c>
      <c r="X44" s="1616">
        <f t="shared" si="30"/>
        <v>205876974</v>
      </c>
      <c r="Z44" s="1616">
        <f t="shared" si="31"/>
        <v>38260821</v>
      </c>
      <c r="AA44" s="1616">
        <f t="shared" si="32"/>
        <v>62906592</v>
      </c>
      <c r="AB44" s="1616">
        <f t="shared" si="33"/>
        <v>-24645771</v>
      </c>
      <c r="AD44" s="1616">
        <f t="shared" si="34"/>
        <v>38260821</v>
      </c>
      <c r="AE44" s="1616">
        <f t="shared" si="35"/>
        <v>50253196</v>
      </c>
      <c r="AF44" s="1616">
        <f t="shared" si="36"/>
        <v>-11992375</v>
      </c>
      <c r="AH44" s="1616">
        <f t="shared" si="37"/>
        <v>15193566</v>
      </c>
      <c r="AI44" s="1616">
        <f t="shared" si="38"/>
        <v>17189384</v>
      </c>
      <c r="AJ44" s="1616">
        <f t="shared" si="39"/>
        <v>-1995818</v>
      </c>
      <c r="AL44" s="550">
        <v>190683408</v>
      </c>
      <c r="AM44" s="550">
        <v>173494024</v>
      </c>
      <c r="AN44" s="550">
        <v>167616153</v>
      </c>
      <c r="AO44" s="550">
        <v>156714964</v>
      </c>
      <c r="AP44" s="550">
        <v>136149809</v>
      </c>
      <c r="AQ44" s="550">
        <v>117362957</v>
      </c>
      <c r="AR44" s="550">
        <v>60491694</v>
      </c>
      <c r="AS44" s="550">
        <v>247316594</v>
      </c>
      <c r="AT44" s="550">
        <v>205144354</v>
      </c>
      <c r="AU44" s="550">
        <v>184410002</v>
      </c>
      <c r="AV44" s="550">
        <v>119890130</v>
      </c>
      <c r="AW44" s="1616">
        <v>60525511</v>
      </c>
      <c r="AX44" s="509">
        <v>261944781</v>
      </c>
      <c r="AY44" s="1616">
        <v>199358425</v>
      </c>
      <c r="AZ44" s="1617">
        <v>141294395</v>
      </c>
      <c r="BA44" s="1618">
        <v>74377005</v>
      </c>
    </row>
    <row r="45" spans="1:53" ht="18" customHeight="1">
      <c r="A45" s="1086" t="s">
        <v>272</v>
      </c>
      <c r="B45" s="1359" t="b">
        <f t="shared" si="40"/>
        <v>1</v>
      </c>
      <c r="D45" s="1593" t="s">
        <v>271</v>
      </c>
      <c r="E45" s="1359" t="s">
        <v>258</v>
      </c>
      <c r="F45" s="1361">
        <v>308</v>
      </c>
      <c r="G45" s="1359" t="s">
        <v>272</v>
      </c>
      <c r="H45" s="498">
        <v>48152931</v>
      </c>
      <c r="I45" s="498">
        <v>1635022</v>
      </c>
      <c r="J45" s="710">
        <v>1804251</v>
      </c>
      <c r="K45" s="710">
        <v>5472814</v>
      </c>
      <c r="L45" s="510">
        <f t="shared" si="28"/>
        <v>57065018</v>
      </c>
      <c r="N45" s="1468">
        <f>ROUND(SUMIF('1.0'!$D:$D,T_IS!D45,'1.0'!$V:$V),0)</f>
        <v>0</v>
      </c>
      <c r="O45" s="509">
        <f>ROUND(SUMIF('2.0'!$D:$D,T_IS!D45,'2.0'!$V:$V),0)</f>
        <v>0</v>
      </c>
      <c r="P45" s="509">
        <f>ROUND(SUMIF('3.0'!$D:$D,T_IS!D45,'3.0'!$H:$H),0)</f>
        <v>0</v>
      </c>
      <c r="Q45" s="509">
        <f>ROUND(SUMIF('4.0'!$D:$D,T_IS!D45,'4.0'!$V:$V),0)</f>
        <v>0</v>
      </c>
      <c r="R45" s="509">
        <f>ROUND(SUMIF('5.0'!$D:$D,T_IS!D45,'5.0'!$V:$V),0)</f>
        <v>0</v>
      </c>
      <c r="S45" s="509">
        <f>ROUND(SUMIF('6.0'!$D:$D,T_IS!D45,'6.0'!$V:$V),0)</f>
        <v>0</v>
      </c>
      <c r="T45" s="509">
        <f>ROUND(SUMIF('7.0'!$D:$D,T_IS!D45,'7.0'!$V:$V),0)</f>
        <v>0</v>
      </c>
      <c r="U45" s="509">
        <f>ROUND(SUMIF('8.0'!$D:$D,T_IS!F45,'8.0'!$H:$H),0)</f>
        <v>0</v>
      </c>
      <c r="V45" s="1470">
        <f t="shared" si="29"/>
        <v>0</v>
      </c>
      <c r="X45" s="1616">
        <f t="shared" si="30"/>
        <v>57065018</v>
      </c>
      <c r="Z45" s="1616">
        <f t="shared" si="31"/>
        <v>12969675</v>
      </c>
      <c r="AA45" s="1616">
        <f t="shared" si="32"/>
        <v>10197514</v>
      </c>
      <c r="AB45" s="1616">
        <f t="shared" si="33"/>
        <v>2772161</v>
      </c>
      <c r="AD45" s="1616">
        <f t="shared" si="34"/>
        <v>12969675</v>
      </c>
      <c r="AE45" s="1616">
        <f t="shared" si="35"/>
        <v>18347685</v>
      </c>
      <c r="AF45" s="1616">
        <f t="shared" si="36"/>
        <v>-5378010</v>
      </c>
      <c r="AH45" s="1616">
        <f t="shared" si="37"/>
        <v>5943034</v>
      </c>
      <c r="AI45" s="1616">
        <f t="shared" si="38"/>
        <v>3139728</v>
      </c>
      <c r="AJ45" s="1616">
        <f t="shared" si="39"/>
        <v>2803306</v>
      </c>
      <c r="AL45" s="550">
        <v>51121984</v>
      </c>
      <c r="AM45" s="550">
        <v>47982256</v>
      </c>
      <c r="AN45" s="550">
        <v>44095343</v>
      </c>
      <c r="AO45" s="550">
        <v>39851576</v>
      </c>
      <c r="AP45" s="550">
        <v>33807943</v>
      </c>
      <c r="AQ45" s="550">
        <v>25747658</v>
      </c>
      <c r="AR45" s="550">
        <v>17793737</v>
      </c>
      <c r="AS45" s="550">
        <v>48181441</v>
      </c>
      <c r="AT45" s="550">
        <v>42566732</v>
      </c>
      <c r="AU45" s="550">
        <v>37983927</v>
      </c>
      <c r="AV45" s="550">
        <v>21714360</v>
      </c>
      <c r="AW45" s="1616">
        <v>11454167</v>
      </c>
      <c r="AX45" s="509">
        <v>71626799</v>
      </c>
      <c r="AY45" s="1616">
        <v>56927821</v>
      </c>
      <c r="AZ45" s="1617">
        <v>32730191</v>
      </c>
      <c r="BA45" s="1618">
        <v>21051554</v>
      </c>
    </row>
    <row r="46" spans="1:53" ht="18" customHeight="1">
      <c r="A46" s="1086" t="s">
        <v>274</v>
      </c>
      <c r="B46" s="1359" t="b">
        <f t="shared" si="40"/>
        <v>1</v>
      </c>
      <c r="D46" s="1593" t="s">
        <v>273</v>
      </c>
      <c r="E46" s="1359" t="s">
        <v>258</v>
      </c>
      <c r="F46" s="1361">
        <v>309</v>
      </c>
      <c r="G46" s="1359" t="s">
        <v>274</v>
      </c>
      <c r="H46" s="498">
        <v>136416440</v>
      </c>
      <c r="I46" s="498">
        <v>18755810</v>
      </c>
      <c r="J46" s="710">
        <v>64868</v>
      </c>
      <c r="K46" s="710">
        <v>1068016</v>
      </c>
      <c r="L46" s="510">
        <f t="shared" si="28"/>
        <v>156305134</v>
      </c>
      <c r="N46" s="1468">
        <f>ROUND(SUMIF('1.0'!$D:$D,T_IS!D46,'1.0'!$V:$V),0)</f>
        <v>0</v>
      </c>
      <c r="O46" s="509">
        <f>ROUND(SUMIF('2.0'!$D:$D,T_IS!D46,'2.0'!$V:$V),0)</f>
        <v>0</v>
      </c>
      <c r="P46" s="509">
        <f>ROUND(SUMIF('3.0'!$D:$D,T_IS!D46,'3.0'!$H:$H),0)</f>
        <v>0</v>
      </c>
      <c r="Q46" s="509">
        <f>ROUND(SUMIF('4.0'!$D:$D,T_IS!D46,'4.0'!$V:$V),0)</f>
        <v>0</v>
      </c>
      <c r="R46" s="509">
        <f>ROUND(SUMIF('5.0'!$D:$D,T_IS!D46,'5.0'!$V:$V),0)</f>
        <v>0</v>
      </c>
      <c r="S46" s="509">
        <f>ROUND(SUMIF('6.0'!$D:$D,T_IS!D46,'6.0'!$V:$V),0)</f>
        <v>0</v>
      </c>
      <c r="T46" s="509">
        <f>ROUND(SUMIF('7.0'!$D:$D,T_IS!D46,'7.0'!$V:$V),0)</f>
        <v>0</v>
      </c>
      <c r="U46" s="509">
        <f>ROUND(SUMIF('8.0'!$D:$D,T_IS!F46,'8.0'!$H:$H),0)</f>
        <v>0</v>
      </c>
      <c r="V46" s="1470">
        <f t="shared" si="29"/>
        <v>0</v>
      </c>
      <c r="X46" s="1616">
        <f t="shared" si="30"/>
        <v>156305134</v>
      </c>
      <c r="Z46" s="1616">
        <f t="shared" si="31"/>
        <v>31383626</v>
      </c>
      <c r="AA46" s="1616">
        <f t="shared" si="32"/>
        <v>23423881</v>
      </c>
      <c r="AB46" s="1616">
        <f t="shared" si="33"/>
        <v>7959745</v>
      </c>
      <c r="AD46" s="1616">
        <f t="shared" si="34"/>
        <v>31383626</v>
      </c>
      <c r="AE46" s="1616">
        <f t="shared" si="35"/>
        <v>45093693</v>
      </c>
      <c r="AF46" s="1616">
        <f t="shared" si="36"/>
        <v>-13710067</v>
      </c>
      <c r="AH46" s="1616">
        <f t="shared" si="37"/>
        <v>11070475</v>
      </c>
      <c r="AI46" s="1616">
        <f t="shared" si="38"/>
        <v>9940466</v>
      </c>
      <c r="AJ46" s="1616">
        <f t="shared" si="39"/>
        <v>1130009</v>
      </c>
      <c r="AL46" s="550">
        <v>145234659</v>
      </c>
      <c r="AM46" s="550">
        <v>135294193</v>
      </c>
      <c r="AN46" s="550">
        <v>124921508</v>
      </c>
      <c r="AO46" s="550">
        <v>102674951</v>
      </c>
      <c r="AP46" s="550">
        <v>89700288</v>
      </c>
      <c r="AQ46" s="550">
        <v>79827815</v>
      </c>
      <c r="AR46" s="550">
        <v>39144083</v>
      </c>
      <c r="AS46" s="550">
        <v>123949964</v>
      </c>
      <c r="AT46" s="550">
        <v>108428668</v>
      </c>
      <c r="AU46" s="550">
        <v>100526083</v>
      </c>
      <c r="AV46" s="550">
        <v>61881428</v>
      </c>
      <c r="AW46" s="1616">
        <v>29083362</v>
      </c>
      <c r="AX46" s="509">
        <v>68952379</v>
      </c>
      <c r="AY46" s="1616">
        <v>47682492</v>
      </c>
      <c r="AZ46" s="1617">
        <v>20889466</v>
      </c>
      <c r="BA46" s="1811">
        <v>-3590514</v>
      </c>
    </row>
    <row r="47" spans="1:53" s="1547" customFormat="1" ht="18" customHeight="1">
      <c r="A47" s="1086" t="s">
        <v>621</v>
      </c>
      <c r="B47" s="1359" t="b">
        <f t="shared" si="40"/>
        <v>1</v>
      </c>
      <c r="D47" s="1624">
        <v>629120</v>
      </c>
      <c r="E47" s="1547" t="s">
        <v>258</v>
      </c>
      <c r="F47" s="1625">
        <v>31001</v>
      </c>
      <c r="G47" s="1547" t="s">
        <v>621</v>
      </c>
      <c r="H47" s="498">
        <v>19349772</v>
      </c>
      <c r="I47" s="498">
        <v>0</v>
      </c>
      <c r="J47" s="710">
        <v>0</v>
      </c>
      <c r="K47" s="710">
        <v>0</v>
      </c>
      <c r="L47" s="510">
        <f t="shared" si="28"/>
        <v>19349772</v>
      </c>
      <c r="N47" s="1468">
        <f>ROUND(SUMIF('1.0'!$D:$D,T_IS!D47,'1.0'!$V:$V),0)</f>
        <v>0</v>
      </c>
      <c r="O47" s="509">
        <f>ROUND(SUMIF('2.0'!$D:$D,T_IS!D47,'2.0'!$V:$V),0)</f>
        <v>0</v>
      </c>
      <c r="P47" s="509">
        <f>ROUND(SUMIF('3.0'!$D:$D,T_IS!D47,'3.0'!$H:$H),0)</f>
        <v>0</v>
      </c>
      <c r="Q47" s="509">
        <f>ROUND(SUMIF('4.0'!$D:$D,T_IS!D47,'4.0'!$V:$V),0)</f>
        <v>0</v>
      </c>
      <c r="R47" s="509">
        <f>ROUND(SUMIF('5.0'!$D:$D,T_IS!D47,'5.0'!$V:$V),0)</f>
        <v>0</v>
      </c>
      <c r="S47" s="509">
        <f>ROUND(SUMIF('6.0'!$D:$D,T_IS!D47,'6.0'!$V:$V),0)</f>
        <v>0</v>
      </c>
      <c r="T47" s="509">
        <f>ROUND(SUMIF('7.0'!$D:$D,T_IS!D47,'7.0'!$V:$V),0)</f>
        <v>0</v>
      </c>
      <c r="U47" s="509">
        <f>ROUND(SUMIF('8.0'!$D:$D,T_IS!F47,'8.0'!$H:$H),0)</f>
        <v>0</v>
      </c>
      <c r="V47" s="1470">
        <f t="shared" si="29"/>
        <v>0</v>
      </c>
      <c r="X47" s="1616">
        <f t="shared" si="30"/>
        <v>19349772</v>
      </c>
      <c r="Z47" s="1616">
        <f t="shared" si="31"/>
        <v>4837443</v>
      </c>
      <c r="AA47" s="1616">
        <f t="shared" si="32"/>
        <v>4837443</v>
      </c>
      <c r="AB47" s="1616">
        <f t="shared" si="33"/>
        <v>0</v>
      </c>
      <c r="AC47" s="1359"/>
      <c r="AD47" s="1616">
        <f t="shared" si="34"/>
        <v>4837443</v>
      </c>
      <c r="AE47" s="1616">
        <f t="shared" si="35"/>
        <v>4837443</v>
      </c>
      <c r="AF47" s="1616">
        <f t="shared" si="36"/>
        <v>0</v>
      </c>
      <c r="AH47" s="1616">
        <f t="shared" si="37"/>
        <v>1612481</v>
      </c>
      <c r="AI47" s="1616">
        <f t="shared" si="38"/>
        <v>1612481</v>
      </c>
      <c r="AJ47" s="1616">
        <f t="shared" si="39"/>
        <v>0</v>
      </c>
      <c r="AL47" s="550">
        <v>17737291</v>
      </c>
      <c r="AM47" s="550">
        <v>16124810</v>
      </c>
      <c r="AN47" s="550">
        <v>14512329</v>
      </c>
      <c r="AO47" s="550">
        <v>12899848</v>
      </c>
      <c r="AP47" s="550">
        <v>11287367</v>
      </c>
      <c r="AQ47" s="550">
        <v>9674886</v>
      </c>
      <c r="AR47" s="550">
        <v>4837443</v>
      </c>
      <c r="AS47" s="550">
        <v>19349772</v>
      </c>
      <c r="AT47" s="550">
        <v>16124810</v>
      </c>
      <c r="AU47" s="550">
        <v>14512329</v>
      </c>
      <c r="AV47" s="550">
        <v>9674886</v>
      </c>
      <c r="AW47" s="1616">
        <v>4837443</v>
      </c>
      <c r="AX47" s="509">
        <v>21094052</v>
      </c>
      <c r="AY47" s="1616">
        <v>16256609</v>
      </c>
      <c r="AZ47" s="1617">
        <v>11419166</v>
      </c>
      <c r="BA47" s="1618">
        <v>6581723</v>
      </c>
    </row>
    <row r="48" spans="1:53" s="1547" customFormat="1" ht="18" customHeight="1">
      <c r="A48" s="1086" t="s">
        <v>622</v>
      </c>
      <c r="B48" s="1359" t="b">
        <f t="shared" si="40"/>
        <v>1</v>
      </c>
      <c r="D48" s="1624">
        <v>629140</v>
      </c>
      <c r="E48" s="1547" t="s">
        <v>258</v>
      </c>
      <c r="F48" s="1625">
        <v>310</v>
      </c>
      <c r="G48" s="1547" t="s">
        <v>622</v>
      </c>
      <c r="H48" s="498">
        <v>643475475</v>
      </c>
      <c r="I48" s="498">
        <v>3120560</v>
      </c>
      <c r="J48" s="710">
        <v>2477089</v>
      </c>
      <c r="K48" s="710">
        <v>9756757</v>
      </c>
      <c r="L48" s="510">
        <f t="shared" si="28"/>
        <v>658829881</v>
      </c>
      <c r="N48" s="1468">
        <f>ROUND(SUMIF('1.0'!$D:$D,T_IS!D48,'1.0'!$V:$V),0)</f>
        <v>0</v>
      </c>
      <c r="O48" s="509">
        <f>ROUND(SUMIF('2.0'!$D:$D,T_IS!D48,'2.0'!$V:$V),0)</f>
        <v>0</v>
      </c>
      <c r="P48" s="509">
        <f>ROUND(SUMIF('3.0'!$D:$D,T_IS!D48,'3.0'!$H:$H),0)</f>
        <v>0</v>
      </c>
      <c r="Q48" s="509">
        <f>ROUND(SUMIF('4.0'!$D:$D,T_IS!D48,'4.0'!$V:$V),0)</f>
        <v>0</v>
      </c>
      <c r="R48" s="509">
        <f>ROUND(SUMIF('5.0'!$D:$D,T_IS!D48,'5.0'!$V:$V),0)</f>
        <v>0</v>
      </c>
      <c r="S48" s="509">
        <f>ROUND(SUMIF('6.0'!$D:$D,T_IS!D48,'6.0'!$V:$V),0)</f>
        <v>0</v>
      </c>
      <c r="T48" s="509">
        <f>ROUND(SUMIF('7.0'!$D:$D,T_IS!D48,'7.0'!$V:$V),0)</f>
        <v>0</v>
      </c>
      <c r="U48" s="509">
        <f>ROUND(SUMIF('8.0'!$D:$D,T_IS!F48,'8.0'!$H:$H),0)</f>
        <v>0</v>
      </c>
      <c r="V48" s="1470">
        <f t="shared" si="29"/>
        <v>0</v>
      </c>
      <c r="X48" s="1616">
        <f t="shared" si="30"/>
        <v>658829881</v>
      </c>
      <c r="Z48" s="1616">
        <f t="shared" si="31"/>
        <v>160223684</v>
      </c>
      <c r="AA48" s="1616">
        <f t="shared" si="32"/>
        <v>350710612</v>
      </c>
      <c r="AB48" s="1616">
        <f t="shared" si="33"/>
        <v>-190486928</v>
      </c>
      <c r="AC48" s="1359"/>
      <c r="AD48" s="1616">
        <f t="shared" si="34"/>
        <v>160223684</v>
      </c>
      <c r="AE48" s="1616">
        <f t="shared" si="35"/>
        <v>165807429</v>
      </c>
      <c r="AF48" s="1616">
        <f t="shared" si="36"/>
        <v>-5583745</v>
      </c>
      <c r="AH48" s="1616">
        <f t="shared" si="37"/>
        <v>51664613</v>
      </c>
      <c r="AI48" s="1616">
        <f t="shared" si="38"/>
        <v>53115264</v>
      </c>
      <c r="AJ48" s="1616">
        <f t="shared" si="39"/>
        <v>-1450651</v>
      </c>
      <c r="AL48" s="550">
        <v>607165268</v>
      </c>
      <c r="AM48" s="550">
        <v>554050004</v>
      </c>
      <c r="AN48" s="550">
        <v>498606197</v>
      </c>
      <c r="AO48" s="550">
        <v>443513416</v>
      </c>
      <c r="AP48" s="550">
        <v>387991567</v>
      </c>
      <c r="AQ48" s="550">
        <v>332798768</v>
      </c>
      <c r="AR48" s="550">
        <v>166724816</v>
      </c>
      <c r="AS48" s="550">
        <v>731352880</v>
      </c>
      <c r="AT48" s="550">
        <v>426220360</v>
      </c>
      <c r="AU48" s="550">
        <v>380642268</v>
      </c>
      <c r="AV48" s="550">
        <v>252801377</v>
      </c>
      <c r="AW48" s="1616">
        <v>127483142</v>
      </c>
      <c r="AX48" s="509">
        <v>448460207</v>
      </c>
      <c r="AY48" s="1616">
        <v>336640843</v>
      </c>
      <c r="AZ48" s="1617">
        <v>233476159</v>
      </c>
      <c r="BA48" s="1618">
        <v>114600570</v>
      </c>
    </row>
    <row r="49" spans="1:53" s="1547" customFormat="1" ht="18" customHeight="1">
      <c r="A49" s="1086" t="s">
        <v>623</v>
      </c>
      <c r="B49" s="1359" t="b">
        <f t="shared" si="40"/>
        <v>1</v>
      </c>
      <c r="D49" s="1624">
        <v>629150</v>
      </c>
      <c r="E49" s="1547" t="s">
        <v>258</v>
      </c>
      <c r="F49" s="1625">
        <v>310</v>
      </c>
      <c r="G49" s="1547" t="s">
        <v>623</v>
      </c>
      <c r="H49" s="498">
        <v>78312178</v>
      </c>
      <c r="I49" s="498">
        <v>762500</v>
      </c>
      <c r="J49" s="710">
        <v>0</v>
      </c>
      <c r="K49" s="710">
        <v>0</v>
      </c>
      <c r="L49" s="510">
        <f t="shared" si="28"/>
        <v>79074678</v>
      </c>
      <c r="N49" s="1468">
        <f>ROUND(SUMIF('1.0'!$D:$D,T_IS!D49,'1.0'!$V:$V),0)</f>
        <v>0</v>
      </c>
      <c r="O49" s="509">
        <f>ROUND(SUMIF('2.0'!$D:$D,T_IS!D49,'2.0'!$V:$V),0)</f>
        <v>0</v>
      </c>
      <c r="P49" s="509">
        <f>ROUND(SUMIF('3.0'!$D:$D,T_IS!D49,'3.0'!$H:$H),0)</f>
        <v>0</v>
      </c>
      <c r="Q49" s="509">
        <f>ROUND(SUMIF('4.0'!$D:$D,T_IS!D49,'4.0'!$V:$V),0)</f>
        <v>0</v>
      </c>
      <c r="R49" s="509">
        <f>ROUND(SUMIF('5.0'!$D:$D,T_IS!D49,'5.0'!$V:$V),0)</f>
        <v>0</v>
      </c>
      <c r="S49" s="509">
        <f>ROUND(SUMIF('6.0'!$D:$D,T_IS!D49,'6.0'!$V:$V),0)</f>
        <v>0</v>
      </c>
      <c r="T49" s="509">
        <f>ROUND(SUMIF('7.0'!$D:$D,T_IS!D49,'7.0'!$V:$V),0)</f>
        <v>0</v>
      </c>
      <c r="U49" s="509">
        <f>ROUND(SUMIF('8.0'!$D:$D,T_IS!F49,'8.0'!$H:$H),0)</f>
        <v>0</v>
      </c>
      <c r="V49" s="1470">
        <f t="shared" si="29"/>
        <v>0</v>
      </c>
      <c r="X49" s="1616">
        <f t="shared" si="30"/>
        <v>79074678</v>
      </c>
      <c r="Z49" s="1616">
        <f t="shared" si="31"/>
        <v>17883030</v>
      </c>
      <c r="AA49" s="1616">
        <f t="shared" si="32"/>
        <v>19740442</v>
      </c>
      <c r="AB49" s="1616">
        <f t="shared" si="33"/>
        <v>-1857412</v>
      </c>
      <c r="AC49" s="1359"/>
      <c r="AD49" s="1616">
        <f t="shared" si="34"/>
        <v>17883030</v>
      </c>
      <c r="AE49" s="1616">
        <f t="shared" si="35"/>
        <v>20366388</v>
      </c>
      <c r="AF49" s="1616">
        <f t="shared" si="36"/>
        <v>-2483358</v>
      </c>
      <c r="AH49" s="1616">
        <f t="shared" si="37"/>
        <v>5961020</v>
      </c>
      <c r="AI49" s="1616">
        <f t="shared" si="38"/>
        <v>5961005</v>
      </c>
      <c r="AJ49" s="1616">
        <f t="shared" si="39"/>
        <v>15</v>
      </c>
      <c r="AL49" s="550">
        <v>73113658</v>
      </c>
      <c r="AM49" s="550">
        <v>67152653</v>
      </c>
      <c r="AN49" s="550">
        <v>61191648</v>
      </c>
      <c r="AO49" s="550">
        <v>54402846</v>
      </c>
      <c r="AP49" s="550">
        <v>47614053</v>
      </c>
      <c r="AQ49" s="550">
        <v>40825260</v>
      </c>
      <c r="AR49" s="550">
        <v>20458880</v>
      </c>
      <c r="AS49" s="550">
        <v>29510320</v>
      </c>
      <c r="AT49" s="550">
        <v>15355420</v>
      </c>
      <c r="AU49" s="550">
        <v>9769878</v>
      </c>
      <c r="AV49" s="550">
        <v>6513252</v>
      </c>
      <c r="AW49" s="1616">
        <v>3256626</v>
      </c>
      <c r="AX49" s="509">
        <v>26533526</v>
      </c>
      <c r="AY49" s="1616">
        <v>23276061</v>
      </c>
      <c r="AZ49" s="1617">
        <v>20018616</v>
      </c>
      <c r="BA49" s="1618">
        <v>13239042</v>
      </c>
    </row>
    <row r="50" spans="1:53" s="1547" customFormat="1" ht="18" customHeight="1">
      <c r="A50" s="1086" t="s">
        <v>624</v>
      </c>
      <c r="B50" s="1359" t="b">
        <f t="shared" si="40"/>
        <v>1</v>
      </c>
      <c r="D50" s="1624">
        <v>651100</v>
      </c>
      <c r="E50" s="1547" t="s">
        <v>258</v>
      </c>
      <c r="F50" s="1625">
        <v>335</v>
      </c>
      <c r="G50" s="1547" t="s">
        <v>624</v>
      </c>
      <c r="H50" s="498">
        <v>2270506154</v>
      </c>
      <c r="I50" s="498">
        <v>193873752</v>
      </c>
      <c r="J50" s="710">
        <v>14773299</v>
      </c>
      <c r="K50" s="710">
        <v>362052531</v>
      </c>
      <c r="L50" s="510">
        <f t="shared" si="28"/>
        <v>2841205736</v>
      </c>
      <c r="N50" s="1468">
        <f>ROUND(SUMIF('1.0'!$D:$D,T_IS!D50,'1.0'!$V:$V),0)</f>
        <v>0</v>
      </c>
      <c r="O50" s="509">
        <f>ROUND(SUMIF('2.0'!$D:$D,T_IS!D50,'2.0'!$V:$V),0)</f>
        <v>0</v>
      </c>
      <c r="P50" s="509">
        <f>ROUND(SUMIF('3.0'!$D:$D,T_IS!D50,'3.0'!$H:$H),0)</f>
        <v>0</v>
      </c>
      <c r="Q50" s="509">
        <f>ROUND(SUMIF('4.0'!$D:$D,T_IS!D50,'4.0'!$V:$V),0)</f>
        <v>0</v>
      </c>
      <c r="R50" s="509">
        <f>ROUND(SUMIF('5.0'!$D:$D,T_IS!D50,'5.0'!$V:$V),0)</f>
        <v>0</v>
      </c>
      <c r="S50" s="509">
        <f>ROUND(SUMIF('6.0'!$D:$D,T_IS!D50,'6.0'!$V:$V),0)</f>
        <v>0</v>
      </c>
      <c r="T50" s="509">
        <f>ROUND(SUMIF('7.0'!$D:$D,T_IS!D50,'7.0'!$V:$V),0)</f>
        <v>0</v>
      </c>
      <c r="U50" s="509">
        <f>ROUND(SUMIF('8.0'!$D:$D,T_IS!F50,'8.0'!$H:$H),0)</f>
        <v>0</v>
      </c>
      <c r="V50" s="1470">
        <f t="shared" si="29"/>
        <v>0</v>
      </c>
      <c r="X50" s="1616">
        <f t="shared" si="30"/>
        <v>2841205736</v>
      </c>
      <c r="Z50" s="1616">
        <f t="shared" si="31"/>
        <v>787281681</v>
      </c>
      <c r="AA50" s="1616">
        <f t="shared" si="32"/>
        <v>689083514</v>
      </c>
      <c r="AB50" s="1616">
        <f t="shared" si="33"/>
        <v>98198167</v>
      </c>
      <c r="AC50" s="1359"/>
      <c r="AD50" s="1616">
        <f t="shared" si="34"/>
        <v>787281681</v>
      </c>
      <c r="AE50" s="1616">
        <f t="shared" si="35"/>
        <v>658252841</v>
      </c>
      <c r="AF50" s="1616">
        <f t="shared" si="36"/>
        <v>129028840</v>
      </c>
      <c r="AH50" s="1616">
        <f t="shared" si="37"/>
        <v>340022420</v>
      </c>
      <c r="AI50" s="1616">
        <f t="shared" si="38"/>
        <v>220888389</v>
      </c>
      <c r="AJ50" s="1616">
        <f t="shared" si="39"/>
        <v>119134031</v>
      </c>
      <c r="AL50" s="550">
        <v>2501183316</v>
      </c>
      <c r="AM50" s="550">
        <v>2280294927</v>
      </c>
      <c r="AN50" s="550">
        <v>2053924055</v>
      </c>
      <c r="AO50" s="550">
        <v>1833635086</v>
      </c>
      <c r="AP50" s="550">
        <v>1613409747</v>
      </c>
      <c r="AQ50" s="550">
        <v>1395671214</v>
      </c>
      <c r="AR50" s="550">
        <v>699324246</v>
      </c>
      <c r="AS50" s="550">
        <v>2581438513</v>
      </c>
      <c r="AT50" s="550">
        <v>2116943423</v>
      </c>
      <c r="AU50" s="550">
        <v>1892354999</v>
      </c>
      <c r="AV50" s="550">
        <v>1249516809</v>
      </c>
      <c r="AW50" s="1616">
        <v>641228390</v>
      </c>
      <c r="AX50" s="509">
        <v>2293823046</v>
      </c>
      <c r="AY50" s="1616">
        <v>1815563936</v>
      </c>
      <c r="AZ50" s="1617">
        <v>1176416849</v>
      </c>
      <c r="BA50" s="1618">
        <v>595878188</v>
      </c>
    </row>
    <row r="51" spans="1:53" s="1547" customFormat="1" ht="18" customHeight="1">
      <c r="A51" s="1086" t="s">
        <v>625</v>
      </c>
      <c r="B51" s="1359" t="b">
        <f t="shared" si="40"/>
        <v>1</v>
      </c>
      <c r="D51" s="1624">
        <v>651110</v>
      </c>
      <c r="E51" s="1547" t="s">
        <v>258</v>
      </c>
      <c r="F51" s="1625">
        <v>334</v>
      </c>
      <c r="G51" s="1547" t="s">
        <v>625</v>
      </c>
      <c r="H51" s="498">
        <v>49495906</v>
      </c>
      <c r="I51" s="498">
        <v>0</v>
      </c>
      <c r="J51" s="710">
        <v>0</v>
      </c>
      <c r="K51" s="710">
        <v>0</v>
      </c>
      <c r="L51" s="510">
        <f t="shared" si="28"/>
        <v>49495906</v>
      </c>
      <c r="N51" s="1468">
        <f>ROUND(SUMIF('1.0'!$D:$D,T_IS!D51,'1.0'!$V:$V),0)</f>
        <v>0</v>
      </c>
      <c r="O51" s="509">
        <f>ROUND(SUMIF('2.0'!$D:$D,T_IS!D51,'2.0'!$V:$V),0)</f>
        <v>0</v>
      </c>
      <c r="P51" s="509">
        <f>ROUND(SUMIF('3.0'!$D:$D,T_IS!D51,'3.0'!$H:$H),0)</f>
        <v>0</v>
      </c>
      <c r="Q51" s="509">
        <f>ROUND(SUMIF('4.0'!$D:$D,T_IS!D51,'4.0'!$V:$V),0)</f>
        <v>0</v>
      </c>
      <c r="R51" s="509">
        <f>ROUND(SUMIF('5.0'!$D:$D,T_IS!D51,'5.0'!$V:$V),0)</f>
        <v>0</v>
      </c>
      <c r="S51" s="509">
        <f>ROUND(SUMIF('6.0'!$D:$D,T_IS!D51,'6.0'!$V:$V),0)</f>
        <v>0</v>
      </c>
      <c r="T51" s="509">
        <f>ROUND(SUMIF('7.0'!$D:$D,T_IS!D51,'7.0'!$V:$V),0)</f>
        <v>0</v>
      </c>
      <c r="U51" s="509">
        <f>ROUND(SUMIF('8.0'!$D:$D,T_IS!F51,'8.0'!$H:$H),0)</f>
        <v>0</v>
      </c>
      <c r="V51" s="1470">
        <f t="shared" si="29"/>
        <v>0</v>
      </c>
      <c r="X51" s="1616">
        <f t="shared" si="30"/>
        <v>49495906</v>
      </c>
      <c r="Z51" s="1616">
        <f t="shared" si="31"/>
        <v>12534388</v>
      </c>
      <c r="AA51" s="1616">
        <f t="shared" si="32"/>
        <v>10609442</v>
      </c>
      <c r="AB51" s="1616">
        <f t="shared" si="33"/>
        <v>1924946</v>
      </c>
      <c r="AC51" s="1359"/>
      <c r="AD51" s="1616">
        <f t="shared" si="34"/>
        <v>12534388</v>
      </c>
      <c r="AE51" s="1616">
        <f t="shared" si="35"/>
        <v>12534386</v>
      </c>
      <c r="AF51" s="1616">
        <f t="shared" si="36"/>
        <v>2</v>
      </c>
      <c r="AH51" s="1616">
        <f t="shared" si="37"/>
        <v>4178130</v>
      </c>
      <c r="AI51" s="1616">
        <f t="shared" si="38"/>
        <v>4178128</v>
      </c>
      <c r="AJ51" s="1616">
        <f t="shared" si="39"/>
        <v>2</v>
      </c>
      <c r="AL51" s="550">
        <v>45317776</v>
      </c>
      <c r="AM51" s="550">
        <v>41139648</v>
      </c>
      <c r="AN51" s="550">
        <v>36961518</v>
      </c>
      <c r="AO51" s="550">
        <v>32783390</v>
      </c>
      <c r="AP51" s="550">
        <v>28605260</v>
      </c>
      <c r="AQ51" s="550">
        <v>24427132</v>
      </c>
      <c r="AR51" s="550">
        <v>11892744</v>
      </c>
      <c r="AS51" s="550">
        <v>43603850</v>
      </c>
      <c r="AT51" s="550">
        <v>36530889</v>
      </c>
      <c r="AU51" s="550">
        <v>32994408</v>
      </c>
      <c r="AV51" s="550">
        <v>21974616</v>
      </c>
      <c r="AW51" s="1616">
        <v>12831345</v>
      </c>
      <c r="AX51" s="509">
        <v>38021107</v>
      </c>
      <c r="AY51" s="1616">
        <v>28731481</v>
      </c>
      <c r="AZ51" s="1617">
        <v>19441855</v>
      </c>
      <c r="BA51" s="1618">
        <v>10152229</v>
      </c>
    </row>
    <row r="52" spans="1:53" s="1547" customFormat="1" ht="18" customHeight="1">
      <c r="A52" s="1086" t="s">
        <v>2596</v>
      </c>
      <c r="B52" s="1359" t="b">
        <f t="shared" si="40"/>
        <v>1</v>
      </c>
      <c r="D52" s="1624">
        <v>651120</v>
      </c>
      <c r="E52" s="1626" t="s">
        <v>258</v>
      </c>
      <c r="F52" s="1429">
        <v>336</v>
      </c>
      <c r="G52" s="1427" t="s">
        <v>2440</v>
      </c>
      <c r="H52" s="498">
        <v>50447833</v>
      </c>
      <c r="I52" s="498">
        <v>0</v>
      </c>
      <c r="J52" s="710">
        <v>0</v>
      </c>
      <c r="K52" s="710">
        <v>0</v>
      </c>
      <c r="L52" s="510">
        <f t="shared" si="28"/>
        <v>50447833</v>
      </c>
      <c r="N52" s="1468">
        <f>ROUND(SUMIF('1.0'!$D:$D,T_IS!D52,'1.0'!$V:$V),0)</f>
        <v>0</v>
      </c>
      <c r="O52" s="509">
        <f>ROUND(SUMIF('2.0'!$D:$D,T_IS!D52,'2.0'!$V:$V),0)</f>
        <v>0</v>
      </c>
      <c r="P52" s="509">
        <f>ROUND(SUMIF('3.0'!$D:$D,T_IS!D52,'3.0'!$H:$H),0)</f>
        <v>0</v>
      </c>
      <c r="Q52" s="509">
        <f>ROUND(SUMIF('4.0'!$D:$D,T_IS!D52,'4.0'!$V:$V),0)</f>
        <v>0</v>
      </c>
      <c r="R52" s="509">
        <f>ROUND(SUMIF('5.0'!$D:$D,T_IS!D52,'5.0'!$V:$V),0)</f>
        <v>0</v>
      </c>
      <c r="S52" s="509">
        <f>ROUND(SUMIF('6.0'!$D:$D,T_IS!D52,'6.0'!$V:$V),0)</f>
        <v>0</v>
      </c>
      <c r="T52" s="509">
        <f>ROUND(SUMIF('7.0'!$D:$D,T_IS!D52,'7.0'!$V:$V),0)</f>
        <v>0</v>
      </c>
      <c r="U52" s="509">
        <f>ROUND(SUMIF('8.0'!$D:$D,T_IS!F52,'8.0'!$H:$H),0)</f>
        <v>0</v>
      </c>
      <c r="V52" s="1470">
        <f t="shared" si="29"/>
        <v>0</v>
      </c>
      <c r="X52" s="1616">
        <f t="shared" si="30"/>
        <v>50447833</v>
      </c>
      <c r="Z52" s="1616">
        <f t="shared" si="31"/>
        <v>14315375</v>
      </c>
      <c r="AA52" s="1616">
        <f t="shared" si="32"/>
        <v>12044152</v>
      </c>
      <c r="AB52" s="1616">
        <f t="shared" si="33"/>
        <v>2271223</v>
      </c>
      <c r="AC52" s="1359"/>
      <c r="AD52" s="1616">
        <f t="shared" si="34"/>
        <v>14315375</v>
      </c>
      <c r="AE52" s="1616">
        <f t="shared" si="35"/>
        <v>12044153</v>
      </c>
      <c r="AF52" s="1616">
        <f t="shared" si="36"/>
        <v>2271222</v>
      </c>
      <c r="AH52" s="1616">
        <f t="shared" si="37"/>
        <v>5150329</v>
      </c>
      <c r="AI52" s="1616">
        <f t="shared" si="38"/>
        <v>5150329</v>
      </c>
      <c r="AJ52" s="1616">
        <f t="shared" si="39"/>
        <v>0</v>
      </c>
      <c r="AL52" s="550">
        <v>45297504</v>
      </c>
      <c r="AM52" s="550">
        <v>40147175</v>
      </c>
      <c r="AN52" s="550">
        <v>36132458</v>
      </c>
      <c r="AO52" s="550">
        <v>32117740</v>
      </c>
      <c r="AP52" s="550">
        <v>28103023</v>
      </c>
      <c r="AQ52" s="550">
        <v>24088305</v>
      </c>
      <c r="AR52" s="550">
        <v>12044153</v>
      </c>
      <c r="AS52" s="550">
        <v>48176614</v>
      </c>
      <c r="AT52" s="550">
        <v>40147179</v>
      </c>
      <c r="AU52" s="550">
        <v>36132462</v>
      </c>
      <c r="AV52" s="550">
        <v>24088308</v>
      </c>
      <c r="AW52" s="1616">
        <v>12044154</v>
      </c>
      <c r="AX52" s="509">
        <v>4014718</v>
      </c>
      <c r="AY52" s="1616"/>
      <c r="AZ52" s="1617">
        <v>0</v>
      </c>
      <c r="BA52" s="1618">
        <v>0</v>
      </c>
    </row>
    <row r="53" spans="1:53" ht="18" customHeight="1">
      <c r="A53" s="1086" t="s">
        <v>386</v>
      </c>
      <c r="B53" s="1359" t="b">
        <f t="shared" si="40"/>
        <v>1</v>
      </c>
      <c r="D53" s="1593" t="s">
        <v>390</v>
      </c>
      <c r="E53" s="1359" t="s">
        <v>258</v>
      </c>
      <c r="F53" s="1361">
        <v>326</v>
      </c>
      <c r="G53" s="1359" t="s">
        <v>386</v>
      </c>
      <c r="H53" s="498">
        <v>3852271933</v>
      </c>
      <c r="I53" s="498">
        <v>1788454</v>
      </c>
      <c r="J53" s="710">
        <v>0</v>
      </c>
      <c r="K53" s="710">
        <v>14710886</v>
      </c>
      <c r="L53" s="510">
        <f t="shared" si="28"/>
        <v>3868771273</v>
      </c>
      <c r="N53" s="1468">
        <f>ROUND(SUMIF('1.0'!$D:$D,T_IS!D53,'1.0'!$V:$V),0)</f>
        <v>0</v>
      </c>
      <c r="O53" s="509">
        <f>ROUND(SUMIF('2.0'!$D:$D,T_IS!D53,'2.0'!$V:$V),0)</f>
        <v>0</v>
      </c>
      <c r="P53" s="509">
        <f>ROUND(SUMIF('3.0'!$D:$D,T_IS!D53,'3.0'!$H:$H),0)</f>
        <v>0</v>
      </c>
      <c r="Q53" s="509">
        <f>ROUND(SUMIF('4.0'!$D:$D,T_IS!D53,'4.0'!$V:$V),0)</f>
        <v>0</v>
      </c>
      <c r="R53" s="509">
        <f>ROUND(SUMIF('5.0'!$D:$D,T_IS!D53,'5.0'!$V:$V),0)</f>
        <v>0</v>
      </c>
      <c r="S53" s="509">
        <f>ROUND(SUMIF('6.0'!$D:$D,T_IS!D53,'6.0'!$V:$V),0)</f>
        <v>0</v>
      </c>
      <c r="T53" s="509">
        <f>ROUND(SUMIF('7.0'!$D:$D,T_IS!D53,'7.0'!$V:$V),0)</f>
        <v>0</v>
      </c>
      <c r="U53" s="509">
        <f>ROUND(SUMIF('8.0'!$D:$D,T_IS!F53,'8.0'!$H:$H),0)</f>
        <v>0</v>
      </c>
      <c r="V53" s="1470">
        <f t="shared" si="29"/>
        <v>0</v>
      </c>
      <c r="X53" s="1616">
        <f t="shared" si="30"/>
        <v>3868771273</v>
      </c>
      <c r="Z53" s="1616">
        <f t="shared" si="31"/>
        <v>1154532773</v>
      </c>
      <c r="AA53" s="1616">
        <f t="shared" si="32"/>
        <v>983197790</v>
      </c>
      <c r="AB53" s="1616">
        <f t="shared" si="33"/>
        <v>171334983</v>
      </c>
      <c r="AD53" s="1616">
        <f t="shared" si="34"/>
        <v>1154532773</v>
      </c>
      <c r="AE53" s="1616">
        <f t="shared" si="35"/>
        <v>884938047</v>
      </c>
      <c r="AF53" s="1616">
        <f t="shared" si="36"/>
        <v>269594726</v>
      </c>
      <c r="AH53" s="1616">
        <f t="shared" si="37"/>
        <v>304858461</v>
      </c>
      <c r="AI53" s="1616">
        <f t="shared" si="38"/>
        <v>547030359</v>
      </c>
      <c r="AJ53" s="1616">
        <f t="shared" si="39"/>
        <v>-242171898</v>
      </c>
      <c r="AL53" s="550">
        <v>3563912812</v>
      </c>
      <c r="AM53" s="550">
        <v>3016882453</v>
      </c>
      <c r="AN53" s="550">
        <v>2714238500</v>
      </c>
      <c r="AO53" s="550">
        <v>2427867599</v>
      </c>
      <c r="AP53" s="550">
        <v>2128533771</v>
      </c>
      <c r="AQ53" s="550">
        <v>1829300453</v>
      </c>
      <c r="AR53" s="550">
        <v>898394217</v>
      </c>
      <c r="AS53" s="550">
        <v>3872968423</v>
      </c>
      <c r="AT53" s="550">
        <v>3210282324</v>
      </c>
      <c r="AU53" s="550">
        <v>2889770633</v>
      </c>
      <c r="AV53" s="550">
        <v>1935563251</v>
      </c>
      <c r="AW53" s="1616">
        <v>1038952376</v>
      </c>
      <c r="AX53" s="509">
        <v>6564079983</v>
      </c>
      <c r="AY53" s="1616">
        <v>4974888158</v>
      </c>
      <c r="AZ53" s="1617">
        <v>3363696382</v>
      </c>
      <c r="BA53" s="1618">
        <v>1726057901</v>
      </c>
    </row>
    <row r="54" spans="1:53" ht="18" customHeight="1">
      <c r="A54" s="1086" t="s">
        <v>276</v>
      </c>
      <c r="B54" s="1359" t="b">
        <f t="shared" si="40"/>
        <v>1</v>
      </c>
      <c r="D54" s="1593" t="s">
        <v>275</v>
      </c>
      <c r="E54" s="1359" t="s">
        <v>258</v>
      </c>
      <c r="F54" s="1361">
        <v>311</v>
      </c>
      <c r="G54" s="1359" t="s">
        <v>276</v>
      </c>
      <c r="H54" s="498">
        <v>192321104</v>
      </c>
      <c r="I54" s="498">
        <v>0</v>
      </c>
      <c r="J54" s="710">
        <v>0</v>
      </c>
      <c r="K54" s="710">
        <v>0</v>
      </c>
      <c r="L54" s="510">
        <f t="shared" si="28"/>
        <v>192321104</v>
      </c>
      <c r="N54" s="1468">
        <f>ROUND(SUMIF('1.0'!$D:$D,T_IS!D54,'1.0'!$V:$V),0)</f>
        <v>0</v>
      </c>
      <c r="O54" s="509">
        <f>ROUND(SUMIF('2.0'!$D:$D,T_IS!D54,'2.0'!$V:$V),0)</f>
        <v>0</v>
      </c>
      <c r="P54" s="509">
        <f>ROUND(SUMIF('3.0'!$D:$D,T_IS!D54,'3.0'!$H:$H),0)</f>
        <v>0</v>
      </c>
      <c r="Q54" s="509">
        <f>ROUND(SUMIF('4.0'!$D:$D,T_IS!D54,'4.0'!$V:$V),0)</f>
        <v>0</v>
      </c>
      <c r="R54" s="509">
        <f>ROUND(SUMIF('5.0'!$D:$D,T_IS!D54,'5.0'!$V:$V),0)</f>
        <v>0</v>
      </c>
      <c r="S54" s="509">
        <f>ROUND(SUMIF('6.0'!$D:$D,T_IS!D54,'6.0'!$V:$V),0)</f>
        <v>-27743600</v>
      </c>
      <c r="T54" s="509">
        <f>ROUND(SUMIF('7.0'!$D:$D,T_IS!D54,'7.0'!$V:$V),0)</f>
        <v>0</v>
      </c>
      <c r="U54" s="509">
        <f>ROUND(SUMIF('8.0'!$D:$D,T_IS!F54,'8.0'!$H:$H),0)</f>
        <v>0</v>
      </c>
      <c r="V54" s="1470">
        <f t="shared" si="29"/>
        <v>-27743600</v>
      </c>
      <c r="X54" s="1616">
        <f t="shared" si="30"/>
        <v>164577504</v>
      </c>
      <c r="Z54" s="1616">
        <f t="shared" si="31"/>
        <v>40320441</v>
      </c>
      <c r="AA54" s="1616">
        <f t="shared" si="32"/>
        <v>90417479</v>
      </c>
      <c r="AB54" s="1616">
        <f t="shared" si="33"/>
        <v>-50097038</v>
      </c>
      <c r="AD54" s="1616">
        <f t="shared" si="34"/>
        <v>40320441</v>
      </c>
      <c r="AE54" s="1616">
        <f t="shared" si="35"/>
        <v>37781051</v>
      </c>
      <c r="AF54" s="1616">
        <f t="shared" si="36"/>
        <v>2539390</v>
      </c>
      <c r="AH54" s="1616">
        <f t="shared" si="37"/>
        <v>14055737</v>
      </c>
      <c r="AI54" s="1616">
        <f t="shared" si="38"/>
        <v>13801227</v>
      </c>
      <c r="AJ54" s="1616">
        <f t="shared" si="39"/>
        <v>254510</v>
      </c>
      <c r="AL54" s="550">
        <v>150521767</v>
      </c>
      <c r="AM54" s="550">
        <v>136720540</v>
      </c>
      <c r="AN54" s="550">
        <v>124257063</v>
      </c>
      <c r="AO54" s="550">
        <v>111607756</v>
      </c>
      <c r="AP54" s="550">
        <v>99022459</v>
      </c>
      <c r="AQ54" s="550">
        <v>86476012</v>
      </c>
      <c r="AR54" s="550">
        <v>43618511</v>
      </c>
      <c r="AS54" s="550">
        <v>255698171</v>
      </c>
      <c r="AT54" s="550">
        <v>185104843</v>
      </c>
      <c r="AU54" s="550">
        <v>165280692</v>
      </c>
      <c r="AV54" s="550">
        <v>109810899</v>
      </c>
      <c r="AW54" s="1616">
        <v>54961332</v>
      </c>
      <c r="AX54" s="509">
        <v>280231919</v>
      </c>
      <c r="AY54" s="1616">
        <v>189381686</v>
      </c>
      <c r="AZ54" s="1617">
        <v>204176901</v>
      </c>
      <c r="BA54" s="1618">
        <v>103500094</v>
      </c>
    </row>
    <row r="55" spans="1:53" ht="18" customHeight="1">
      <c r="A55" s="1086" t="s">
        <v>1686</v>
      </c>
      <c r="B55" s="1359" t="b">
        <f t="shared" si="40"/>
        <v>1</v>
      </c>
      <c r="D55" s="1593" t="s">
        <v>1834</v>
      </c>
      <c r="E55" s="1359" t="s">
        <v>258</v>
      </c>
      <c r="F55" s="1361">
        <v>31101</v>
      </c>
      <c r="G55" s="1359" t="s">
        <v>1686</v>
      </c>
      <c r="H55" s="498">
        <v>0</v>
      </c>
      <c r="I55" s="498">
        <v>0</v>
      </c>
      <c r="J55" s="710">
        <v>30446183</v>
      </c>
      <c r="K55" s="710">
        <v>0</v>
      </c>
      <c r="L55" s="510">
        <f t="shared" si="28"/>
        <v>30446183</v>
      </c>
      <c r="N55" s="1468">
        <f>ROUND(SUMIF('1.0'!$D:$D,T_IS!D55,'1.0'!$V:$V),0)</f>
        <v>0</v>
      </c>
      <c r="O55" s="509">
        <f>ROUND(SUMIF('2.0'!$D:$D,T_IS!D55,'2.0'!$V:$V),0)</f>
        <v>0</v>
      </c>
      <c r="P55" s="509">
        <f>ROUND(SUMIF('3.0'!$D:$D,T_IS!D55,'3.0'!$H:$H),0)</f>
        <v>0</v>
      </c>
      <c r="Q55" s="509">
        <f>ROUND(SUMIF('4.0'!$D:$D,T_IS!D55,'4.0'!$V:$V),0)</f>
        <v>0</v>
      </c>
      <c r="R55" s="509">
        <f>ROUND(SUMIF('5.0'!$D:$D,T_IS!D55,'5.0'!$V:$V),0)</f>
        <v>0</v>
      </c>
      <c r="S55" s="509">
        <f>ROUND(SUMIF('6.0'!$D:$D,T_IS!D55,'6.0'!$V:$V),0)</f>
        <v>795300</v>
      </c>
      <c r="T55" s="509">
        <f>ROUND(SUMIF('7.0'!$D:$D,T_IS!D55,'7.0'!$V:$V),0)</f>
        <v>0</v>
      </c>
      <c r="U55" s="509">
        <f>ROUND(SUMIF('8.0'!$D:$D,T_IS!F55,'8.0'!$H:$H),0)</f>
        <v>0</v>
      </c>
      <c r="V55" s="1470">
        <f t="shared" si="29"/>
        <v>795300</v>
      </c>
      <c r="X55" s="1616">
        <f t="shared" si="30"/>
        <v>31241483</v>
      </c>
      <c r="Z55" s="1616">
        <f t="shared" si="31"/>
        <v>6893822</v>
      </c>
      <c r="AA55" s="1616">
        <f t="shared" si="32"/>
        <v>7006232</v>
      </c>
      <c r="AB55" s="1616">
        <f t="shared" si="33"/>
        <v>-112410</v>
      </c>
      <c r="AD55" s="1616">
        <f t="shared" si="34"/>
        <v>6893822</v>
      </c>
      <c r="AE55" s="1616">
        <f t="shared" si="35"/>
        <v>7270221</v>
      </c>
      <c r="AF55" s="1616">
        <f t="shared" si="36"/>
        <v>-376399</v>
      </c>
      <c r="AH55" s="1616">
        <f t="shared" si="37"/>
        <v>3769898</v>
      </c>
      <c r="AI55" s="1616">
        <f t="shared" si="38"/>
        <v>706701</v>
      </c>
      <c r="AJ55" s="1616">
        <f t="shared" si="39"/>
        <v>3063197</v>
      </c>
      <c r="AL55" s="550">
        <v>27471585</v>
      </c>
      <c r="AM55" s="550">
        <v>26764884</v>
      </c>
      <c r="AN55" s="550">
        <v>24347661</v>
      </c>
      <c r="AO55" s="550">
        <v>21939086</v>
      </c>
      <c r="AP55" s="550">
        <v>19538880</v>
      </c>
      <c r="AQ55" s="550">
        <v>17077440</v>
      </c>
      <c r="AR55" s="550">
        <v>8039427</v>
      </c>
      <c r="AS55" s="550">
        <v>41096028</v>
      </c>
      <c r="AT55" s="550">
        <v>36416943</v>
      </c>
      <c r="AU55" s="550">
        <v>34089796</v>
      </c>
      <c r="AV55" s="550">
        <v>20779229</v>
      </c>
      <c r="AW55" s="1616">
        <v>11647803</v>
      </c>
      <c r="AX55" s="509">
        <v>70594266</v>
      </c>
      <c r="AY55" s="1616">
        <v>49856252</v>
      </c>
      <c r="AZ55" s="1617">
        <v>32361713</v>
      </c>
      <c r="BA55" s="1618">
        <v>13682116</v>
      </c>
    </row>
    <row r="56" spans="1:53" ht="18" customHeight="1">
      <c r="A56" s="1086" t="s">
        <v>1687</v>
      </c>
      <c r="B56" s="1359" t="b">
        <f t="shared" si="40"/>
        <v>1</v>
      </c>
      <c r="D56" s="1593" t="s">
        <v>1836</v>
      </c>
      <c r="E56" s="1359" t="s">
        <v>258</v>
      </c>
      <c r="F56" s="1361">
        <v>31102</v>
      </c>
      <c r="G56" s="1359" t="s">
        <v>1687</v>
      </c>
      <c r="H56" s="498">
        <v>0</v>
      </c>
      <c r="I56" s="498">
        <v>0</v>
      </c>
      <c r="J56" s="710">
        <v>0</v>
      </c>
      <c r="K56" s="710">
        <v>65909283</v>
      </c>
      <c r="L56" s="510">
        <f t="shared" si="28"/>
        <v>65909283</v>
      </c>
      <c r="N56" s="1468">
        <f>ROUND(SUMIF('1.0'!$D:$D,T_IS!D56,'1.0'!$V:$V),0)</f>
        <v>0</v>
      </c>
      <c r="O56" s="509">
        <f>ROUND(SUMIF('2.0'!$D:$D,T_IS!D56,'2.0'!$V:$V),0)</f>
        <v>0</v>
      </c>
      <c r="P56" s="509">
        <f>ROUND(SUMIF('3.0'!$D:$D,T_IS!D56,'3.0'!$H:$H),0)</f>
        <v>0</v>
      </c>
      <c r="Q56" s="509">
        <f>ROUND(SUMIF('4.0'!$D:$D,T_IS!D56,'4.0'!$V:$V),0)</f>
        <v>0</v>
      </c>
      <c r="R56" s="509">
        <f>ROUND(SUMIF('5.0'!$D:$D,T_IS!D56,'5.0'!$V:$V),0)</f>
        <v>0</v>
      </c>
      <c r="S56" s="509">
        <f>ROUND(SUMIF('6.0'!$D:$D,T_IS!D56,'6.0'!$V:$V),0)</f>
        <v>51553474</v>
      </c>
      <c r="T56" s="509">
        <f>ROUND(SUMIF('7.0'!$D:$D,T_IS!D56,'7.0'!$V:$V),0)</f>
        <v>0</v>
      </c>
      <c r="U56" s="509">
        <f>ROUND(SUMIF('8.0'!$D:$D,T_IS!F56,'8.0'!$H:$H),0)</f>
        <v>0</v>
      </c>
      <c r="V56" s="1470">
        <f t="shared" si="29"/>
        <v>51553474</v>
      </c>
      <c r="X56" s="1616">
        <f t="shared" si="30"/>
        <v>117462757</v>
      </c>
      <c r="Z56" s="1616">
        <f t="shared" si="31"/>
        <v>30343709</v>
      </c>
      <c r="AA56" s="1616">
        <f t="shared" si="32"/>
        <v>9917391</v>
      </c>
      <c r="AB56" s="1616">
        <f t="shared" si="33"/>
        <v>20426318</v>
      </c>
      <c r="AD56" s="1616">
        <f t="shared" si="34"/>
        <v>30343709</v>
      </c>
      <c r="AE56" s="1616">
        <f t="shared" si="35"/>
        <v>39079920</v>
      </c>
      <c r="AF56" s="1616">
        <f t="shared" si="36"/>
        <v>-8736211</v>
      </c>
      <c r="AH56" s="1616">
        <f t="shared" si="37"/>
        <v>10912255</v>
      </c>
      <c r="AI56" s="1616">
        <f t="shared" si="38"/>
        <v>10877056</v>
      </c>
      <c r="AJ56" s="1616">
        <f t="shared" si="39"/>
        <v>35199</v>
      </c>
      <c r="AL56" s="550">
        <v>106550502</v>
      </c>
      <c r="AM56" s="550">
        <v>95673446</v>
      </c>
      <c r="AN56" s="550">
        <v>87119048</v>
      </c>
      <c r="AO56" s="550">
        <v>77377276</v>
      </c>
      <c r="AP56" s="550">
        <v>64820027</v>
      </c>
      <c r="AQ56" s="550">
        <v>48039128</v>
      </c>
      <c r="AR56" s="550">
        <v>21131432</v>
      </c>
      <c r="AS56" s="550">
        <v>39888703</v>
      </c>
      <c r="AT56" s="550">
        <v>33252109</v>
      </c>
      <c r="AU56" s="550">
        <v>29971312</v>
      </c>
      <c r="AV56" s="550">
        <v>18546419</v>
      </c>
      <c r="AW56" s="1616">
        <v>9472688</v>
      </c>
      <c r="AX56" s="509">
        <v>37959092</v>
      </c>
      <c r="AY56" s="1616">
        <v>28865267</v>
      </c>
      <c r="AZ56" s="1617">
        <v>19433624</v>
      </c>
      <c r="BA56" s="1618">
        <v>9966818</v>
      </c>
    </row>
    <row r="57" spans="1:53" ht="18" customHeight="1">
      <c r="A57" s="1086" t="s">
        <v>278</v>
      </c>
      <c r="B57" s="1359" t="b">
        <f t="shared" si="40"/>
        <v>1</v>
      </c>
      <c r="D57" s="1593" t="s">
        <v>277</v>
      </c>
      <c r="E57" s="1359" t="s">
        <v>258</v>
      </c>
      <c r="F57" s="1361">
        <v>312</v>
      </c>
      <c r="G57" s="1359" t="s">
        <v>278</v>
      </c>
      <c r="H57" s="498">
        <v>273423454</v>
      </c>
      <c r="I57" s="498">
        <v>0</v>
      </c>
      <c r="J57" s="710">
        <v>0</v>
      </c>
      <c r="K57" s="710">
        <v>0</v>
      </c>
      <c r="L57" s="510">
        <f t="shared" si="28"/>
        <v>273423454</v>
      </c>
      <c r="N57" s="1468">
        <f>ROUND(SUMIF('1.0'!$D:$D,T_IS!D57,'1.0'!$V:$V),0)</f>
        <v>0</v>
      </c>
      <c r="O57" s="509">
        <f>ROUND(SUMIF('2.0'!$D:$D,T_IS!D57,'2.0'!$V:$V),0)</f>
        <v>0</v>
      </c>
      <c r="P57" s="509">
        <f>ROUND(SUMIF('3.0'!$D:$D,T_IS!D57,'3.0'!$H:$H),0)</f>
        <v>0</v>
      </c>
      <c r="Q57" s="509">
        <f>ROUND(SUMIF('4.0'!$D:$D,T_IS!D57,'4.0'!$V:$V),0)</f>
        <v>0</v>
      </c>
      <c r="R57" s="509">
        <f>ROUND(SUMIF('5.0'!$D:$D,T_IS!D57,'5.0'!$V:$V),0)</f>
        <v>0</v>
      </c>
      <c r="S57" s="509">
        <f>ROUND(SUMIF('6.0'!$D:$D,T_IS!D57,'6.0'!$V:$V),0)</f>
        <v>0</v>
      </c>
      <c r="T57" s="509">
        <f>ROUND(SUMIF('7.0'!$D:$D,T_IS!D57,'7.0'!$V:$V),0)</f>
        <v>0</v>
      </c>
      <c r="U57" s="509">
        <f>ROUND(SUMIF('8.0'!$D:$D,T_IS!F57,'8.0'!$H:$H),0)</f>
        <v>0</v>
      </c>
      <c r="V57" s="1470">
        <f t="shared" si="29"/>
        <v>0</v>
      </c>
      <c r="X57" s="1616">
        <f t="shared" si="30"/>
        <v>273423454</v>
      </c>
      <c r="Z57" s="1616">
        <f t="shared" si="31"/>
        <v>73765478</v>
      </c>
      <c r="AA57" s="1616">
        <f t="shared" si="32"/>
        <v>64705077</v>
      </c>
      <c r="AB57" s="1616">
        <f t="shared" si="33"/>
        <v>9060401</v>
      </c>
      <c r="AD57" s="1616">
        <f t="shared" si="34"/>
        <v>73765478</v>
      </c>
      <c r="AE57" s="1616">
        <f t="shared" si="35"/>
        <v>70797359</v>
      </c>
      <c r="AF57" s="1616">
        <f t="shared" si="36"/>
        <v>2968119</v>
      </c>
      <c r="AH57" s="1616">
        <f t="shared" si="37"/>
        <v>28656474</v>
      </c>
      <c r="AI57" s="1616">
        <f t="shared" si="38"/>
        <v>23357153</v>
      </c>
      <c r="AJ57" s="1616">
        <f t="shared" si="39"/>
        <v>5299321</v>
      </c>
      <c r="AL57" s="550">
        <v>244766980</v>
      </c>
      <c r="AM57" s="550">
        <v>221409827</v>
      </c>
      <c r="AN57" s="550">
        <v>199657976</v>
      </c>
      <c r="AO57" s="550">
        <v>176210074</v>
      </c>
      <c r="AP57" s="550">
        <v>150352218</v>
      </c>
      <c r="AQ57" s="550">
        <v>128860617</v>
      </c>
      <c r="AR57" s="550">
        <v>67592244</v>
      </c>
      <c r="AS57" s="550">
        <v>263181861</v>
      </c>
      <c r="AT57" s="550">
        <v>222034582</v>
      </c>
      <c r="AU57" s="550">
        <v>198476784</v>
      </c>
      <c r="AV57" s="550">
        <v>140212661</v>
      </c>
      <c r="AW57" s="1616">
        <v>63663200</v>
      </c>
      <c r="AX57" s="509">
        <v>221476500</v>
      </c>
      <c r="AY57" s="1616">
        <v>167121113</v>
      </c>
      <c r="AZ57" s="1617">
        <v>108901499</v>
      </c>
      <c r="BA57" s="1618">
        <v>53005000</v>
      </c>
    </row>
    <row r="58" spans="1:53" ht="18" customHeight="1">
      <c r="A58" s="1086" t="s">
        <v>280</v>
      </c>
      <c r="B58" s="1359" t="b">
        <f t="shared" si="40"/>
        <v>1</v>
      </c>
      <c r="D58" s="1593" t="s">
        <v>279</v>
      </c>
      <c r="E58" s="1359" t="s">
        <v>258</v>
      </c>
      <c r="F58" s="1361">
        <v>313</v>
      </c>
      <c r="G58" s="1359" t="s">
        <v>280</v>
      </c>
      <c r="H58" s="498">
        <v>35942208</v>
      </c>
      <c r="I58" s="498">
        <v>7551050</v>
      </c>
      <c r="J58" s="710">
        <v>8652010</v>
      </c>
      <c r="K58" s="710">
        <v>1425103</v>
      </c>
      <c r="L58" s="510">
        <f t="shared" si="28"/>
        <v>53570371</v>
      </c>
      <c r="N58" s="1468">
        <f>ROUND(SUMIF('1.0'!$D:$D,T_IS!D58,'1.0'!$V:$V),0)</f>
        <v>0</v>
      </c>
      <c r="O58" s="509">
        <f>ROUND(SUMIF('2.0'!$D:$D,T_IS!D58,'2.0'!$V:$V),0)</f>
        <v>0</v>
      </c>
      <c r="P58" s="509">
        <f>ROUND(SUMIF('3.0'!$D:$D,T_IS!D58,'3.0'!$H:$H),0)</f>
        <v>0</v>
      </c>
      <c r="Q58" s="509">
        <f>ROUND(SUMIF('4.0'!$D:$D,T_IS!D58,'4.0'!$V:$V),0)</f>
        <v>0</v>
      </c>
      <c r="R58" s="509">
        <f>ROUND(SUMIF('5.0'!$D:$D,T_IS!D58,'5.0'!$V:$V),0)</f>
        <v>0</v>
      </c>
      <c r="S58" s="509">
        <f>ROUND(SUMIF('6.0'!$D:$D,T_IS!D58,'6.0'!$V:$V),0)</f>
        <v>0</v>
      </c>
      <c r="T58" s="509">
        <f>ROUND(SUMIF('7.0'!$D:$D,T_IS!D58,'7.0'!$V:$V),0)</f>
        <v>0</v>
      </c>
      <c r="U58" s="509">
        <f>ROUND(SUMIF('8.0'!$D:$D,T_IS!F58,'8.0'!$H:$H),0)</f>
        <v>0</v>
      </c>
      <c r="V58" s="1470">
        <f t="shared" si="29"/>
        <v>0</v>
      </c>
      <c r="X58" s="1616">
        <f t="shared" si="30"/>
        <v>53570371</v>
      </c>
      <c r="Z58" s="1616">
        <f t="shared" si="31"/>
        <v>21948311</v>
      </c>
      <c r="AA58" s="1616">
        <f t="shared" si="32"/>
        <v>27984199</v>
      </c>
      <c r="AB58" s="1616">
        <f t="shared" si="33"/>
        <v>-6035888</v>
      </c>
      <c r="AD58" s="1616">
        <f t="shared" si="34"/>
        <v>21948311</v>
      </c>
      <c r="AE58" s="1616">
        <f t="shared" si="35"/>
        <v>6452491</v>
      </c>
      <c r="AF58" s="1616">
        <f t="shared" si="36"/>
        <v>15495820</v>
      </c>
      <c r="AH58" s="1616">
        <f t="shared" si="37"/>
        <v>16780640</v>
      </c>
      <c r="AI58" s="1616">
        <f t="shared" si="38"/>
        <v>2836824</v>
      </c>
      <c r="AJ58" s="1616">
        <f t="shared" si="39"/>
        <v>13943816</v>
      </c>
      <c r="AL58" s="550">
        <v>36789731</v>
      </c>
      <c r="AM58" s="550">
        <v>33952907</v>
      </c>
      <c r="AN58" s="550">
        <v>31622060</v>
      </c>
      <c r="AO58" s="550">
        <v>29980788</v>
      </c>
      <c r="AP58" s="550">
        <v>26916477</v>
      </c>
      <c r="AQ58" s="550">
        <v>25169569</v>
      </c>
      <c r="AR58" s="550">
        <v>14259242</v>
      </c>
      <c r="AS58" s="550">
        <v>61499683</v>
      </c>
      <c r="AT58" s="550">
        <v>39503184</v>
      </c>
      <c r="AU58" s="550">
        <v>33515484</v>
      </c>
      <c r="AV58" s="550">
        <v>24091218</v>
      </c>
      <c r="AW58" s="1616">
        <v>15443921</v>
      </c>
      <c r="AX58" s="509">
        <v>38076323</v>
      </c>
      <c r="AY58" s="1616">
        <v>21151528</v>
      </c>
      <c r="AZ58" s="1617">
        <v>14273109</v>
      </c>
      <c r="BA58" s="1618">
        <v>9487208</v>
      </c>
    </row>
    <row r="59" spans="1:53" ht="18" customHeight="1">
      <c r="A59" s="1086" t="s">
        <v>282</v>
      </c>
      <c r="B59" s="1359" t="b">
        <f t="shared" si="40"/>
        <v>1</v>
      </c>
      <c r="D59" s="1593" t="s">
        <v>281</v>
      </c>
      <c r="E59" s="1359" t="s">
        <v>258</v>
      </c>
      <c r="F59" s="1361">
        <v>314</v>
      </c>
      <c r="G59" s="1359" t="s">
        <v>282</v>
      </c>
      <c r="H59" s="498">
        <v>30738598</v>
      </c>
      <c r="I59" s="498">
        <v>0</v>
      </c>
      <c r="J59" s="710">
        <v>12885522</v>
      </c>
      <c r="K59" s="710">
        <v>0</v>
      </c>
      <c r="L59" s="510">
        <f t="shared" si="28"/>
        <v>43624120</v>
      </c>
      <c r="N59" s="1468">
        <f>ROUND(SUMIF('1.0'!$D:$D,T_IS!D59,'1.0'!$V:$V),0)</f>
        <v>0</v>
      </c>
      <c r="O59" s="509">
        <f>ROUND(SUMIF('2.0'!$D:$D,T_IS!D59,'2.0'!$V:$V),0)</f>
        <v>0</v>
      </c>
      <c r="P59" s="509">
        <f>ROUND(SUMIF('3.0'!$D:$D,T_IS!D59,'3.0'!$H:$H),0)</f>
        <v>0</v>
      </c>
      <c r="Q59" s="509">
        <f>ROUND(SUMIF('4.0'!$D:$D,T_IS!D59,'4.0'!$V:$V),0)</f>
        <v>0</v>
      </c>
      <c r="R59" s="509">
        <f>ROUND(SUMIF('5.0'!$D:$D,T_IS!D59,'5.0'!$V:$V),0)</f>
        <v>0</v>
      </c>
      <c r="S59" s="509">
        <f>ROUND(SUMIF('6.0'!$D:$D,T_IS!D59,'6.0'!$V:$V),0)</f>
        <v>0</v>
      </c>
      <c r="T59" s="509">
        <f>ROUND(SUMIF('7.0'!$D:$D,T_IS!D59,'7.0'!$V:$V),0)</f>
        <v>0</v>
      </c>
      <c r="U59" s="509">
        <f>ROUND(SUMIF('8.0'!$D:$D,T_IS!F59,'8.0'!$H:$H),0)</f>
        <v>0</v>
      </c>
      <c r="V59" s="1470">
        <f t="shared" si="29"/>
        <v>0</v>
      </c>
      <c r="X59" s="1616">
        <f t="shared" si="30"/>
        <v>43624120</v>
      </c>
      <c r="Z59" s="1616">
        <f t="shared" si="31"/>
        <v>12389263</v>
      </c>
      <c r="AA59" s="1616">
        <f t="shared" si="32"/>
        <v>10007950</v>
      </c>
      <c r="AB59" s="1616">
        <f t="shared" si="33"/>
        <v>2381313</v>
      </c>
      <c r="AD59" s="1616">
        <f t="shared" si="34"/>
        <v>12389263</v>
      </c>
      <c r="AE59" s="1616">
        <f t="shared" si="35"/>
        <v>9304894</v>
      </c>
      <c r="AF59" s="1616">
        <f t="shared" si="36"/>
        <v>3084369</v>
      </c>
      <c r="AH59" s="1616">
        <f t="shared" si="37"/>
        <v>3649926</v>
      </c>
      <c r="AI59" s="1616">
        <f t="shared" si="38"/>
        <v>3045547</v>
      </c>
      <c r="AJ59" s="1616">
        <f t="shared" si="39"/>
        <v>604379</v>
      </c>
      <c r="AL59" s="550">
        <v>39974194</v>
      </c>
      <c r="AM59" s="550">
        <v>36928647</v>
      </c>
      <c r="AN59" s="550">
        <v>31234857</v>
      </c>
      <c r="AO59" s="550">
        <v>28500993</v>
      </c>
      <c r="AP59" s="550">
        <v>23980860</v>
      </c>
      <c r="AQ59" s="550">
        <v>21929963</v>
      </c>
      <c r="AR59" s="550">
        <v>10288631</v>
      </c>
      <c r="AS59" s="550">
        <v>33280399</v>
      </c>
      <c r="AT59" s="550">
        <v>26102871</v>
      </c>
      <c r="AU59" s="550">
        <v>23272449</v>
      </c>
      <c r="AV59" s="550">
        <v>14076006</v>
      </c>
      <c r="AW59" s="1616">
        <v>6016633</v>
      </c>
      <c r="AX59" s="509">
        <v>32664446</v>
      </c>
      <c r="AY59" s="1616">
        <v>22071603</v>
      </c>
      <c r="AZ59" s="1617">
        <v>13334124</v>
      </c>
      <c r="BA59" s="1618">
        <v>5803577</v>
      </c>
    </row>
    <row r="60" spans="1:53" ht="18" customHeight="1">
      <c r="A60" s="1086" t="s">
        <v>284</v>
      </c>
      <c r="B60" s="1359" t="b">
        <f t="shared" si="40"/>
        <v>1</v>
      </c>
      <c r="D60" s="1593" t="s">
        <v>283</v>
      </c>
      <c r="E60" s="1359" t="s">
        <v>258</v>
      </c>
      <c r="F60" s="1361">
        <v>315</v>
      </c>
      <c r="G60" s="1359" t="s">
        <v>284</v>
      </c>
      <c r="H60" s="498">
        <v>2259262057</v>
      </c>
      <c r="I60" s="498">
        <v>0</v>
      </c>
      <c r="J60" s="710">
        <v>0</v>
      </c>
      <c r="K60" s="710">
        <v>0</v>
      </c>
      <c r="L60" s="510">
        <f t="shared" si="28"/>
        <v>2259262057</v>
      </c>
      <c r="N60" s="1468">
        <f>ROUND(SUMIF('1.0'!$D:$D,T_IS!D60,'1.0'!$V:$V),0)</f>
        <v>0</v>
      </c>
      <c r="O60" s="509">
        <f>ROUND(SUMIF('2.0'!$D:$D,T_IS!D60,'2.0'!$V:$V),0)</f>
        <v>0</v>
      </c>
      <c r="P60" s="509">
        <f>ROUND(SUMIF('3.0'!$D:$D,T_IS!D60,'3.0'!$H:$H),0)</f>
        <v>0</v>
      </c>
      <c r="Q60" s="509">
        <f>ROUND(SUMIF('4.0'!$D:$D,T_IS!D60,'4.0'!$V:$V),0)</f>
        <v>0</v>
      </c>
      <c r="R60" s="509">
        <f>ROUND(SUMIF('5.0'!$D:$D,T_IS!D60,'5.0'!$V:$V),0)</f>
        <v>0</v>
      </c>
      <c r="S60" s="509">
        <f>ROUND(SUMIF('6.0'!$D:$D,T_IS!D60,'6.0'!$V:$V),0)</f>
        <v>0</v>
      </c>
      <c r="T60" s="509">
        <f>ROUND(SUMIF('7.0'!$D:$D,T_IS!D60,'7.0'!$V:$V),0)</f>
        <v>0</v>
      </c>
      <c r="U60" s="509">
        <f>ROUND(SUMIF('8.0'!$D:$D,T_IS!F60,'8.0'!$H:$H),0)</f>
        <v>0</v>
      </c>
      <c r="V60" s="1470">
        <f t="shared" si="29"/>
        <v>0</v>
      </c>
      <c r="X60" s="1616">
        <f t="shared" si="30"/>
        <v>2259262057</v>
      </c>
      <c r="Z60" s="1616">
        <f t="shared" si="31"/>
        <v>574007456</v>
      </c>
      <c r="AA60" s="1616">
        <f t="shared" si="32"/>
        <v>814494932</v>
      </c>
      <c r="AB60" s="1616">
        <f t="shared" si="33"/>
        <v>-240487476</v>
      </c>
      <c r="AD60" s="1616">
        <f t="shared" si="34"/>
        <v>574007456</v>
      </c>
      <c r="AE60" s="1616">
        <f t="shared" si="35"/>
        <v>515844280</v>
      </c>
      <c r="AF60" s="1616">
        <f t="shared" si="36"/>
        <v>58163176</v>
      </c>
      <c r="AH60" s="1616">
        <f t="shared" si="37"/>
        <v>183437927</v>
      </c>
      <c r="AI60" s="1616">
        <f t="shared" si="38"/>
        <v>202150131</v>
      </c>
      <c r="AJ60" s="1616">
        <f t="shared" si="39"/>
        <v>-18712204</v>
      </c>
      <c r="AL60" s="550">
        <v>2075824130</v>
      </c>
      <c r="AM60" s="550">
        <v>1873673999</v>
      </c>
      <c r="AN60" s="550">
        <v>1685254601</v>
      </c>
      <c r="AO60" s="550">
        <v>1500971342</v>
      </c>
      <c r="AP60" s="550">
        <v>1355232856</v>
      </c>
      <c r="AQ60" s="550">
        <v>1169410321</v>
      </c>
      <c r="AR60" s="550">
        <v>571578104</v>
      </c>
      <c r="AS60" s="550">
        <v>2455549971</v>
      </c>
      <c r="AT60" s="550">
        <v>1899334931</v>
      </c>
      <c r="AU60" s="550">
        <v>1641055039</v>
      </c>
      <c r="AV60" s="550">
        <v>1103832436</v>
      </c>
      <c r="AW60" s="1616">
        <v>591678254</v>
      </c>
      <c r="AX60" s="509">
        <v>2152821079</v>
      </c>
      <c r="AY60" s="1616">
        <v>1488146980</v>
      </c>
      <c r="AZ60" s="1617">
        <v>825762963</v>
      </c>
      <c r="BA60" s="1618">
        <v>412371238</v>
      </c>
    </row>
    <row r="61" spans="1:53" ht="18" customHeight="1">
      <c r="A61" s="1086" t="s">
        <v>286</v>
      </c>
      <c r="B61" s="1359" t="b">
        <f t="shared" si="40"/>
        <v>1</v>
      </c>
      <c r="D61" s="1593" t="s">
        <v>285</v>
      </c>
      <c r="E61" s="1359" t="s">
        <v>258</v>
      </c>
      <c r="F61" s="1361">
        <v>316</v>
      </c>
      <c r="G61" s="1359" t="s">
        <v>286</v>
      </c>
      <c r="H61" s="498">
        <v>213797452</v>
      </c>
      <c r="I61" s="498">
        <v>101474</v>
      </c>
      <c r="J61" s="710">
        <v>4939920</v>
      </c>
      <c r="K61" s="710">
        <v>39610986</v>
      </c>
      <c r="L61" s="510">
        <f t="shared" si="28"/>
        <v>258449832</v>
      </c>
      <c r="N61" s="1468">
        <f>ROUND(SUMIF('1.0'!$D:$D,T_IS!D61,'1.0'!$V:$V),0)</f>
        <v>0</v>
      </c>
      <c r="O61" s="509">
        <f>ROUND(SUMIF('2.0'!$D:$D,T_IS!D61,'2.0'!$V:$V),0)</f>
        <v>0</v>
      </c>
      <c r="P61" s="509">
        <f>ROUND(SUMIF('3.0'!$D:$D,T_IS!D61,'3.0'!$H:$H),0)</f>
        <v>0</v>
      </c>
      <c r="Q61" s="509">
        <f>ROUND(SUMIF('4.0'!$D:$D,T_IS!D61,'4.0'!$V:$V),0)</f>
        <v>0</v>
      </c>
      <c r="R61" s="509">
        <f>ROUND(SUMIF('5.0'!$D:$D,T_IS!D61,'5.0'!$V:$V),0)</f>
        <v>0</v>
      </c>
      <c r="S61" s="509">
        <f>ROUND(SUMIF('6.0'!$D:$D,T_IS!D61,'6.0'!$V:$V),0)</f>
        <v>0</v>
      </c>
      <c r="T61" s="509">
        <f>ROUND(SUMIF('7.0'!$D:$D,T_IS!D61,'7.0'!$V:$V),0)</f>
        <v>0</v>
      </c>
      <c r="U61" s="509">
        <f>ROUND(SUMIF('8.0'!$D:$D,T_IS!F61,'8.0'!$H:$H),0)</f>
        <v>0</v>
      </c>
      <c r="V61" s="1470">
        <f t="shared" si="29"/>
        <v>0</v>
      </c>
      <c r="X61" s="1616">
        <f t="shared" si="30"/>
        <v>258449832</v>
      </c>
      <c r="Z61" s="1616">
        <f t="shared" si="31"/>
        <v>51633355</v>
      </c>
      <c r="AA61" s="1616">
        <f t="shared" si="32"/>
        <v>102772613</v>
      </c>
      <c r="AB61" s="1616">
        <f t="shared" si="33"/>
        <v>-51139258</v>
      </c>
      <c r="AD61" s="1616">
        <f t="shared" si="34"/>
        <v>51633355</v>
      </c>
      <c r="AE61" s="1616">
        <f t="shared" si="35"/>
        <v>57870170</v>
      </c>
      <c r="AF61" s="1616">
        <f t="shared" si="36"/>
        <v>-6236815</v>
      </c>
      <c r="AH61" s="1616">
        <f t="shared" si="37"/>
        <v>17549111</v>
      </c>
      <c r="AI61" s="1616">
        <f t="shared" si="38"/>
        <v>19410976</v>
      </c>
      <c r="AJ61" s="1616">
        <f t="shared" si="39"/>
        <v>-1861865</v>
      </c>
      <c r="AL61" s="550">
        <v>240900721</v>
      </c>
      <c r="AM61" s="550">
        <v>221489745</v>
      </c>
      <c r="AN61" s="550">
        <v>206816477</v>
      </c>
      <c r="AO61" s="550">
        <v>191160266</v>
      </c>
      <c r="AP61" s="550">
        <v>172243702</v>
      </c>
      <c r="AQ61" s="550">
        <v>148946307</v>
      </c>
      <c r="AR61" s="550">
        <v>82571618</v>
      </c>
      <c r="AS61" s="550">
        <v>335866210</v>
      </c>
      <c r="AT61" s="550">
        <v>261394020</v>
      </c>
      <c r="AU61" s="550">
        <v>233093597</v>
      </c>
      <c r="AV61" s="550">
        <v>148954706</v>
      </c>
      <c r="AW61" s="1616">
        <v>42293431</v>
      </c>
      <c r="AX61" s="509">
        <v>269515934</v>
      </c>
      <c r="AY61" s="1616">
        <v>219135659</v>
      </c>
      <c r="AZ61" s="1617">
        <v>131624343</v>
      </c>
      <c r="BA61" s="1618">
        <v>64492218</v>
      </c>
    </row>
    <row r="62" spans="1:53" ht="18" customHeight="1">
      <c r="A62" s="1086" t="s">
        <v>288</v>
      </c>
      <c r="B62" s="1359" t="b">
        <f t="shared" si="40"/>
        <v>1</v>
      </c>
      <c r="D62" s="1593" t="s">
        <v>287</v>
      </c>
      <c r="E62" s="1359" t="s">
        <v>258</v>
      </c>
      <c r="F62" s="1361">
        <v>317</v>
      </c>
      <c r="G62" s="1359" t="s">
        <v>288</v>
      </c>
      <c r="H62" s="498">
        <v>83260999</v>
      </c>
      <c r="I62" s="498">
        <v>0</v>
      </c>
      <c r="J62" s="710">
        <v>0</v>
      </c>
      <c r="K62" s="710">
        <v>0</v>
      </c>
      <c r="L62" s="510">
        <f t="shared" si="28"/>
        <v>83260999</v>
      </c>
      <c r="N62" s="1468">
        <f>ROUND(SUMIF('1.0'!$D:$D,T_IS!D62,'1.0'!$V:$V),0)</f>
        <v>0</v>
      </c>
      <c r="O62" s="509">
        <f>ROUND(SUMIF('2.0'!$D:$D,T_IS!D62,'2.0'!$V:$V),0)</f>
        <v>0</v>
      </c>
      <c r="P62" s="509">
        <f>ROUND(SUMIF('3.0'!$D:$D,T_IS!D62,'3.0'!$H:$H),0)</f>
        <v>0</v>
      </c>
      <c r="Q62" s="509">
        <f>ROUND(SUMIF('4.0'!$D:$D,T_IS!D62,'4.0'!$V:$V),0)</f>
        <v>0</v>
      </c>
      <c r="R62" s="509">
        <f>ROUND(SUMIF('5.0'!$D:$D,T_IS!D62,'5.0'!$V:$V),0)</f>
        <v>0</v>
      </c>
      <c r="S62" s="509">
        <f>ROUND(SUMIF('6.0'!$D:$D,T_IS!D62,'6.0'!$V:$V),0)</f>
        <v>0</v>
      </c>
      <c r="T62" s="509">
        <f>ROUND(SUMIF('7.0'!$D:$D,T_IS!D62,'7.0'!$V:$V),0)</f>
        <v>0</v>
      </c>
      <c r="U62" s="509">
        <f>ROUND(SUMIF('8.0'!$D:$D,T_IS!F62,'8.0'!$H:$H),0)</f>
        <v>0</v>
      </c>
      <c r="V62" s="1470">
        <f t="shared" si="29"/>
        <v>0</v>
      </c>
      <c r="X62" s="1616">
        <f t="shared" si="30"/>
        <v>83260999</v>
      </c>
      <c r="Z62" s="1616">
        <f t="shared" si="31"/>
        <v>9502257</v>
      </c>
      <c r="AA62" s="1616">
        <f t="shared" si="32"/>
        <v>24693664</v>
      </c>
      <c r="AB62" s="1616">
        <f t="shared" si="33"/>
        <v>-15191407</v>
      </c>
      <c r="AD62" s="1616">
        <f t="shared" si="34"/>
        <v>9502257</v>
      </c>
      <c r="AE62" s="1616">
        <f t="shared" si="35"/>
        <v>22103437</v>
      </c>
      <c r="AF62" s="1616">
        <f t="shared" si="36"/>
        <v>-12601180</v>
      </c>
      <c r="AH62" s="1616">
        <f t="shared" si="37"/>
        <v>5489729</v>
      </c>
      <c r="AI62" s="1616">
        <f t="shared" si="38"/>
        <v>1728046</v>
      </c>
      <c r="AJ62" s="1616">
        <f t="shared" si="39"/>
        <v>3761683</v>
      </c>
      <c r="AL62" s="550">
        <v>77771270</v>
      </c>
      <c r="AM62" s="550">
        <v>76043224</v>
      </c>
      <c r="AN62" s="550">
        <v>73758742</v>
      </c>
      <c r="AO62" s="550">
        <v>64430305</v>
      </c>
      <c r="AP62" s="550">
        <v>56115305</v>
      </c>
      <c r="AQ62" s="550">
        <v>51655305</v>
      </c>
      <c r="AR62" s="550">
        <v>25894364</v>
      </c>
      <c r="AS62" s="550">
        <v>87931018</v>
      </c>
      <c r="AT62" s="550">
        <v>69587935</v>
      </c>
      <c r="AU62" s="550">
        <v>63237354</v>
      </c>
      <c r="AV62" s="550">
        <v>43397339</v>
      </c>
      <c r="AW62" s="1616">
        <v>18285547</v>
      </c>
      <c r="AX62" s="509">
        <v>95049509</v>
      </c>
      <c r="AY62" s="1616">
        <v>49884923</v>
      </c>
      <c r="AZ62" s="1617">
        <v>32326692</v>
      </c>
      <c r="BA62" s="1618">
        <v>17139619</v>
      </c>
    </row>
    <row r="63" spans="1:53" ht="18" customHeight="1">
      <c r="A63" s="1086" t="s">
        <v>290</v>
      </c>
      <c r="B63" s="1359" t="b">
        <f t="shared" si="40"/>
        <v>1</v>
      </c>
      <c r="D63" s="1593" t="s">
        <v>289</v>
      </c>
      <c r="E63" s="1359" t="s">
        <v>258</v>
      </c>
      <c r="F63" s="1361">
        <v>318</v>
      </c>
      <c r="G63" s="1359" t="s">
        <v>290</v>
      </c>
      <c r="H63" s="498">
        <v>60252587</v>
      </c>
      <c r="I63" s="498">
        <v>110000</v>
      </c>
      <c r="J63" s="710">
        <v>0</v>
      </c>
      <c r="K63" s="710">
        <v>4276292</v>
      </c>
      <c r="L63" s="510">
        <f t="shared" si="28"/>
        <v>64638879</v>
      </c>
      <c r="N63" s="1468">
        <f>ROUND(SUMIF('1.0'!$D:$D,T_IS!D63,'1.0'!$V:$V),0)</f>
        <v>0</v>
      </c>
      <c r="O63" s="509">
        <f>ROUND(SUMIF('2.0'!$D:$D,T_IS!D63,'2.0'!$V:$V),0)</f>
        <v>0</v>
      </c>
      <c r="P63" s="509">
        <f>ROUND(SUMIF('3.0'!$D:$D,T_IS!D63,'3.0'!$H:$H),0)</f>
        <v>0</v>
      </c>
      <c r="Q63" s="509">
        <f>ROUND(SUMIF('4.0'!$D:$D,T_IS!D63,'4.0'!$V:$V),0)</f>
        <v>0</v>
      </c>
      <c r="R63" s="509">
        <f>ROUND(SUMIF('5.0'!$D:$D,T_IS!D63,'5.0'!$V:$V),0)</f>
        <v>0</v>
      </c>
      <c r="S63" s="509">
        <f>ROUND(SUMIF('6.0'!$D:$D,T_IS!D63,'6.0'!$V:$V),0)</f>
        <v>0</v>
      </c>
      <c r="T63" s="509">
        <f>ROUND(SUMIF('7.0'!$D:$D,T_IS!D63,'7.0'!$V:$V),0)</f>
        <v>0</v>
      </c>
      <c r="U63" s="509">
        <f>ROUND(SUMIF('8.0'!$D:$D,T_IS!F63,'8.0'!$H:$H),0)</f>
        <v>0</v>
      </c>
      <c r="V63" s="1470">
        <f t="shared" si="29"/>
        <v>0</v>
      </c>
      <c r="X63" s="1616">
        <f t="shared" si="30"/>
        <v>64638879</v>
      </c>
      <c r="Z63" s="1616">
        <f t="shared" si="31"/>
        <v>25851757</v>
      </c>
      <c r="AA63" s="1616">
        <f t="shared" si="32"/>
        <v>14646627</v>
      </c>
      <c r="AB63" s="1616">
        <f t="shared" si="33"/>
        <v>11205130</v>
      </c>
      <c r="AD63" s="1616">
        <f t="shared" si="34"/>
        <v>25851757</v>
      </c>
      <c r="AE63" s="1616">
        <f t="shared" si="35"/>
        <v>7892148</v>
      </c>
      <c r="AF63" s="1616">
        <f t="shared" si="36"/>
        <v>17959609</v>
      </c>
      <c r="AH63" s="1616">
        <f t="shared" si="37"/>
        <v>20834066</v>
      </c>
      <c r="AI63" s="1616">
        <f t="shared" si="38"/>
        <v>3597412</v>
      </c>
      <c r="AJ63" s="1616">
        <f t="shared" si="39"/>
        <v>17236654</v>
      </c>
      <c r="AL63" s="550">
        <v>43804813</v>
      </c>
      <c r="AM63" s="550">
        <v>40207401</v>
      </c>
      <c r="AN63" s="550">
        <v>38787122</v>
      </c>
      <c r="AO63" s="550">
        <v>36007309</v>
      </c>
      <c r="AP63" s="550">
        <v>31866044</v>
      </c>
      <c r="AQ63" s="550">
        <v>30894974</v>
      </c>
      <c r="AR63" s="550">
        <v>22350445</v>
      </c>
      <c r="AS63" s="550">
        <v>24098860</v>
      </c>
      <c r="AT63" s="550">
        <v>11098087</v>
      </c>
      <c r="AU63" s="550">
        <v>9452233</v>
      </c>
      <c r="AV63" s="550">
        <v>5459185</v>
      </c>
      <c r="AW63" s="1616">
        <v>2856845</v>
      </c>
      <c r="AX63" s="509">
        <v>49223609</v>
      </c>
      <c r="AY63" s="1616">
        <v>28259778</v>
      </c>
      <c r="AZ63" s="1617">
        <v>14508224</v>
      </c>
      <c r="BA63" s="1618">
        <v>5519048</v>
      </c>
    </row>
    <row r="64" spans="1:53" ht="18" customHeight="1">
      <c r="A64" s="1086" t="s">
        <v>292</v>
      </c>
      <c r="B64" s="1359" t="b">
        <f t="shared" si="40"/>
        <v>1</v>
      </c>
      <c r="D64" s="1593" t="s">
        <v>291</v>
      </c>
      <c r="E64" s="1359" t="s">
        <v>258</v>
      </c>
      <c r="F64" s="1361">
        <v>319</v>
      </c>
      <c r="G64" s="1359" t="s">
        <v>292</v>
      </c>
      <c r="H64" s="498">
        <v>6104787</v>
      </c>
      <c r="I64" s="498">
        <v>65100</v>
      </c>
      <c r="J64" s="710">
        <v>0</v>
      </c>
      <c r="K64" s="710">
        <v>982643</v>
      </c>
      <c r="L64" s="510">
        <f t="shared" si="28"/>
        <v>7152530</v>
      </c>
      <c r="N64" s="1468">
        <f>ROUND(SUMIF('1.0'!$D:$D,T_IS!D64,'1.0'!$V:$V),0)</f>
        <v>0</v>
      </c>
      <c r="O64" s="509">
        <f>ROUND(SUMIF('2.0'!$D:$D,T_IS!D64,'2.0'!$V:$V),0)</f>
        <v>0</v>
      </c>
      <c r="P64" s="509">
        <f>ROUND(SUMIF('3.0'!$D:$D,T_IS!D64,'3.0'!$H:$H),0)</f>
        <v>0</v>
      </c>
      <c r="Q64" s="509">
        <f>ROUND(SUMIF('4.0'!$D:$D,T_IS!D64,'4.0'!$V:$V),0)</f>
        <v>0</v>
      </c>
      <c r="R64" s="509">
        <f>ROUND(SUMIF('5.0'!$D:$D,T_IS!D64,'5.0'!$V:$V),0)</f>
        <v>0</v>
      </c>
      <c r="S64" s="509">
        <f>ROUND(SUMIF('6.0'!$D:$D,T_IS!D64,'6.0'!$V:$V),0)</f>
        <v>0</v>
      </c>
      <c r="T64" s="509">
        <f>ROUND(SUMIF('7.0'!$D:$D,T_IS!D64,'7.0'!$V:$V),0)</f>
        <v>0</v>
      </c>
      <c r="U64" s="509">
        <f>ROUND(SUMIF('8.0'!$D:$D,T_IS!F64,'8.0'!$H:$H),0)</f>
        <v>0</v>
      </c>
      <c r="V64" s="1470">
        <f t="shared" si="29"/>
        <v>0</v>
      </c>
      <c r="X64" s="1616">
        <f t="shared" si="30"/>
        <v>7152530</v>
      </c>
      <c r="Z64" s="1616">
        <f t="shared" si="31"/>
        <v>2509151</v>
      </c>
      <c r="AA64" s="1616">
        <f t="shared" si="32"/>
        <v>3366013</v>
      </c>
      <c r="AB64" s="1616">
        <f t="shared" si="33"/>
        <v>-856862</v>
      </c>
      <c r="AD64" s="1616">
        <f t="shared" si="34"/>
        <v>2509151</v>
      </c>
      <c r="AE64" s="1616">
        <f t="shared" si="35"/>
        <v>1515713</v>
      </c>
      <c r="AF64" s="1616">
        <f t="shared" si="36"/>
        <v>993438</v>
      </c>
      <c r="AH64" s="1616">
        <f t="shared" si="37"/>
        <v>1139352</v>
      </c>
      <c r="AI64" s="1616">
        <f t="shared" si="38"/>
        <v>770972</v>
      </c>
      <c r="AJ64" s="1616">
        <f t="shared" si="39"/>
        <v>368380</v>
      </c>
      <c r="AL64" s="550">
        <v>6013178</v>
      </c>
      <c r="AM64" s="550">
        <v>5242206</v>
      </c>
      <c r="AN64" s="550">
        <v>4643379</v>
      </c>
      <c r="AO64" s="550">
        <v>4308926</v>
      </c>
      <c r="AP64" s="550">
        <v>3554978</v>
      </c>
      <c r="AQ64" s="550">
        <v>3127666</v>
      </c>
      <c r="AR64" s="550">
        <v>1667367</v>
      </c>
      <c r="AS64" s="550">
        <v>5334208</v>
      </c>
      <c r="AT64" s="550">
        <v>2082429</v>
      </c>
      <c r="AU64" s="550">
        <v>1968195</v>
      </c>
      <c r="AV64" s="550">
        <v>1305214</v>
      </c>
      <c r="AW64" s="1616">
        <v>573965</v>
      </c>
      <c r="AX64" s="509">
        <v>11041081</v>
      </c>
      <c r="AY64" s="1616">
        <v>7347669</v>
      </c>
      <c r="AZ64" s="1617">
        <v>5041273</v>
      </c>
      <c r="BA64" s="1618">
        <v>4234808</v>
      </c>
    </row>
    <row r="65" spans="1:53" ht="18" customHeight="1">
      <c r="A65" s="1086" t="s">
        <v>294</v>
      </c>
      <c r="B65" s="1359" t="b">
        <f t="shared" si="40"/>
        <v>1</v>
      </c>
      <c r="D65" s="1593" t="s">
        <v>293</v>
      </c>
      <c r="E65" s="1359" t="s">
        <v>258</v>
      </c>
      <c r="F65" s="1361">
        <v>320</v>
      </c>
      <c r="G65" s="1359" t="s">
        <v>294</v>
      </c>
      <c r="H65" s="498">
        <v>80776241</v>
      </c>
      <c r="I65" s="498">
        <v>4539993</v>
      </c>
      <c r="J65" s="710">
        <v>5985248</v>
      </c>
      <c r="K65" s="710">
        <v>9443473</v>
      </c>
      <c r="L65" s="510">
        <f t="shared" si="28"/>
        <v>100744955</v>
      </c>
      <c r="N65" s="1468">
        <f>ROUND(SUMIF('1.0'!$D:$D,T_IS!D65,'1.0'!$V:$V),0)</f>
        <v>0</v>
      </c>
      <c r="O65" s="509">
        <f>ROUND(SUMIF('2.0'!$D:$D,T_IS!D65,'2.0'!$V:$V),0)</f>
        <v>0</v>
      </c>
      <c r="P65" s="509">
        <f>ROUND(SUMIF('3.0'!$D:$D,T_IS!D65,'3.0'!$H:$H),0)</f>
        <v>0</v>
      </c>
      <c r="Q65" s="509">
        <f>ROUND(SUMIF('4.0'!$D:$D,T_IS!D65,'4.0'!$V:$V),0)</f>
        <v>0</v>
      </c>
      <c r="R65" s="509">
        <f>ROUND(SUMIF('5.0'!$D:$D,T_IS!D65,'5.0'!$V:$V),0)</f>
        <v>0</v>
      </c>
      <c r="S65" s="509">
        <f>ROUND(SUMIF('6.0'!$D:$D,T_IS!D65,'6.0'!$V:$V),0)</f>
        <v>0</v>
      </c>
      <c r="T65" s="509">
        <f>ROUND(SUMIF('7.0'!$D:$D,T_IS!D65,'7.0'!$V:$V),0)</f>
        <v>0</v>
      </c>
      <c r="U65" s="509">
        <f>ROUND(SUMIF('8.0'!$D:$D,T_IS!F65,'8.0'!$H:$H),0)</f>
        <v>0</v>
      </c>
      <c r="V65" s="1470">
        <f t="shared" si="29"/>
        <v>0</v>
      </c>
      <c r="X65" s="1616">
        <f t="shared" si="30"/>
        <v>100744955</v>
      </c>
      <c r="Z65" s="1616">
        <f t="shared" si="31"/>
        <v>39658298</v>
      </c>
      <c r="AA65" s="1616">
        <f t="shared" si="32"/>
        <v>116990947</v>
      </c>
      <c r="AB65" s="1616">
        <f t="shared" si="33"/>
        <v>-77332649</v>
      </c>
      <c r="AD65" s="1616">
        <f t="shared" si="34"/>
        <v>39658298</v>
      </c>
      <c r="AE65" s="1616">
        <f t="shared" si="35"/>
        <v>12782909</v>
      </c>
      <c r="AF65" s="1616">
        <f t="shared" si="36"/>
        <v>26875389</v>
      </c>
      <c r="AH65" s="1616">
        <f t="shared" si="37"/>
        <v>12464208</v>
      </c>
      <c r="AI65" s="1616">
        <f t="shared" si="38"/>
        <v>20716691</v>
      </c>
      <c r="AJ65" s="1616">
        <f t="shared" si="39"/>
        <v>-8252483</v>
      </c>
      <c r="AL65" s="550">
        <v>88280747</v>
      </c>
      <c r="AM65" s="550">
        <v>67564056</v>
      </c>
      <c r="AN65" s="550">
        <v>61086657</v>
      </c>
      <c r="AO65" s="550">
        <v>57449724</v>
      </c>
      <c r="AP65" s="550">
        <v>52131521</v>
      </c>
      <c r="AQ65" s="550">
        <v>48303748</v>
      </c>
      <c r="AR65" s="550">
        <v>28962285</v>
      </c>
      <c r="AS65" s="550">
        <v>156876276</v>
      </c>
      <c r="AT65" s="550">
        <v>62459649</v>
      </c>
      <c r="AU65" s="550">
        <v>39885329</v>
      </c>
      <c r="AV65" s="550">
        <v>20539880</v>
      </c>
      <c r="AW65" s="1616">
        <v>6538534</v>
      </c>
      <c r="AX65" s="509">
        <v>102832023</v>
      </c>
      <c r="AY65" s="1616">
        <v>71806900</v>
      </c>
      <c r="AZ65" s="1617">
        <v>34049647</v>
      </c>
      <c r="BA65" s="1618">
        <v>15653627</v>
      </c>
    </row>
    <row r="66" spans="1:53" ht="18" customHeight="1">
      <c r="A66" s="1086" t="s">
        <v>296</v>
      </c>
      <c r="B66" s="1359" t="b">
        <f t="shared" si="40"/>
        <v>1</v>
      </c>
      <c r="D66" s="1593" t="s">
        <v>295</v>
      </c>
      <c r="E66" s="1359" t="s">
        <v>258</v>
      </c>
      <c r="F66" s="1361">
        <v>321</v>
      </c>
      <c r="G66" s="1359" t="s">
        <v>296</v>
      </c>
      <c r="H66" s="498">
        <v>21419290274</v>
      </c>
      <c r="I66" s="498">
        <v>24610620</v>
      </c>
      <c r="J66" s="710">
        <v>21417586</v>
      </c>
      <c r="K66" s="710">
        <v>282791142</v>
      </c>
      <c r="L66" s="510">
        <f t="shared" si="28"/>
        <v>21748109622</v>
      </c>
      <c r="N66" s="1468">
        <f>ROUND(SUMIF('1.0'!$D:$D,T_IS!D66,'1.0'!$V:$V),0)</f>
        <v>0</v>
      </c>
      <c r="O66" s="509">
        <f>ROUND(SUMIF('2.0'!$D:$D,T_IS!D66,'2.0'!$V:$V),0)</f>
        <v>0</v>
      </c>
      <c r="P66" s="509">
        <f>ROUND(SUMIF('3.0'!$D:$D,T_IS!D66,'3.0'!$H:$H),0)</f>
        <v>-2346320200</v>
      </c>
      <c r="Q66" s="509">
        <f>ROUND(SUMIF('4.0'!$D:$D,T_IS!D66,'4.0'!$V:$V),0)</f>
        <v>193111111</v>
      </c>
      <c r="R66" s="509">
        <f>ROUND(SUMIF('5.0'!$D:$D,T_IS!D66,'5.0'!$V:$V),0)</f>
        <v>0</v>
      </c>
      <c r="S66" s="509">
        <f>ROUND(SUMIF('6.0'!$D:$D,T_IS!D66,'6.0'!$V:$V),0)</f>
        <v>0</v>
      </c>
      <c r="T66" s="509">
        <f>ROUND(SUMIF('7.0'!$D:$D,T_IS!D66,'7.0'!$V:$V),0)</f>
        <v>0</v>
      </c>
      <c r="U66" s="509">
        <f>ROUND(SUMIF('8.0'!$D:$D,T_IS!F66,'8.0'!$H:$H),0)</f>
        <v>0</v>
      </c>
      <c r="V66" s="1470">
        <f t="shared" si="29"/>
        <v>-2153209089</v>
      </c>
      <c r="X66" s="1616">
        <f t="shared" si="30"/>
        <v>19594900533</v>
      </c>
      <c r="Z66" s="1616">
        <f t="shared" si="31"/>
        <v>6361573137</v>
      </c>
      <c r="AA66" s="1616">
        <f t="shared" si="32"/>
        <v>3666097600</v>
      </c>
      <c r="AB66" s="1616">
        <f t="shared" si="33"/>
        <v>2695475537</v>
      </c>
      <c r="AD66" s="1616">
        <f t="shared" si="34"/>
        <v>6361573137</v>
      </c>
      <c r="AE66" s="1616">
        <f t="shared" si="35"/>
        <v>4878111658</v>
      </c>
      <c r="AF66" s="1616">
        <f t="shared" si="36"/>
        <v>1483461479</v>
      </c>
      <c r="AH66" s="1616">
        <f t="shared" si="37"/>
        <v>3200518087</v>
      </c>
      <c r="AI66" s="1616">
        <f t="shared" si="38"/>
        <v>1669022021</v>
      </c>
      <c r="AJ66" s="1616">
        <f t="shared" si="39"/>
        <v>1531496066</v>
      </c>
      <c r="AL66" s="550">
        <v>16394382446</v>
      </c>
      <c r="AM66" s="550">
        <v>14725360425</v>
      </c>
      <c r="AN66" s="550">
        <v>13233327396</v>
      </c>
      <c r="AO66" s="550">
        <v>11812860619</v>
      </c>
      <c r="AP66" s="550">
        <v>10080867083</v>
      </c>
      <c r="AQ66" s="550">
        <v>8355215738</v>
      </c>
      <c r="AR66" s="550">
        <v>3693561255</v>
      </c>
      <c r="AS66" s="550">
        <v>12787709937</v>
      </c>
      <c r="AT66" s="550">
        <v>10062980935</v>
      </c>
      <c r="AU66" s="550">
        <v>9121612337</v>
      </c>
      <c r="AV66" s="550">
        <v>5984203612</v>
      </c>
      <c r="AW66" s="1616">
        <v>2670334228</v>
      </c>
      <c r="AX66" s="509">
        <v>12079400941</v>
      </c>
      <c r="AY66" s="1616">
        <v>8858891402</v>
      </c>
      <c r="AZ66" s="1617">
        <v>5959592616</v>
      </c>
      <c r="BA66" s="1618">
        <v>3017605044</v>
      </c>
    </row>
    <row r="67" spans="1:53" ht="18" customHeight="1">
      <c r="A67" s="1086" t="s">
        <v>298</v>
      </c>
      <c r="B67" s="1359" t="b">
        <f t="shared" si="40"/>
        <v>1</v>
      </c>
      <c r="D67" s="1593" t="s">
        <v>297</v>
      </c>
      <c r="E67" s="1359" t="s">
        <v>258</v>
      </c>
      <c r="F67" s="1361">
        <v>322</v>
      </c>
      <c r="G67" s="1359" t="s">
        <v>298</v>
      </c>
      <c r="H67" s="498">
        <v>6382755730</v>
      </c>
      <c r="I67" s="498">
        <v>0</v>
      </c>
      <c r="J67" s="710">
        <v>0</v>
      </c>
      <c r="K67" s="710">
        <v>19212484</v>
      </c>
      <c r="L67" s="510">
        <f t="shared" si="28"/>
        <v>6401968214</v>
      </c>
      <c r="N67" s="1468">
        <f>ROUND(SUMIF('1.0'!$D:$D,T_IS!D67,'1.0'!$V:$V),0)</f>
        <v>0</v>
      </c>
      <c r="O67" s="509">
        <f>ROUND(SUMIF('2.0'!$D:$D,T_IS!D67,'2.0'!$V:$V),0)</f>
        <v>0</v>
      </c>
      <c r="P67" s="509">
        <f>ROUND(SUMIF('3.0'!$D:$D,T_IS!D67,'3.0'!$H:$H),0)</f>
        <v>-6100000</v>
      </c>
      <c r="Q67" s="509">
        <f>ROUND(SUMIF('4.0'!$D:$D,T_IS!D67,'4.0'!$V:$V),0)</f>
        <v>0</v>
      </c>
      <c r="R67" s="509">
        <f>ROUND(SUMIF('5.0'!$D:$D,T_IS!D67,'5.0'!$V:$V),0)</f>
        <v>0</v>
      </c>
      <c r="S67" s="509">
        <f>ROUND(SUMIF('6.0'!$D:$D,T_IS!D67,'6.0'!$V:$V),0)</f>
        <v>0</v>
      </c>
      <c r="T67" s="509">
        <f>ROUND(SUMIF('7.0'!$D:$D,T_IS!D67,'7.0'!$V:$V),0)</f>
        <v>0</v>
      </c>
      <c r="U67" s="509">
        <f>ROUND(SUMIF('8.0'!$D:$D,T_IS!F67,'8.0'!$H:$H),0)</f>
        <v>0</v>
      </c>
      <c r="V67" s="1470">
        <f t="shared" si="29"/>
        <v>-6100000</v>
      </c>
      <c r="X67" s="1616">
        <f t="shared" si="30"/>
        <v>6395868214</v>
      </c>
      <c r="Z67" s="1616">
        <f t="shared" si="31"/>
        <v>1833000240</v>
      </c>
      <c r="AA67" s="1616">
        <f t="shared" si="32"/>
        <v>2166661644</v>
      </c>
      <c r="AB67" s="1616">
        <f t="shared" si="33"/>
        <v>-333661404</v>
      </c>
      <c r="AD67" s="1616">
        <f t="shared" si="34"/>
        <v>1833000240</v>
      </c>
      <c r="AE67" s="1616">
        <f t="shared" si="35"/>
        <v>2406873957</v>
      </c>
      <c r="AF67" s="1616">
        <f t="shared" si="36"/>
        <v>-573873717</v>
      </c>
      <c r="AH67" s="1616">
        <f t="shared" si="37"/>
        <v>606108108</v>
      </c>
      <c r="AI67" s="1616">
        <f t="shared" si="38"/>
        <v>367533931</v>
      </c>
      <c r="AJ67" s="1616">
        <f t="shared" si="39"/>
        <v>238574177</v>
      </c>
      <c r="AL67" s="550">
        <v>5789760106</v>
      </c>
      <c r="AM67" s="550">
        <v>5422226175</v>
      </c>
      <c r="AN67" s="550">
        <v>4562867974</v>
      </c>
      <c r="AO67" s="550">
        <v>3870884831</v>
      </c>
      <c r="AP67" s="550">
        <v>2932008561</v>
      </c>
      <c r="AQ67" s="550">
        <v>2155994017</v>
      </c>
      <c r="AR67" s="550">
        <v>928885219</v>
      </c>
      <c r="AS67" s="550">
        <v>4609519504</v>
      </c>
      <c r="AT67" s="550">
        <v>2753463684</v>
      </c>
      <c r="AU67" s="550">
        <v>2442857860</v>
      </c>
      <c r="AV67" s="550">
        <v>1279182366</v>
      </c>
      <c r="AW67" s="1616">
        <v>686706965</v>
      </c>
      <c r="AX67" s="509">
        <v>7507088261</v>
      </c>
      <c r="AY67" s="1616">
        <v>6152327444</v>
      </c>
      <c r="AZ67" s="1617">
        <v>3749396710</v>
      </c>
      <c r="BA67" s="1618">
        <v>1263816934</v>
      </c>
    </row>
    <row r="68" spans="1:53" ht="18" customHeight="1">
      <c r="A68" s="1086" t="s">
        <v>300</v>
      </c>
      <c r="B68" s="1359" t="b">
        <f t="shared" si="40"/>
        <v>1</v>
      </c>
      <c r="D68" s="1593" t="s">
        <v>299</v>
      </c>
      <c r="E68" s="1359" t="s">
        <v>258</v>
      </c>
      <c r="F68" s="1361">
        <v>323</v>
      </c>
      <c r="G68" s="1359" t="s">
        <v>300</v>
      </c>
      <c r="H68" s="498">
        <v>705053234</v>
      </c>
      <c r="I68" s="498">
        <v>0</v>
      </c>
      <c r="J68" s="710">
        <v>0</v>
      </c>
      <c r="K68" s="710">
        <v>0</v>
      </c>
      <c r="L68" s="510">
        <f t="shared" si="28"/>
        <v>705053234</v>
      </c>
      <c r="N68" s="1468">
        <f>ROUND(SUMIF('1.0'!$D:$D,T_IS!D68,'1.0'!$V:$V),0)</f>
        <v>0</v>
      </c>
      <c r="O68" s="509">
        <f>ROUND(SUMIF('2.0'!$D:$D,T_IS!D68,'2.0'!$V:$V),0)</f>
        <v>0</v>
      </c>
      <c r="P68" s="509">
        <f>ROUND(SUMIF('3.0'!$D:$D,T_IS!D68,'3.0'!$H:$H),0)</f>
        <v>0</v>
      </c>
      <c r="Q68" s="509">
        <f>ROUND(SUMIF('4.0'!$D:$D,T_IS!D68,'4.0'!$V:$V),0)</f>
        <v>0</v>
      </c>
      <c r="R68" s="509">
        <f>ROUND(SUMIF('5.0'!$D:$D,T_IS!D68,'5.0'!$V:$V),0)</f>
        <v>0</v>
      </c>
      <c r="S68" s="509">
        <f>ROUND(SUMIF('6.0'!$D:$D,T_IS!D68,'6.0'!$V:$V),0)</f>
        <v>0</v>
      </c>
      <c r="T68" s="509">
        <f>ROUND(SUMIF('7.0'!$D:$D,T_IS!D68,'7.0'!$V:$V),0)</f>
        <v>0</v>
      </c>
      <c r="U68" s="509">
        <f>ROUND(SUMIF('8.0'!$D:$D,T_IS!F68,'8.0'!$H:$H),0)</f>
        <v>0</v>
      </c>
      <c r="V68" s="1470">
        <f t="shared" si="29"/>
        <v>0</v>
      </c>
      <c r="X68" s="1616">
        <f t="shared" si="30"/>
        <v>705053234</v>
      </c>
      <c r="Z68" s="1616">
        <f t="shared" si="31"/>
        <v>221583511</v>
      </c>
      <c r="AA68" s="1616">
        <f t="shared" si="32"/>
        <v>101180761</v>
      </c>
      <c r="AB68" s="1616">
        <f t="shared" si="33"/>
        <v>120402750</v>
      </c>
      <c r="AD68" s="1616">
        <f t="shared" si="34"/>
        <v>221583511</v>
      </c>
      <c r="AE68" s="1616">
        <f t="shared" si="35"/>
        <v>144067512</v>
      </c>
      <c r="AF68" s="1616">
        <f t="shared" si="36"/>
        <v>77515999</v>
      </c>
      <c r="AH68" s="1616">
        <f t="shared" si="37"/>
        <v>85339239</v>
      </c>
      <c r="AI68" s="1616">
        <f t="shared" si="38"/>
        <v>15903536</v>
      </c>
      <c r="AJ68" s="1616">
        <f t="shared" si="39"/>
        <v>69435703</v>
      </c>
      <c r="AL68" s="550">
        <v>619713995</v>
      </c>
      <c r="AM68" s="550">
        <v>603810459</v>
      </c>
      <c r="AN68" s="550">
        <v>483469723</v>
      </c>
      <c r="AO68" s="550">
        <v>435176685</v>
      </c>
      <c r="AP68" s="550">
        <v>422742488</v>
      </c>
      <c r="AQ68" s="550">
        <v>339402211</v>
      </c>
      <c r="AR68" s="550">
        <v>123758283</v>
      </c>
      <c r="AS68" s="550">
        <v>207580597</v>
      </c>
      <c r="AT68" s="550">
        <v>114333525</v>
      </c>
      <c r="AU68" s="550">
        <v>106399836</v>
      </c>
      <c r="AV68" s="550">
        <v>80113514</v>
      </c>
      <c r="AW68" s="1616">
        <v>10664113</v>
      </c>
      <c r="AX68" s="509">
        <v>165746244</v>
      </c>
      <c r="AY68" s="1616">
        <v>150244488</v>
      </c>
      <c r="AZ68" s="1617">
        <v>108328052</v>
      </c>
      <c r="BA68" s="1618">
        <v>51379916</v>
      </c>
    </row>
    <row r="69" spans="1:53" ht="18" customHeight="1">
      <c r="A69" s="1086" t="s">
        <v>302</v>
      </c>
      <c r="B69" s="1359" t="b">
        <f t="shared" si="40"/>
        <v>1</v>
      </c>
      <c r="D69" s="1593" t="s">
        <v>301</v>
      </c>
      <c r="E69" s="1359" t="s">
        <v>258</v>
      </c>
      <c r="F69" s="1361">
        <v>324</v>
      </c>
      <c r="G69" s="1359" t="s">
        <v>302</v>
      </c>
      <c r="H69" s="498">
        <v>14816141</v>
      </c>
      <c r="I69" s="498">
        <v>0</v>
      </c>
      <c r="J69" s="710">
        <v>0</v>
      </c>
      <c r="K69" s="710">
        <v>0</v>
      </c>
      <c r="L69" s="510">
        <f t="shared" si="28"/>
        <v>14816141</v>
      </c>
      <c r="N69" s="1468">
        <f>ROUND(SUMIF('1.0'!$D:$D,T_IS!D69,'1.0'!$V:$V),0)</f>
        <v>0</v>
      </c>
      <c r="O69" s="509">
        <f>ROUND(SUMIF('2.0'!$D:$D,T_IS!D69,'2.0'!$V:$V),0)</f>
        <v>0</v>
      </c>
      <c r="P69" s="509">
        <f>ROUND(SUMIF('3.0'!$D:$D,T_IS!D69,'3.0'!$H:$H),0)</f>
        <v>0</v>
      </c>
      <c r="Q69" s="509">
        <f>ROUND(SUMIF('4.0'!$D:$D,T_IS!D69,'4.0'!$V:$V),0)</f>
        <v>0</v>
      </c>
      <c r="R69" s="509">
        <f>ROUND(SUMIF('5.0'!$D:$D,T_IS!D69,'5.0'!$V:$V),0)</f>
        <v>0</v>
      </c>
      <c r="S69" s="509">
        <f>ROUND(SUMIF('6.0'!$D:$D,T_IS!D69,'6.0'!$V:$V),0)</f>
        <v>0</v>
      </c>
      <c r="T69" s="509">
        <f>ROUND(SUMIF('7.0'!$D:$D,T_IS!D69,'7.0'!$V:$V),0)</f>
        <v>0</v>
      </c>
      <c r="U69" s="509">
        <f>ROUND(SUMIF('8.0'!$D:$D,T_IS!F69,'8.0'!$H:$H),0)</f>
        <v>0</v>
      </c>
      <c r="V69" s="1470">
        <f t="shared" si="29"/>
        <v>0</v>
      </c>
      <c r="X69" s="1616">
        <f t="shared" si="30"/>
        <v>14816141</v>
      </c>
      <c r="Z69" s="1616">
        <f t="shared" si="31"/>
        <v>3668359</v>
      </c>
      <c r="AA69" s="1616">
        <f t="shared" si="32"/>
        <v>-187445938</v>
      </c>
      <c r="AB69" s="1616">
        <f t="shared" si="33"/>
        <v>191114297</v>
      </c>
      <c r="AD69" s="1616">
        <f t="shared" si="34"/>
        <v>3668359</v>
      </c>
      <c r="AE69" s="1616">
        <f t="shared" si="35"/>
        <v>3367009</v>
      </c>
      <c r="AF69" s="1616">
        <f t="shared" si="36"/>
        <v>301350</v>
      </c>
      <c r="AH69" s="1616">
        <f t="shared" si="37"/>
        <v>3668359</v>
      </c>
      <c r="AI69" s="1616">
        <f t="shared" si="38"/>
        <v>0</v>
      </c>
      <c r="AJ69" s="1616">
        <f t="shared" si="39"/>
        <v>3668359</v>
      </c>
      <c r="AL69" s="550">
        <v>11147782</v>
      </c>
      <c r="AM69" s="550">
        <v>11147782</v>
      </c>
      <c r="AN69" s="550">
        <v>11147782</v>
      </c>
      <c r="AO69" s="550">
        <v>7780773</v>
      </c>
      <c r="AP69" s="550">
        <v>7780773</v>
      </c>
      <c r="AQ69" s="550">
        <v>7780773</v>
      </c>
      <c r="AR69" s="550">
        <v>5835658</v>
      </c>
      <c r="AS69" s="550">
        <v>-410162407</v>
      </c>
      <c r="AT69" s="550">
        <v>-222716469</v>
      </c>
      <c r="AU69" s="550">
        <v>-222716469</v>
      </c>
      <c r="AV69" s="550">
        <v>-207056800</v>
      </c>
      <c r="AW69" s="1616">
        <v>-79674763</v>
      </c>
      <c r="AX69" s="509">
        <v>-28983221</v>
      </c>
      <c r="AY69" s="1616">
        <v>214584279</v>
      </c>
      <c r="AZ69" s="1617">
        <v>34487985</v>
      </c>
      <c r="BA69" s="1811">
        <v>-30603133</v>
      </c>
    </row>
    <row r="70" spans="1:53" ht="18" customHeight="1">
      <c r="A70" s="1086" t="s">
        <v>304</v>
      </c>
      <c r="B70" s="1359" t="b">
        <f t="shared" si="40"/>
        <v>1</v>
      </c>
      <c r="D70" s="1593" t="s">
        <v>303</v>
      </c>
      <c r="E70" s="1359" t="s">
        <v>258</v>
      </c>
      <c r="F70" s="1361">
        <v>325</v>
      </c>
      <c r="G70" s="1359" t="s">
        <v>304</v>
      </c>
      <c r="H70" s="498">
        <v>304037609</v>
      </c>
      <c r="I70" s="498">
        <v>0</v>
      </c>
      <c r="J70" s="710">
        <v>0</v>
      </c>
      <c r="K70" s="710">
        <v>0</v>
      </c>
      <c r="L70" s="510">
        <f t="shared" si="28"/>
        <v>304037609</v>
      </c>
      <c r="N70" s="1468">
        <f>ROUND(SUMIF('1.0'!$D:$D,T_IS!D70,'1.0'!$V:$V),0)</f>
        <v>0</v>
      </c>
      <c r="O70" s="509">
        <f>ROUND(SUMIF('2.0'!$D:$D,T_IS!D70,'2.0'!$V:$V),0)</f>
        <v>0</v>
      </c>
      <c r="P70" s="509">
        <f>ROUND(SUMIF('3.0'!$D:$D,T_IS!D70,'3.0'!$H:$H),0)</f>
        <v>0</v>
      </c>
      <c r="Q70" s="509">
        <f>ROUND(SUMIF('4.0'!$D:$D,T_IS!D70,'4.0'!$V:$V),0)</f>
        <v>0</v>
      </c>
      <c r="R70" s="509">
        <f>ROUND(SUMIF('5.0'!$D:$D,T_IS!D70,'5.0'!$V:$V),0)</f>
        <v>0</v>
      </c>
      <c r="S70" s="509">
        <f>ROUND(SUMIF('6.0'!$D:$D,T_IS!D70,'6.0'!$V:$V),0)</f>
        <v>0</v>
      </c>
      <c r="T70" s="509">
        <f>ROUND(SUMIF('7.0'!$D:$D,T_IS!D70,'7.0'!$V:$V),0)</f>
        <v>0</v>
      </c>
      <c r="U70" s="509">
        <f>ROUND(SUMIF('8.0'!$D:$D,T_IS!F70,'8.0'!$H:$H),0)</f>
        <v>0</v>
      </c>
      <c r="V70" s="1470">
        <f t="shared" si="29"/>
        <v>0</v>
      </c>
      <c r="X70" s="1616">
        <f t="shared" si="30"/>
        <v>304037609</v>
      </c>
      <c r="Z70" s="1616">
        <f t="shared" si="31"/>
        <v>65435855</v>
      </c>
      <c r="AA70" s="1616">
        <f t="shared" si="32"/>
        <v>52479550</v>
      </c>
      <c r="AB70" s="1616">
        <f t="shared" si="33"/>
        <v>12956305</v>
      </c>
      <c r="AD70" s="1616">
        <f t="shared" si="34"/>
        <v>65435855</v>
      </c>
      <c r="AE70" s="1616">
        <f t="shared" si="35"/>
        <v>77823528</v>
      </c>
      <c r="AF70" s="1616">
        <f t="shared" si="36"/>
        <v>-12387673</v>
      </c>
      <c r="AH70" s="1616">
        <f t="shared" si="37"/>
        <v>18816085</v>
      </c>
      <c r="AI70" s="1616">
        <f t="shared" si="38"/>
        <v>15978789</v>
      </c>
      <c r="AJ70" s="1616">
        <f t="shared" si="39"/>
        <v>2837296</v>
      </c>
      <c r="AL70" s="550">
        <v>285221524</v>
      </c>
      <c r="AM70" s="550">
        <v>269242735</v>
      </c>
      <c r="AN70" s="550">
        <v>238601754</v>
      </c>
      <c r="AO70" s="550">
        <v>219811259</v>
      </c>
      <c r="AP70" s="550">
        <v>208572530</v>
      </c>
      <c r="AQ70" s="550">
        <v>160778226</v>
      </c>
      <c r="AR70" s="550">
        <v>63054020</v>
      </c>
      <c r="AS70" s="550">
        <v>166592697</v>
      </c>
      <c r="AT70" s="550">
        <v>132324850</v>
      </c>
      <c r="AU70" s="550">
        <v>114113147</v>
      </c>
      <c r="AV70" s="550">
        <v>71766395</v>
      </c>
      <c r="AW70" s="1616">
        <v>24243242</v>
      </c>
      <c r="AX70" s="509">
        <v>211007300</v>
      </c>
      <c r="AY70" s="1616">
        <v>159787089</v>
      </c>
      <c r="AZ70" s="1617">
        <v>111191022</v>
      </c>
      <c r="BA70" s="1618">
        <v>50338232</v>
      </c>
    </row>
    <row r="71" spans="1:53" ht="18" customHeight="1">
      <c r="A71" s="1086" t="s">
        <v>306</v>
      </c>
      <c r="B71" s="1359" t="b">
        <f t="shared" si="40"/>
        <v>1</v>
      </c>
      <c r="D71" s="1593" t="s">
        <v>305</v>
      </c>
      <c r="E71" s="1359" t="s">
        <v>258</v>
      </c>
      <c r="F71" s="1361">
        <v>327</v>
      </c>
      <c r="G71" s="1359" t="s">
        <v>306</v>
      </c>
      <c r="H71" s="498">
        <v>140867327</v>
      </c>
      <c r="I71" s="498">
        <v>0</v>
      </c>
      <c r="J71" s="710">
        <v>0</v>
      </c>
      <c r="K71" s="710">
        <v>11611211</v>
      </c>
      <c r="L71" s="510">
        <f t="shared" si="28"/>
        <v>152478538</v>
      </c>
      <c r="N71" s="1468">
        <f>ROUND(SUMIF('1.0'!$D:$D,T_IS!D71,'1.0'!$V:$V),0)</f>
        <v>0</v>
      </c>
      <c r="O71" s="509">
        <f>ROUND(SUMIF('2.0'!$D:$D,T_IS!D71,'2.0'!$V:$V),0)</f>
        <v>0</v>
      </c>
      <c r="P71" s="509">
        <f>ROUND(SUMIF('3.0'!$D:$D,T_IS!D71,'3.0'!$H:$H),0)</f>
        <v>0</v>
      </c>
      <c r="Q71" s="509">
        <f>ROUND(SUMIF('4.0'!$D:$D,T_IS!D71,'4.0'!$V:$V),0)</f>
        <v>0</v>
      </c>
      <c r="R71" s="509">
        <f>ROUND(SUMIF('5.0'!$D:$D,T_IS!D71,'5.0'!$V:$V),0)</f>
        <v>0</v>
      </c>
      <c r="S71" s="509">
        <f>ROUND(SUMIF('6.0'!$D:$D,T_IS!D71,'6.0'!$V:$V),0)</f>
        <v>0</v>
      </c>
      <c r="T71" s="509">
        <f>ROUND(SUMIF('7.0'!$D:$D,T_IS!D71,'7.0'!$V:$V),0)</f>
        <v>0</v>
      </c>
      <c r="U71" s="509">
        <f>ROUND(SUMIF('8.0'!$D:$D,T_IS!F71,'8.0'!$H:$H),0)</f>
        <v>0</v>
      </c>
      <c r="V71" s="1470">
        <f t="shared" si="29"/>
        <v>0</v>
      </c>
      <c r="X71" s="1616">
        <f t="shared" si="30"/>
        <v>152478538</v>
      </c>
      <c r="Z71" s="1616">
        <f t="shared" si="31"/>
        <v>57429018</v>
      </c>
      <c r="AA71" s="1616">
        <f t="shared" si="32"/>
        <v>20242471</v>
      </c>
      <c r="AB71" s="1616">
        <f t="shared" si="33"/>
        <v>37186547</v>
      </c>
      <c r="AD71" s="1616">
        <f t="shared" si="34"/>
        <v>57429018</v>
      </c>
      <c r="AE71" s="1616">
        <f t="shared" si="35"/>
        <v>31991140</v>
      </c>
      <c r="AF71" s="1616">
        <f t="shared" si="36"/>
        <v>25437878</v>
      </c>
      <c r="AH71" s="1616">
        <f t="shared" si="37"/>
        <v>39435659</v>
      </c>
      <c r="AI71" s="1616">
        <f t="shared" si="38"/>
        <v>12713594</v>
      </c>
      <c r="AJ71" s="1616">
        <f t="shared" si="39"/>
        <v>26722065</v>
      </c>
      <c r="AL71" s="550">
        <v>113042879</v>
      </c>
      <c r="AM71" s="550">
        <v>100329285</v>
      </c>
      <c r="AN71" s="550">
        <v>95049520</v>
      </c>
      <c r="AO71" s="550">
        <v>67206623</v>
      </c>
      <c r="AP71" s="550">
        <v>65445196</v>
      </c>
      <c r="AQ71" s="550">
        <v>63058380</v>
      </c>
      <c r="AR71" s="550">
        <v>36124598</v>
      </c>
      <c r="AS71" s="550">
        <v>74764846</v>
      </c>
      <c r="AT71" s="550">
        <v>64709877</v>
      </c>
      <c r="AU71" s="550">
        <v>54522375</v>
      </c>
      <c r="AV71" s="550">
        <v>41251805</v>
      </c>
      <c r="AW71" s="1616">
        <v>22392964</v>
      </c>
      <c r="AX71" s="509">
        <v>245219711</v>
      </c>
      <c r="AY71" s="1616">
        <v>214585686</v>
      </c>
      <c r="AZ71" s="1617">
        <v>201873599</v>
      </c>
      <c r="BA71" s="1618">
        <v>100147086</v>
      </c>
    </row>
    <row r="72" spans="1:53" ht="18" customHeight="1">
      <c r="A72" s="1086" t="s">
        <v>308</v>
      </c>
      <c r="B72" s="1359" t="b">
        <f t="shared" si="40"/>
        <v>1</v>
      </c>
      <c r="D72" s="1593" t="s">
        <v>307</v>
      </c>
      <c r="E72" s="1359" t="s">
        <v>258</v>
      </c>
      <c r="F72" s="1361">
        <v>328</v>
      </c>
      <c r="G72" s="1359" t="s">
        <v>308</v>
      </c>
      <c r="H72" s="498">
        <v>747307426</v>
      </c>
      <c r="I72" s="498">
        <v>0</v>
      </c>
      <c r="J72" s="710">
        <v>0</v>
      </c>
      <c r="K72" s="710">
        <v>5757726</v>
      </c>
      <c r="L72" s="510">
        <f t="shared" si="28"/>
        <v>753065152</v>
      </c>
      <c r="N72" s="1468">
        <f>ROUND(SUMIF('1.0'!$D:$D,T_IS!D72,'1.0'!$V:$V),0)</f>
        <v>0</v>
      </c>
      <c r="O72" s="509">
        <f>ROUND(SUMIF('2.0'!$D:$D,T_IS!D72,'2.0'!$V:$V),0)</f>
        <v>0</v>
      </c>
      <c r="P72" s="509">
        <f>ROUND(SUMIF('3.0'!$D:$D,T_IS!D72,'3.0'!$H:$H),0)</f>
        <v>-93209400</v>
      </c>
      <c r="Q72" s="509">
        <f>ROUND(SUMIF('4.0'!$D:$D,T_IS!D72,'4.0'!$V:$V),0)</f>
        <v>0</v>
      </c>
      <c r="R72" s="509">
        <f>ROUND(SUMIF('5.0'!$D:$D,T_IS!D72,'5.0'!$V:$V),0)</f>
        <v>0</v>
      </c>
      <c r="S72" s="509">
        <f>ROUND(SUMIF('6.0'!$D:$D,T_IS!D72,'6.0'!$V:$V),0)</f>
        <v>0</v>
      </c>
      <c r="T72" s="509">
        <f>ROUND(SUMIF('7.0'!$D:$D,T_IS!D72,'7.0'!$V:$V),0)</f>
        <v>0</v>
      </c>
      <c r="U72" s="509">
        <f>ROUND(SUMIF('8.0'!$D:$D,T_IS!F72,'8.0'!$H:$H),0)</f>
        <v>0</v>
      </c>
      <c r="V72" s="1470">
        <f t="shared" si="29"/>
        <v>-93209400</v>
      </c>
      <c r="X72" s="1616">
        <f t="shared" si="30"/>
        <v>659855752</v>
      </c>
      <c r="Z72" s="1616">
        <f t="shared" si="31"/>
        <v>226128256</v>
      </c>
      <c r="AA72" s="1616">
        <f t="shared" si="32"/>
        <v>146855463</v>
      </c>
      <c r="AB72" s="1616">
        <f t="shared" si="33"/>
        <v>79272793</v>
      </c>
      <c r="AD72" s="1616">
        <f t="shared" si="34"/>
        <v>226128256</v>
      </c>
      <c r="AE72" s="1616">
        <f t="shared" si="35"/>
        <v>144922408</v>
      </c>
      <c r="AF72" s="1616">
        <f t="shared" si="36"/>
        <v>81205848</v>
      </c>
      <c r="AH72" s="1616">
        <f t="shared" si="37"/>
        <v>154138519</v>
      </c>
      <c r="AI72" s="1616">
        <f t="shared" si="38"/>
        <v>37161099</v>
      </c>
      <c r="AJ72" s="1616">
        <f t="shared" si="39"/>
        <v>116977420</v>
      </c>
      <c r="AL72" s="550">
        <v>505717233</v>
      </c>
      <c r="AM72" s="550">
        <v>468556134</v>
      </c>
      <c r="AN72" s="550">
        <v>433727496</v>
      </c>
      <c r="AO72" s="550">
        <v>393434431</v>
      </c>
      <c r="AP72" s="550">
        <v>354488444</v>
      </c>
      <c r="AQ72" s="550">
        <v>288805088</v>
      </c>
      <c r="AR72" s="550">
        <v>111402464</v>
      </c>
      <c r="AS72" s="550">
        <v>604096033</v>
      </c>
      <c r="AT72" s="550">
        <v>498998307</v>
      </c>
      <c r="AU72" s="550">
        <v>457240570</v>
      </c>
      <c r="AV72" s="550">
        <v>335793792</v>
      </c>
      <c r="AW72" s="1616">
        <v>160624568</v>
      </c>
      <c r="AX72" s="509">
        <v>560183581</v>
      </c>
      <c r="AY72" s="1616">
        <v>438176490</v>
      </c>
      <c r="AZ72" s="1617">
        <v>295202558</v>
      </c>
      <c r="BA72" s="1618">
        <v>183553368</v>
      </c>
    </row>
    <row r="73" spans="1:53" ht="18" customHeight="1">
      <c r="A73" s="1086" t="s">
        <v>310</v>
      </c>
      <c r="B73" s="1359" t="b">
        <f t="shared" si="40"/>
        <v>1</v>
      </c>
      <c r="D73" s="1593" t="s">
        <v>309</v>
      </c>
      <c r="E73" s="1359" t="s">
        <v>258</v>
      </c>
      <c r="F73" s="1361">
        <v>331</v>
      </c>
      <c r="G73" s="1359" t="s">
        <v>310</v>
      </c>
      <c r="H73" s="498">
        <v>8422102</v>
      </c>
      <c r="I73" s="498">
        <v>0</v>
      </c>
      <c r="J73" s="710">
        <v>0</v>
      </c>
      <c r="K73" s="710">
        <v>0</v>
      </c>
      <c r="L73" s="510">
        <f t="shared" si="28"/>
        <v>8422102</v>
      </c>
      <c r="N73" s="1468">
        <f>ROUND(SUMIF('1.0'!$D:$D,T_IS!D73,'1.0'!$V:$V),0)</f>
        <v>0</v>
      </c>
      <c r="O73" s="509">
        <f>ROUND(SUMIF('2.0'!$D:$D,T_IS!D73,'2.0'!$V:$V),0)</f>
        <v>0</v>
      </c>
      <c r="P73" s="509">
        <f>ROUND(SUMIF('3.0'!$D:$D,T_IS!D73,'3.0'!$H:$H),0)</f>
        <v>0</v>
      </c>
      <c r="Q73" s="509">
        <f>ROUND(SUMIF('4.0'!$D:$D,T_IS!D73,'4.0'!$V:$V),0)</f>
        <v>0</v>
      </c>
      <c r="R73" s="509">
        <f>ROUND(SUMIF('5.0'!$D:$D,T_IS!D73,'5.0'!$V:$V),0)</f>
        <v>0</v>
      </c>
      <c r="S73" s="509">
        <f>ROUND(SUMIF('6.0'!$D:$D,T_IS!D73,'6.0'!$V:$V),0)</f>
        <v>0</v>
      </c>
      <c r="T73" s="509">
        <f>ROUND(SUMIF('7.0'!$D:$D,T_IS!D73,'7.0'!$V:$V),0)</f>
        <v>0</v>
      </c>
      <c r="U73" s="509">
        <f>ROUND(SUMIF('8.0'!$D:$D,T_IS!F73,'8.0'!$H:$H),0)</f>
        <v>0</v>
      </c>
      <c r="V73" s="1470">
        <f t="shared" si="29"/>
        <v>0</v>
      </c>
      <c r="X73" s="1616">
        <f t="shared" si="30"/>
        <v>8422102</v>
      </c>
      <c r="Z73" s="1616">
        <f t="shared" si="31"/>
        <v>945513</v>
      </c>
      <c r="AA73" s="1616">
        <f t="shared" si="32"/>
        <v>3182063</v>
      </c>
      <c r="AB73" s="1616">
        <f t="shared" si="33"/>
        <v>-2236550</v>
      </c>
      <c r="AD73" s="1616">
        <f t="shared" si="34"/>
        <v>945513</v>
      </c>
      <c r="AE73" s="1616">
        <f t="shared" si="35"/>
        <v>924851</v>
      </c>
      <c r="AF73" s="1616">
        <f t="shared" si="36"/>
        <v>20662</v>
      </c>
      <c r="AH73" s="1616">
        <f t="shared" si="37"/>
        <v>945513</v>
      </c>
      <c r="AI73" s="1616">
        <f t="shared" si="38"/>
        <v>0</v>
      </c>
      <c r="AJ73" s="1616">
        <f t="shared" si="39"/>
        <v>945513</v>
      </c>
      <c r="AL73" s="550">
        <v>7476589</v>
      </c>
      <c r="AM73" s="550">
        <v>7476589</v>
      </c>
      <c r="AN73" s="550">
        <v>7476589</v>
      </c>
      <c r="AO73" s="550">
        <v>6551738</v>
      </c>
      <c r="AP73" s="550">
        <v>6551738</v>
      </c>
      <c r="AQ73" s="550">
        <v>6551738</v>
      </c>
      <c r="AR73" s="550">
        <v>3244192</v>
      </c>
      <c r="AS73" s="550">
        <v>9882603</v>
      </c>
      <c r="AT73" s="550">
        <v>6700540</v>
      </c>
      <c r="AU73" s="550">
        <v>6700540</v>
      </c>
      <c r="AV73" s="550">
        <v>4426025</v>
      </c>
      <c r="AW73" s="1616">
        <v>726466</v>
      </c>
      <c r="AX73" s="509">
        <v>15816486</v>
      </c>
      <c r="AY73" s="1616">
        <v>6083829</v>
      </c>
      <c r="AZ73" s="1617">
        <v>4221136</v>
      </c>
      <c r="BA73" s="1618">
        <v>2110570</v>
      </c>
    </row>
    <row r="74" spans="1:53" ht="18" customHeight="1">
      <c r="A74" s="1086" t="s">
        <v>312</v>
      </c>
      <c r="B74" s="1359" t="b">
        <f t="shared" si="40"/>
        <v>1</v>
      </c>
      <c r="D74" s="1593" t="s">
        <v>311</v>
      </c>
      <c r="E74" s="1359" t="s">
        <v>258</v>
      </c>
      <c r="F74" s="1361">
        <v>329</v>
      </c>
      <c r="G74" s="1359" t="s">
        <v>312</v>
      </c>
      <c r="H74" s="498">
        <v>1181484828</v>
      </c>
      <c r="I74" s="498">
        <v>0</v>
      </c>
      <c r="J74" s="710">
        <v>1153527</v>
      </c>
      <c r="K74" s="710">
        <v>39066416</v>
      </c>
      <c r="L74" s="510">
        <f t="shared" si="28"/>
        <v>1221704771</v>
      </c>
      <c r="N74" s="1468">
        <f>ROUND(SUMIF('1.0'!$D:$D,T_IS!D74,'1.0'!$V:$V),0)</f>
        <v>0</v>
      </c>
      <c r="O74" s="509">
        <f>ROUND(SUMIF('2.0'!$D:$D,T_IS!D74,'2.0'!$V:$V),0)</f>
        <v>0</v>
      </c>
      <c r="P74" s="509">
        <f>ROUND(SUMIF('3.0'!$D:$D,T_IS!D74,'3.0'!$H:$H),0)</f>
        <v>0</v>
      </c>
      <c r="Q74" s="509">
        <f>ROUND(SUMIF('4.0'!$D:$D,T_IS!D74,'4.0'!$V:$V),0)</f>
        <v>0</v>
      </c>
      <c r="R74" s="509">
        <f>ROUND(SUMIF('5.0'!$D:$D,T_IS!D74,'5.0'!$V:$V),0)</f>
        <v>0</v>
      </c>
      <c r="S74" s="509">
        <f>ROUND(SUMIF('6.0'!$D:$D,T_IS!D74,'6.0'!$V:$V),0)</f>
        <v>0</v>
      </c>
      <c r="T74" s="509">
        <f>ROUND(SUMIF('7.0'!$D:$D,T_IS!D74,'7.0'!$V:$V),0)</f>
        <v>0</v>
      </c>
      <c r="U74" s="509">
        <f>ROUND(SUMIF('8.0'!$D:$D,T_IS!F74,'8.0'!$H:$H),0)</f>
        <v>0</v>
      </c>
      <c r="V74" s="1470">
        <f t="shared" si="29"/>
        <v>0</v>
      </c>
      <c r="X74" s="1616">
        <f t="shared" si="30"/>
        <v>1221704771</v>
      </c>
      <c r="Z74" s="1616">
        <f t="shared" si="31"/>
        <v>361973010</v>
      </c>
      <c r="AA74" s="1616">
        <f t="shared" si="32"/>
        <v>257873847</v>
      </c>
      <c r="AB74" s="1616">
        <f t="shared" si="33"/>
        <v>104099163</v>
      </c>
      <c r="AD74" s="1616">
        <f t="shared" si="34"/>
        <v>361973010</v>
      </c>
      <c r="AE74" s="1616">
        <f t="shared" si="35"/>
        <v>290233873</v>
      </c>
      <c r="AF74" s="1616">
        <f t="shared" si="36"/>
        <v>71739137</v>
      </c>
      <c r="AH74" s="1616">
        <f t="shared" si="37"/>
        <v>112963972</v>
      </c>
      <c r="AI74" s="1616">
        <f t="shared" si="38"/>
        <v>114575644</v>
      </c>
      <c r="AJ74" s="1616">
        <f t="shared" si="39"/>
        <v>-1611672</v>
      </c>
      <c r="AL74" s="550">
        <v>1108740799</v>
      </c>
      <c r="AM74" s="550">
        <v>994165155</v>
      </c>
      <c r="AN74" s="550">
        <v>859731761</v>
      </c>
      <c r="AO74" s="550">
        <v>767746994</v>
      </c>
      <c r="AP74" s="550">
        <v>672074536</v>
      </c>
      <c r="AQ74" s="550">
        <v>569497888</v>
      </c>
      <c r="AR74" s="550">
        <v>274575660</v>
      </c>
      <c r="AS74" s="550">
        <v>1068860964</v>
      </c>
      <c r="AT74" s="550">
        <v>890857107</v>
      </c>
      <c r="AU74" s="550">
        <v>810987117</v>
      </c>
      <c r="AV74" s="550">
        <v>554804157</v>
      </c>
      <c r="AW74" s="1616">
        <v>247736288</v>
      </c>
      <c r="AX74" s="509">
        <v>1190766507</v>
      </c>
      <c r="AY74" s="1616">
        <v>820021869</v>
      </c>
      <c r="AZ74" s="1617">
        <v>558149406</v>
      </c>
      <c r="BA74" s="1618">
        <v>129742931</v>
      </c>
    </row>
    <row r="75" spans="1:53" ht="18" customHeight="1">
      <c r="A75" s="509"/>
      <c r="D75" s="1583"/>
      <c r="E75" s="1584"/>
      <c r="F75" s="1607"/>
      <c r="G75" s="1584" t="s">
        <v>2624</v>
      </c>
      <c r="H75" s="1619">
        <f>H36-H37</f>
        <v>-9075056741</v>
      </c>
      <c r="I75" s="503">
        <f>I36-I37</f>
        <v>-281973078</v>
      </c>
      <c r="J75" s="503">
        <f>J36-J37</f>
        <v>51817922</v>
      </c>
      <c r="K75" s="503">
        <f>K36-K37</f>
        <v>1447049225</v>
      </c>
      <c r="L75" s="504">
        <f>L36-L37</f>
        <v>-7858162672</v>
      </c>
      <c r="N75" s="1620">
        <f t="shared" ref="N75:V75" si="41">N36-N37</f>
        <v>0</v>
      </c>
      <c r="O75" s="503">
        <f t="shared" si="41"/>
        <v>0</v>
      </c>
      <c r="P75" s="503">
        <f t="shared" si="41"/>
        <v>-3546668</v>
      </c>
      <c r="Q75" s="503">
        <f t="shared" si="41"/>
        <v>-165946831</v>
      </c>
      <c r="R75" s="503">
        <f t="shared" si="41"/>
        <v>0</v>
      </c>
      <c r="S75" s="503">
        <f t="shared" si="41"/>
        <v>0</v>
      </c>
      <c r="T75" s="503">
        <f t="shared" si="41"/>
        <v>0</v>
      </c>
      <c r="U75" s="503">
        <f t="shared" si="41"/>
        <v>0</v>
      </c>
      <c r="V75" s="1621">
        <f t="shared" si="41"/>
        <v>-169493499</v>
      </c>
      <c r="X75" s="1622">
        <f>X36-X37</f>
        <v>-8027656171</v>
      </c>
      <c r="Z75" s="1622">
        <f>Z36-Z37</f>
        <v>-6183247239</v>
      </c>
      <c r="AA75" s="1622">
        <f>AA36-AA37</f>
        <v>134622316</v>
      </c>
      <c r="AB75" s="1622">
        <f>AB36-AB37</f>
        <v>-6317869555</v>
      </c>
      <c r="AD75" s="1622">
        <f>AD36-AD37</f>
        <v>-6183247239</v>
      </c>
      <c r="AE75" s="1622">
        <f>AE36-AE37</f>
        <v>-818163589</v>
      </c>
      <c r="AF75" s="1622">
        <f>AF36-AF37</f>
        <v>-5365083650</v>
      </c>
      <c r="AH75" s="1622">
        <f>AH36-AH37</f>
        <v>-5320368590</v>
      </c>
      <c r="AI75" s="1622">
        <f>AI36-AI37</f>
        <v>-677739887</v>
      </c>
      <c r="AJ75" s="1622">
        <f>AJ36-AJ37</f>
        <v>-4642628703</v>
      </c>
      <c r="AL75" s="1623">
        <v>-2707287581</v>
      </c>
      <c r="AM75" s="1623">
        <v>-2029547694</v>
      </c>
      <c r="AN75" s="1623">
        <v>-1844408932</v>
      </c>
      <c r="AO75" s="1623">
        <v>-1862533886</v>
      </c>
      <c r="AP75" s="1623">
        <v>-1355966353</v>
      </c>
      <c r="AQ75" s="1623">
        <v>-1026245343</v>
      </c>
      <c r="AR75" s="1623">
        <v>-411319815</v>
      </c>
      <c r="AS75" s="1623">
        <v>4848508839</v>
      </c>
      <c r="AT75" s="1623">
        <v>5687599987</v>
      </c>
      <c r="AU75" s="1623">
        <v>4713886523</v>
      </c>
      <c r="AV75" s="1623">
        <v>2768397576</v>
      </c>
      <c r="AW75" s="1622">
        <f>AW36-AW37</f>
        <v>1057169849</v>
      </c>
      <c r="AX75" s="503">
        <f>AX36-AX37</f>
        <v>-11888921989</v>
      </c>
      <c r="AY75" s="1622">
        <f>AY36-AY37</f>
        <v>-9621631444</v>
      </c>
      <c r="AZ75" s="1622">
        <f>AZ36-AZ37</f>
        <v>-5669988814</v>
      </c>
      <c r="BA75" s="1812">
        <f>BA36-BA37</f>
        <v>-1701091704</v>
      </c>
    </row>
    <row r="76" spans="1:53" ht="18" customHeight="1">
      <c r="A76" s="509"/>
      <c r="D76" s="1588"/>
      <c r="E76" s="1589"/>
      <c r="F76" s="1627"/>
      <c r="G76" s="1589" t="s">
        <v>314</v>
      </c>
      <c r="H76" s="520">
        <f>SUM(H77:H86)</f>
        <v>42358370767</v>
      </c>
      <c r="I76" s="506">
        <f>SUM(I77:I86)</f>
        <v>7224561</v>
      </c>
      <c r="J76" s="506">
        <f>SUM(J77:J86)</f>
        <v>18212348</v>
      </c>
      <c r="K76" s="506">
        <f>SUM(K77:K86)</f>
        <v>42325025</v>
      </c>
      <c r="L76" s="507">
        <f>SUM(L77:L86)</f>
        <v>42426132701</v>
      </c>
      <c r="N76" s="1628">
        <f t="shared" ref="N76:V76" si="42">SUM(N77:N86)</f>
        <v>0</v>
      </c>
      <c r="O76" s="506">
        <f t="shared" si="42"/>
        <v>0</v>
      </c>
      <c r="P76" s="506">
        <f t="shared" si="42"/>
        <v>-46841095</v>
      </c>
      <c r="Q76" s="506">
        <f t="shared" si="42"/>
        <v>0</v>
      </c>
      <c r="R76" s="506">
        <f t="shared" si="42"/>
        <v>0</v>
      </c>
      <c r="S76" s="506">
        <f t="shared" si="42"/>
        <v>0</v>
      </c>
      <c r="T76" s="506">
        <f t="shared" si="42"/>
        <v>0</v>
      </c>
      <c r="U76" s="506">
        <f t="shared" si="42"/>
        <v>0</v>
      </c>
      <c r="V76" s="1629">
        <f t="shared" si="42"/>
        <v>-46841095</v>
      </c>
      <c r="X76" s="1630">
        <f>SUM(X77:X86)</f>
        <v>42379291606</v>
      </c>
      <c r="Z76" s="1630">
        <f>SUM(Z77:Z86)</f>
        <v>-6841798337</v>
      </c>
      <c r="AA76" s="1630">
        <f>SUM(AA77:AA86)</f>
        <v>1205771800</v>
      </c>
      <c r="AB76" s="1630">
        <f>SUM(AB77:AB86)</f>
        <v>-8047570137</v>
      </c>
      <c r="AD76" s="1630">
        <f>SUM(AD77:AD86)</f>
        <v>-6841798337</v>
      </c>
      <c r="AE76" s="1630">
        <f>SUM(AE77:AE86)</f>
        <v>10308042006</v>
      </c>
      <c r="AF76" s="1630">
        <f>SUM(AF77:AF86)</f>
        <v>-17149840343</v>
      </c>
      <c r="AH76" s="1630">
        <f>SUM(AH77:AH86)</f>
        <v>-6823175210</v>
      </c>
      <c r="AI76" s="1630">
        <f>SUM(AI77:AI86)</f>
        <v>-265678741</v>
      </c>
      <c r="AJ76" s="1630">
        <f>SUM(AJ77:AJ86)</f>
        <v>-6557496469</v>
      </c>
      <c r="AL76" s="1631">
        <v>49202466816</v>
      </c>
      <c r="AM76" s="1631">
        <v>49468145557</v>
      </c>
      <c r="AN76" s="1631">
        <v>49221089943</v>
      </c>
      <c r="AO76" s="1631">
        <v>39859738011</v>
      </c>
      <c r="AP76" s="1631">
        <v>39276026947</v>
      </c>
      <c r="AQ76" s="1631">
        <v>38913047937</v>
      </c>
      <c r="AR76" s="1631">
        <v>13857125099</v>
      </c>
      <c r="AS76" s="1631">
        <v>4675492818</v>
      </c>
      <c r="AT76" s="1631">
        <v>3399712304</v>
      </c>
      <c r="AU76" s="1631">
        <v>3469721018</v>
      </c>
      <c r="AV76" s="1631">
        <v>1487921929</v>
      </c>
      <c r="AW76" s="1630">
        <f>SUM(AW77:AW86)</f>
        <v>1465657078</v>
      </c>
      <c r="AX76" s="506">
        <f>SUM(AX77:AX86)</f>
        <v>1036386899</v>
      </c>
      <c r="AY76" s="1630">
        <f>SUM(AY77:AY86)</f>
        <v>953802663</v>
      </c>
      <c r="AZ76" s="1630">
        <f>SUM(AZ77:AZ86)</f>
        <v>1407995157</v>
      </c>
      <c r="BA76" s="1632">
        <f>SUM(BA77:BA86)</f>
        <v>1748628886</v>
      </c>
    </row>
    <row r="77" spans="1:53" ht="18" customHeight="1">
      <c r="A77" s="509"/>
      <c r="D77" s="1593" t="s">
        <v>315</v>
      </c>
      <c r="E77" s="1359" t="s">
        <v>314</v>
      </c>
      <c r="F77" s="1361">
        <v>401</v>
      </c>
      <c r="G77" s="1359" t="s">
        <v>316</v>
      </c>
      <c r="H77" s="498">
        <v>2270069014</v>
      </c>
      <c r="I77" s="498">
        <v>822059</v>
      </c>
      <c r="J77" s="710">
        <v>0</v>
      </c>
      <c r="K77" s="710">
        <v>393484</v>
      </c>
      <c r="L77" s="510">
        <f t="shared" ref="L77:L86" si="43">SUM(H77:K77)</f>
        <v>2271284557</v>
      </c>
      <c r="N77" s="1468">
        <f>-ROUND(SUMIF('1.0'!$D:$D,T_IS!D77,'1.0'!$V:$V),0)</f>
        <v>0</v>
      </c>
      <c r="O77" s="509">
        <f>-ROUND(SUMIF('2.0'!$D:$D,T_IS!D77,'2.0'!$V:$V),0)</f>
        <v>0</v>
      </c>
      <c r="P77" s="509">
        <f>-ROUND(SUMIF('3.0'!$D:$D,T_IS!D77,'3.0'!$H:$H),0)</f>
        <v>0</v>
      </c>
      <c r="Q77" s="509">
        <f>-ROUND(SUMIF('4.0'!$D:$D,T_IS!D77,'4.0'!$V:$V),0)</f>
        <v>0</v>
      </c>
      <c r="R77" s="509">
        <f>-ROUND(SUMIF('5.0'!$D:$D,T_IS!D77,'5.0'!$V:$V),0)</f>
        <v>0</v>
      </c>
      <c r="S77" s="509">
        <f>ROUND(SUMIF('6.0'!$D:$D,T_IS!D77,'6.0'!$V:$V),0)</f>
        <v>0</v>
      </c>
      <c r="T77" s="509">
        <f>-ROUND(SUMIF('7.0'!$D:$D,T_IS!D77,'7.0'!$V:$V),0)</f>
        <v>0</v>
      </c>
      <c r="U77" s="509">
        <f>-ROUND(SUMIF('8.0'!$D:$D,T_IS!F77,'8.0'!$H:$H),0)</f>
        <v>0</v>
      </c>
      <c r="V77" s="1470">
        <f t="shared" ref="V77:V86" si="44">SUM(N77:U77)</f>
        <v>0</v>
      </c>
      <c r="X77" s="1616">
        <f t="shared" ref="X77:X86" si="45">V77+L77</f>
        <v>2271284557</v>
      </c>
      <c r="Z77" s="1616">
        <f t="shared" ref="Z77:Z86" si="46">X77-AN77</f>
        <v>987908259</v>
      </c>
      <c r="AA77" s="1616">
        <f t="shared" ref="AA77:AA86" si="47">AS77-AU77</f>
        <v>211135351</v>
      </c>
      <c r="AB77" s="1616">
        <f t="shared" ref="AB77:AB86" si="48">Z77-AA77</f>
        <v>776772908</v>
      </c>
      <c r="AD77" s="1616">
        <f t="shared" ref="AD77:AD86" si="49">X77-AN77</f>
        <v>987908259</v>
      </c>
      <c r="AE77" s="1616">
        <f t="shared" ref="AE77:AE86" si="50">AN77-AQ77</f>
        <v>476538967</v>
      </c>
      <c r="AF77" s="1616">
        <f t="shared" ref="AF77:AF86" si="51">AD77-AE77</f>
        <v>511369292</v>
      </c>
      <c r="AH77" s="1616">
        <f t="shared" ref="AH77:AH86" si="52">X77-AL77</f>
        <v>351640522</v>
      </c>
      <c r="AI77" s="1616">
        <f t="shared" ref="AI77:AI86" si="53">AL77-AM77</f>
        <v>238080285</v>
      </c>
      <c r="AJ77" s="1616">
        <f t="shared" ref="AJ77:AJ86" si="54">AH77-AI77</f>
        <v>113560237</v>
      </c>
      <c r="AL77" s="550">
        <v>1919644035</v>
      </c>
      <c r="AM77" s="550">
        <v>1681563750</v>
      </c>
      <c r="AN77" s="550">
        <v>1283376298</v>
      </c>
      <c r="AO77" s="550">
        <v>1094591766</v>
      </c>
      <c r="AP77" s="550">
        <v>919122901</v>
      </c>
      <c r="AQ77" s="550">
        <v>806837331</v>
      </c>
      <c r="AR77" s="550">
        <v>359234741</v>
      </c>
      <c r="AS77" s="550">
        <v>494747956</v>
      </c>
      <c r="AT77" s="550">
        <v>300618434</v>
      </c>
      <c r="AU77" s="550">
        <v>283612605</v>
      </c>
      <c r="AV77" s="550">
        <v>78791227</v>
      </c>
      <c r="AW77" s="1616">
        <v>31229731</v>
      </c>
      <c r="AX77" s="509">
        <v>545896904</v>
      </c>
      <c r="AY77" s="1616">
        <v>463606116</v>
      </c>
      <c r="AZ77" s="1617">
        <v>353801380</v>
      </c>
      <c r="BA77" s="1618">
        <v>191380673</v>
      </c>
    </row>
    <row r="78" spans="1:53" ht="18" customHeight="1">
      <c r="A78" s="509"/>
      <c r="D78" s="1593" t="s">
        <v>317</v>
      </c>
      <c r="E78" s="1359" t="s">
        <v>314</v>
      </c>
      <c r="F78" s="1361">
        <v>401</v>
      </c>
      <c r="G78" s="1359" t="s">
        <v>318</v>
      </c>
      <c r="H78" s="498">
        <v>541565731</v>
      </c>
      <c r="I78" s="498">
        <v>6402502</v>
      </c>
      <c r="J78" s="710">
        <v>1709072</v>
      </c>
      <c r="K78" s="710">
        <v>41089893</v>
      </c>
      <c r="L78" s="510">
        <f t="shared" si="43"/>
        <v>590767198</v>
      </c>
      <c r="N78" s="1468">
        <f>-ROUND(SUMIF('1.0'!$D:$D,T_IS!D78,'1.0'!$V:$V),0)</f>
        <v>0</v>
      </c>
      <c r="O78" s="509">
        <f>-ROUND(SUMIF('2.0'!$D:$D,T_IS!D78,'2.0'!$V:$V),0)</f>
        <v>0</v>
      </c>
      <c r="P78" s="509">
        <f>-ROUND(SUMIF('3.0'!$D:$D,T_IS!D78,'3.0'!$H:$H),0)</f>
        <v>-46841095</v>
      </c>
      <c r="Q78" s="509">
        <f>-ROUND(SUMIF('4.0'!$D:$D,T_IS!D78,'4.0'!$V:$V),0)</f>
        <v>0</v>
      </c>
      <c r="R78" s="509">
        <f>-ROUND(SUMIF('5.0'!$D:$D,T_IS!D78,'5.0'!$V:$V),0)</f>
        <v>0</v>
      </c>
      <c r="S78" s="509">
        <f>ROUND(SUMIF('6.0'!$D:$D,T_IS!D78,'6.0'!$V:$V),0)</f>
        <v>0</v>
      </c>
      <c r="T78" s="509">
        <f>-ROUND(SUMIF('7.0'!$D:$D,T_IS!D78,'7.0'!$V:$V),0)</f>
        <v>0</v>
      </c>
      <c r="U78" s="509">
        <f>-ROUND(SUMIF('8.0'!$D:$D,T_IS!F78,'8.0'!$H:$H),0)</f>
        <v>0</v>
      </c>
      <c r="V78" s="1470">
        <f t="shared" si="44"/>
        <v>-46841095</v>
      </c>
      <c r="X78" s="1616">
        <f t="shared" si="45"/>
        <v>543926103</v>
      </c>
      <c r="Z78" s="1616">
        <f t="shared" si="46"/>
        <v>160315506</v>
      </c>
      <c r="AA78" s="1616">
        <f t="shared" si="47"/>
        <v>127529211</v>
      </c>
      <c r="AB78" s="1616">
        <f t="shared" si="48"/>
        <v>32786295</v>
      </c>
      <c r="AD78" s="1616">
        <f t="shared" si="49"/>
        <v>160315506</v>
      </c>
      <c r="AE78" s="1616">
        <f t="shared" si="50"/>
        <v>263395015</v>
      </c>
      <c r="AF78" s="1616">
        <f t="shared" si="51"/>
        <v>-103079509</v>
      </c>
      <c r="AH78" s="1616">
        <f t="shared" si="52"/>
        <v>71166978</v>
      </c>
      <c r="AI78" s="1616">
        <f t="shared" si="53"/>
        <v>117879771</v>
      </c>
      <c r="AJ78" s="1616">
        <f t="shared" si="54"/>
        <v>-46712793</v>
      </c>
      <c r="AL78" s="550">
        <v>472759125</v>
      </c>
      <c r="AM78" s="550">
        <v>354879354</v>
      </c>
      <c r="AN78" s="550">
        <v>383610597</v>
      </c>
      <c r="AO78" s="550">
        <v>285561352</v>
      </c>
      <c r="AP78" s="550">
        <v>244674236</v>
      </c>
      <c r="AQ78" s="550">
        <v>120215582</v>
      </c>
      <c r="AR78" s="550">
        <v>32132982</v>
      </c>
      <c r="AS78" s="550">
        <v>215216451</v>
      </c>
      <c r="AT78" s="550">
        <v>159682285</v>
      </c>
      <c r="AU78" s="550">
        <v>87687240</v>
      </c>
      <c r="AV78" s="550">
        <v>78508597</v>
      </c>
      <c r="AW78" s="1616">
        <v>31449627</v>
      </c>
      <c r="AX78" s="509">
        <v>49582851</v>
      </c>
      <c r="AY78" s="1616">
        <v>36257676</v>
      </c>
      <c r="AZ78" s="1617">
        <v>55186449</v>
      </c>
      <c r="BA78" s="1618">
        <v>45325072</v>
      </c>
    </row>
    <row r="79" spans="1:53" ht="18" customHeight="1">
      <c r="A79" s="509"/>
      <c r="D79" s="1593" t="s">
        <v>319</v>
      </c>
      <c r="E79" s="1359" t="s">
        <v>314</v>
      </c>
      <c r="F79" s="1361">
        <v>402</v>
      </c>
      <c r="G79" s="1359" t="s">
        <v>320</v>
      </c>
      <c r="H79" s="498">
        <v>0</v>
      </c>
      <c r="I79" s="498">
        <v>0</v>
      </c>
      <c r="J79" s="710">
        <v>0</v>
      </c>
      <c r="K79" s="710">
        <v>0</v>
      </c>
      <c r="L79" s="510">
        <f t="shared" si="43"/>
        <v>0</v>
      </c>
      <c r="N79" s="1468">
        <f>-ROUND(SUMIF('1.0'!$D:$D,T_IS!D79,'1.0'!$V:$V),0)</f>
        <v>0</v>
      </c>
      <c r="O79" s="509">
        <f>-ROUND(SUMIF('2.0'!$D:$D,T_IS!D79,'2.0'!$V:$V),0)</f>
        <v>0</v>
      </c>
      <c r="P79" s="509">
        <f>-ROUND(SUMIF('3.0'!$D:$D,T_IS!D79,'3.0'!$H:$H),0)</f>
        <v>0</v>
      </c>
      <c r="Q79" s="509">
        <f>-ROUND(SUMIF('4.0'!$D:$D,T_IS!D79,'4.0'!$V:$V),0)</f>
        <v>0</v>
      </c>
      <c r="R79" s="509">
        <f>-ROUND(SUMIF('5.0'!$D:$D,T_IS!D79,'5.0'!$V:$V),0)</f>
        <v>0</v>
      </c>
      <c r="S79" s="509">
        <f>ROUND(SUMIF('6.0'!$D:$D,T_IS!D79,'6.0'!$V:$V),0)</f>
        <v>0</v>
      </c>
      <c r="T79" s="509">
        <f>-ROUND(SUMIF('7.0'!$D:$D,T_IS!D79,'7.0'!$V:$V),0)</f>
        <v>0</v>
      </c>
      <c r="U79" s="509">
        <f>-ROUND(SUMIF('8.0'!$D:$D,T_IS!F79,'8.0'!$H:$H),0)</f>
        <v>0</v>
      </c>
      <c r="V79" s="1470">
        <f t="shared" si="44"/>
        <v>0</v>
      </c>
      <c r="X79" s="1616">
        <f t="shared" si="45"/>
        <v>0</v>
      </c>
      <c r="Z79" s="1616">
        <f t="shared" si="46"/>
        <v>0</v>
      </c>
      <c r="AA79" s="1616">
        <f t="shared" si="47"/>
        <v>-655600000</v>
      </c>
      <c r="AB79" s="1616">
        <f t="shared" si="48"/>
        <v>655600000</v>
      </c>
      <c r="AD79" s="1616">
        <f t="shared" si="49"/>
        <v>0</v>
      </c>
      <c r="AE79" s="1616">
        <f t="shared" si="50"/>
        <v>0</v>
      </c>
      <c r="AF79" s="1616">
        <f t="shared" si="51"/>
        <v>0</v>
      </c>
      <c r="AH79" s="1616">
        <f t="shared" si="52"/>
        <v>0</v>
      </c>
      <c r="AI79" s="1616">
        <f t="shared" si="53"/>
        <v>0</v>
      </c>
      <c r="AJ79" s="1616">
        <f t="shared" si="54"/>
        <v>0</v>
      </c>
      <c r="AL79" s="550">
        <v>0</v>
      </c>
      <c r="AM79" s="550">
        <v>0</v>
      </c>
      <c r="AN79" s="550">
        <v>0</v>
      </c>
      <c r="AO79" s="550">
        <v>0</v>
      </c>
      <c r="AP79" s="550">
        <v>0</v>
      </c>
      <c r="AQ79" s="550">
        <v>0</v>
      </c>
      <c r="AR79" s="550">
        <v>0</v>
      </c>
      <c r="AS79" s="550">
        <v>0</v>
      </c>
      <c r="AT79" s="550">
        <v>1401120000</v>
      </c>
      <c r="AU79" s="550">
        <v>655600000</v>
      </c>
      <c r="AV79" s="550">
        <v>0</v>
      </c>
      <c r="AW79" s="1616">
        <v>0</v>
      </c>
      <c r="AX79" s="509">
        <v>0</v>
      </c>
      <c r="AY79" s="1616">
        <v>0</v>
      </c>
      <c r="AZ79" s="1617">
        <v>0</v>
      </c>
      <c r="BA79" s="1618">
        <v>0</v>
      </c>
    </row>
    <row r="80" spans="1:53" ht="18" customHeight="1">
      <c r="A80" s="509"/>
      <c r="D80" s="1593" t="s">
        <v>321</v>
      </c>
      <c r="E80" s="1359" t="s">
        <v>314</v>
      </c>
      <c r="F80" s="1361">
        <v>402</v>
      </c>
      <c r="G80" s="1359" t="s">
        <v>322</v>
      </c>
      <c r="H80" s="498">
        <v>1063638147</v>
      </c>
      <c r="I80" s="498">
        <v>0</v>
      </c>
      <c r="J80" s="710">
        <v>16503276</v>
      </c>
      <c r="K80" s="710">
        <v>841648</v>
      </c>
      <c r="L80" s="510">
        <f t="shared" si="43"/>
        <v>1080983071</v>
      </c>
      <c r="N80" s="1468">
        <f>-ROUND(SUMIF('1.0'!$D:$D,T_IS!D80,'1.0'!$V:$V),0)</f>
        <v>0</v>
      </c>
      <c r="O80" s="509">
        <f>-ROUND(SUMIF('2.0'!$D:$D,T_IS!D80,'2.0'!$V:$V),0)</f>
        <v>0</v>
      </c>
      <c r="P80" s="509">
        <f>-ROUND(SUMIF('3.0'!$D:$D,T_IS!D80,'3.0'!$H:$H),0)</f>
        <v>0</v>
      </c>
      <c r="Q80" s="509">
        <f>-ROUND(SUMIF('4.0'!$D:$D,T_IS!D80,'4.0'!$V:$V),0)</f>
        <v>0</v>
      </c>
      <c r="R80" s="509">
        <f>-ROUND(SUMIF('5.0'!$D:$D,T_IS!D80,'5.0'!$V:$V),0)</f>
        <v>0</v>
      </c>
      <c r="S80" s="509">
        <f>ROUND(SUMIF('6.0'!$D:$D,T_IS!D80,'6.0'!$V:$V),0)</f>
        <v>0</v>
      </c>
      <c r="T80" s="509">
        <f>-ROUND(SUMIF('7.0'!$D:$D,T_IS!D80,'7.0'!$V:$V),0)</f>
        <v>0</v>
      </c>
      <c r="U80" s="509">
        <f>-ROUND(SUMIF('8.0'!$D:$D,T_IS!F80,'8.0'!$H:$H),0)</f>
        <v>0</v>
      </c>
      <c r="V80" s="1470">
        <f t="shared" si="44"/>
        <v>0</v>
      </c>
      <c r="X80" s="1616">
        <f t="shared" si="45"/>
        <v>1080983071</v>
      </c>
      <c r="Z80" s="1616">
        <f t="shared" si="46"/>
        <v>86732367</v>
      </c>
      <c r="AA80" s="1616">
        <f t="shared" si="47"/>
        <v>1459268671</v>
      </c>
      <c r="AB80" s="1616">
        <f t="shared" si="48"/>
        <v>-1372536304</v>
      </c>
      <c r="AD80" s="1616">
        <f t="shared" si="49"/>
        <v>86732367</v>
      </c>
      <c r="AE80" s="1616">
        <f t="shared" si="50"/>
        <v>386240217</v>
      </c>
      <c r="AF80" s="1616">
        <f t="shared" si="51"/>
        <v>-299507850</v>
      </c>
      <c r="AH80" s="1616">
        <f t="shared" si="52"/>
        <v>-1056222</v>
      </c>
      <c r="AI80" s="1616">
        <f t="shared" si="53"/>
        <v>23416687</v>
      </c>
      <c r="AJ80" s="1616">
        <f t="shared" si="54"/>
        <v>-24472909</v>
      </c>
      <c r="AL80" s="550">
        <v>1082039293</v>
      </c>
      <c r="AM80" s="550">
        <v>1058622606</v>
      </c>
      <c r="AN80" s="550">
        <v>994250704</v>
      </c>
      <c r="AO80" s="550">
        <v>879046326</v>
      </c>
      <c r="AP80" s="550">
        <v>764715971</v>
      </c>
      <c r="AQ80" s="550">
        <v>608010487</v>
      </c>
      <c r="AR80" s="550">
        <v>254996474</v>
      </c>
      <c r="AS80" s="550">
        <v>1630679831</v>
      </c>
      <c r="AT80" s="550">
        <v>186974329</v>
      </c>
      <c r="AU80" s="550">
        <v>171411160</v>
      </c>
      <c r="AV80" s="550">
        <v>74435482</v>
      </c>
      <c r="AW80" s="1616">
        <v>32680965</v>
      </c>
      <c r="AX80" s="509">
        <v>279732347</v>
      </c>
      <c r="AY80" s="1616">
        <v>200624250</v>
      </c>
      <c r="AZ80" s="1617">
        <v>202025919</v>
      </c>
      <c r="BA80" s="1618">
        <v>92741792</v>
      </c>
    </row>
    <row r="81" spans="1:53" ht="18" customHeight="1">
      <c r="A81" s="509"/>
      <c r="D81" s="1593" t="s">
        <v>323</v>
      </c>
      <c r="E81" s="1359" t="s">
        <v>314</v>
      </c>
      <c r="F81" s="1361">
        <v>402</v>
      </c>
      <c r="G81" s="1359" t="s">
        <v>324</v>
      </c>
      <c r="H81" s="498">
        <v>178259259</v>
      </c>
      <c r="I81" s="498">
        <v>0</v>
      </c>
      <c r="J81" s="710">
        <v>0</v>
      </c>
      <c r="K81" s="710">
        <v>0</v>
      </c>
      <c r="L81" s="510">
        <f t="shared" si="43"/>
        <v>178259259</v>
      </c>
      <c r="N81" s="1468">
        <f>-ROUND(SUMIF('1.0'!$D:$D,T_IS!D81,'1.0'!$V:$V),0)</f>
        <v>0</v>
      </c>
      <c r="O81" s="509">
        <f>-ROUND(SUMIF('2.0'!$D:$D,T_IS!D81,'2.0'!$V:$V),0)</f>
        <v>0</v>
      </c>
      <c r="P81" s="509">
        <f>-ROUND(SUMIF('3.0'!$D:$D,T_IS!D81,'3.0'!$H:$H),0)</f>
        <v>0</v>
      </c>
      <c r="Q81" s="509">
        <f>-ROUND(SUMIF('4.0'!$D:$D,T_IS!D81,'4.0'!$V:$V),0)</f>
        <v>0</v>
      </c>
      <c r="R81" s="509">
        <f>-ROUND(SUMIF('5.0'!$D:$D,T_IS!D81,'5.0'!$V:$V),0)</f>
        <v>0</v>
      </c>
      <c r="S81" s="509">
        <f>ROUND(SUMIF('6.0'!$D:$D,T_IS!D81,'6.0'!$V:$V),0)</f>
        <v>0</v>
      </c>
      <c r="T81" s="509">
        <f>-ROUND(SUMIF('7.0'!$D:$D,T_IS!D81,'7.0'!$V:$V),0)</f>
        <v>0</v>
      </c>
      <c r="U81" s="509">
        <f>-ROUND(SUMIF('8.0'!$D:$D,T_IS!F81,'8.0'!$H:$H),0)</f>
        <v>0</v>
      </c>
      <c r="V81" s="1470">
        <f t="shared" si="44"/>
        <v>0</v>
      </c>
      <c r="X81" s="1616">
        <f t="shared" si="45"/>
        <v>178259259</v>
      </c>
      <c r="Z81" s="1616">
        <f t="shared" si="46"/>
        <v>49355183</v>
      </c>
      <c r="AA81" s="1616">
        <f t="shared" si="47"/>
        <v>108921312</v>
      </c>
      <c r="AB81" s="1616">
        <f t="shared" si="48"/>
        <v>-59566129</v>
      </c>
      <c r="AD81" s="1616">
        <f t="shared" si="49"/>
        <v>49355183</v>
      </c>
      <c r="AE81" s="1616">
        <f t="shared" si="50"/>
        <v>71316873</v>
      </c>
      <c r="AF81" s="1616">
        <f t="shared" si="51"/>
        <v>-21961690</v>
      </c>
      <c r="AH81" s="1616">
        <f t="shared" si="52"/>
        <v>4977513</v>
      </c>
      <c r="AI81" s="1616">
        <f t="shared" si="53"/>
        <v>32929013</v>
      </c>
      <c r="AJ81" s="1616">
        <f t="shared" si="54"/>
        <v>-27951500</v>
      </c>
      <c r="AL81" s="550">
        <v>173281746</v>
      </c>
      <c r="AM81" s="550">
        <v>140352733</v>
      </c>
      <c r="AN81" s="550">
        <v>128904076</v>
      </c>
      <c r="AO81" s="550">
        <v>98212103</v>
      </c>
      <c r="AP81" s="550">
        <v>81392218</v>
      </c>
      <c r="AQ81" s="550">
        <v>57587203</v>
      </c>
      <c r="AR81" s="550">
        <v>11496545</v>
      </c>
      <c r="AS81" s="550">
        <v>245912714</v>
      </c>
      <c r="AT81" s="550">
        <v>172776857</v>
      </c>
      <c r="AU81" s="550">
        <v>136991402</v>
      </c>
      <c r="AV81" s="550">
        <v>62561617</v>
      </c>
      <c r="AW81" s="1616">
        <v>11285102</v>
      </c>
      <c r="AX81" s="509">
        <v>112196721</v>
      </c>
      <c r="AY81" s="1616">
        <v>108781532</v>
      </c>
      <c r="AZ81" s="1617">
        <v>83325137</v>
      </c>
      <c r="BA81" s="1618">
        <v>21134887</v>
      </c>
    </row>
    <row r="82" spans="1:53" ht="18" customHeight="1">
      <c r="A82" s="509"/>
      <c r="D82" s="1593" t="s">
        <v>325</v>
      </c>
      <c r="E82" s="1359" t="s">
        <v>314</v>
      </c>
      <c r="F82" s="1361">
        <v>403</v>
      </c>
      <c r="G82" s="1359" t="s">
        <v>326</v>
      </c>
      <c r="H82" s="498">
        <v>105732999</v>
      </c>
      <c r="I82" s="498">
        <v>0</v>
      </c>
      <c r="J82" s="710">
        <v>0</v>
      </c>
      <c r="K82" s="710">
        <v>0</v>
      </c>
      <c r="L82" s="510">
        <f t="shared" si="43"/>
        <v>105732999</v>
      </c>
      <c r="N82" s="1468">
        <f>-ROUND(SUMIF('1.0'!$D:$D,T_IS!D82,'1.0'!$V:$V),0)</f>
        <v>0</v>
      </c>
      <c r="O82" s="509">
        <f>-ROUND(SUMIF('2.0'!$D:$D,T_IS!D82,'2.0'!$V:$V),0)</f>
        <v>0</v>
      </c>
      <c r="P82" s="509">
        <f>-ROUND(SUMIF('3.0'!$D:$D,T_IS!D82,'3.0'!$H:$H),0)</f>
        <v>0</v>
      </c>
      <c r="Q82" s="509">
        <f>-ROUND(SUMIF('4.0'!$D:$D,T_IS!D82,'4.0'!$V:$V),0)</f>
        <v>0</v>
      </c>
      <c r="R82" s="509">
        <f>-ROUND(SUMIF('5.0'!$D:$D,T_IS!D82,'5.0'!$V:$V),0)</f>
        <v>0</v>
      </c>
      <c r="S82" s="509">
        <f>ROUND(SUMIF('6.0'!$D:$D,T_IS!D82,'6.0'!$V:$V),0)</f>
        <v>0</v>
      </c>
      <c r="T82" s="509">
        <f>-ROUND(SUMIF('7.0'!$D:$D,T_IS!D82,'7.0'!$V:$V),0)</f>
        <v>0</v>
      </c>
      <c r="U82" s="509">
        <f>-ROUND(SUMIF('8.0'!$D:$D,T_IS!F82,'8.0'!$H:$H),0)</f>
        <v>0</v>
      </c>
      <c r="V82" s="1470">
        <f t="shared" si="44"/>
        <v>0</v>
      </c>
      <c r="X82" s="1616">
        <f t="shared" si="45"/>
        <v>105732999</v>
      </c>
      <c r="Z82" s="1616">
        <f t="shared" si="46"/>
        <v>-1451574640</v>
      </c>
      <c r="AA82" s="1616">
        <f t="shared" si="47"/>
        <v>-824138622</v>
      </c>
      <c r="AB82" s="1616">
        <f t="shared" si="48"/>
        <v>-627436018</v>
      </c>
      <c r="AD82" s="1616">
        <f t="shared" si="49"/>
        <v>-1451574640</v>
      </c>
      <c r="AE82" s="1616">
        <f t="shared" si="50"/>
        <v>762338249</v>
      </c>
      <c r="AF82" s="1616">
        <f t="shared" si="51"/>
        <v>-2213912889</v>
      </c>
      <c r="AH82" s="1616">
        <f t="shared" si="52"/>
        <v>-574302870</v>
      </c>
      <c r="AI82" s="1616">
        <f t="shared" si="53"/>
        <v>-676757765</v>
      </c>
      <c r="AJ82" s="1616">
        <f t="shared" si="54"/>
        <v>102454895</v>
      </c>
      <c r="AL82" s="550">
        <v>680035869</v>
      </c>
      <c r="AM82" s="550">
        <v>1356793634</v>
      </c>
      <c r="AN82" s="550">
        <v>1557307639</v>
      </c>
      <c r="AO82" s="550">
        <v>977653905</v>
      </c>
      <c r="AP82" s="550">
        <v>738587080</v>
      </c>
      <c r="AQ82" s="550">
        <v>794969390</v>
      </c>
      <c r="AR82" s="550">
        <v>226660429</v>
      </c>
      <c r="AS82" s="550">
        <v>1307769706</v>
      </c>
      <c r="AT82" s="550">
        <v>1171741648</v>
      </c>
      <c r="AU82" s="550">
        <v>2131908328</v>
      </c>
      <c r="AV82" s="550">
        <v>1193376796</v>
      </c>
      <c r="AW82" s="1616">
        <v>1358765545</v>
      </c>
      <c r="AX82" s="509">
        <v>-9390546</v>
      </c>
      <c r="AY82" s="1616">
        <v>137282355</v>
      </c>
      <c r="AZ82" s="1617">
        <v>711020905</v>
      </c>
      <c r="BA82" s="1618">
        <v>1396746133</v>
      </c>
    </row>
    <row r="83" spans="1:53" ht="18" customHeight="1">
      <c r="A83" s="509"/>
      <c r="D83" s="1593" t="s">
        <v>327</v>
      </c>
      <c r="E83" s="1359" t="s">
        <v>314</v>
      </c>
      <c r="F83" s="1361">
        <v>403</v>
      </c>
      <c r="G83" s="1359" t="s">
        <v>328</v>
      </c>
      <c r="H83" s="498">
        <v>6974611</v>
      </c>
      <c r="I83" s="498">
        <v>0</v>
      </c>
      <c r="J83" s="710">
        <v>0</v>
      </c>
      <c r="K83" s="710">
        <v>0</v>
      </c>
      <c r="L83" s="510">
        <f t="shared" si="43"/>
        <v>6974611</v>
      </c>
      <c r="N83" s="1468">
        <f>-ROUND(SUMIF('1.0'!$D:$D,T_IS!D83,'1.0'!$V:$V),0)</f>
        <v>0</v>
      </c>
      <c r="O83" s="509">
        <f>-ROUND(SUMIF('2.0'!$D:$D,T_IS!D83,'2.0'!$V:$V),0)</f>
        <v>0</v>
      </c>
      <c r="P83" s="509">
        <f>-ROUND(SUMIF('3.0'!$D:$D,T_IS!D83,'3.0'!$H:$H),0)</f>
        <v>0</v>
      </c>
      <c r="Q83" s="509">
        <f>-ROUND(SUMIF('4.0'!$D:$D,T_IS!D83,'4.0'!$V:$V),0)</f>
        <v>0</v>
      </c>
      <c r="R83" s="509">
        <f>-ROUND(SUMIF('5.0'!$D:$D,T_IS!D83,'5.0'!$V:$V),0)</f>
        <v>0</v>
      </c>
      <c r="S83" s="509">
        <f>ROUND(SUMIF('6.0'!$D:$D,T_IS!D83,'6.0'!$V:$V),0)</f>
        <v>0</v>
      </c>
      <c r="T83" s="509">
        <f>-ROUND(SUMIF('7.0'!$D:$D,T_IS!D83,'7.0'!$V:$V),0)</f>
        <v>0</v>
      </c>
      <c r="U83" s="509">
        <f>-ROUND(SUMIF('8.0'!$D:$D,T_IS!F83,'8.0'!$H:$H),0)</f>
        <v>0</v>
      </c>
      <c r="V83" s="1470">
        <f t="shared" si="44"/>
        <v>0</v>
      </c>
      <c r="X83" s="1616">
        <f t="shared" si="45"/>
        <v>6974611</v>
      </c>
      <c r="Z83" s="1616">
        <f t="shared" si="46"/>
        <v>6974611</v>
      </c>
      <c r="AA83" s="1616">
        <f t="shared" si="47"/>
        <v>8584244</v>
      </c>
      <c r="AB83" s="1616">
        <f t="shared" si="48"/>
        <v>-1609633</v>
      </c>
      <c r="AD83" s="1616">
        <f t="shared" si="49"/>
        <v>6974611</v>
      </c>
      <c r="AE83" s="1616">
        <f t="shared" si="50"/>
        <v>-755385</v>
      </c>
      <c r="AF83" s="1616">
        <f t="shared" si="51"/>
        <v>7729996</v>
      </c>
      <c r="AH83" s="1616">
        <f t="shared" si="52"/>
        <v>5908492</v>
      </c>
      <c r="AI83" s="1616">
        <f t="shared" si="53"/>
        <v>-1226732</v>
      </c>
      <c r="AJ83" s="1616">
        <f t="shared" si="54"/>
        <v>7135224</v>
      </c>
      <c r="AL83" s="550">
        <v>1066119</v>
      </c>
      <c r="AM83" s="550">
        <v>2292851</v>
      </c>
      <c r="AN83" s="550">
        <v>0</v>
      </c>
      <c r="AO83" s="550">
        <v>0</v>
      </c>
      <c r="AP83" s="550">
        <v>2861982</v>
      </c>
      <c r="AQ83" s="550">
        <v>755385</v>
      </c>
      <c r="AR83" s="550">
        <v>455542</v>
      </c>
      <c r="AS83" s="550">
        <v>11094527</v>
      </c>
      <c r="AT83" s="550">
        <v>6798751</v>
      </c>
      <c r="AU83" s="550">
        <v>2510283</v>
      </c>
      <c r="AV83" s="550">
        <v>248210</v>
      </c>
      <c r="AW83" s="1616">
        <v>246108</v>
      </c>
      <c r="AX83" s="509">
        <v>58368622</v>
      </c>
      <c r="AY83" s="1616">
        <v>7250734</v>
      </c>
      <c r="AZ83" s="1617">
        <v>2635367</v>
      </c>
      <c r="BA83" s="1618">
        <v>1300329</v>
      </c>
    </row>
    <row r="84" spans="1:53" ht="18" customHeight="1">
      <c r="A84" s="509"/>
      <c r="D84" s="1593" t="s">
        <v>329</v>
      </c>
      <c r="E84" s="1359" t="s">
        <v>314</v>
      </c>
      <c r="F84" s="1361">
        <v>404</v>
      </c>
      <c r="G84" s="1359" t="s">
        <v>330</v>
      </c>
      <c r="H84" s="498">
        <v>1479841187</v>
      </c>
      <c r="I84" s="498">
        <v>0</v>
      </c>
      <c r="J84" s="710">
        <v>0</v>
      </c>
      <c r="K84" s="710">
        <v>0</v>
      </c>
      <c r="L84" s="510">
        <f t="shared" si="43"/>
        <v>1479841187</v>
      </c>
      <c r="N84" s="1468">
        <f>-ROUND(SUMIF('1.0'!$D:$D,T_IS!D84,'1.0'!$V:$V),0)</f>
        <v>0</v>
      </c>
      <c r="O84" s="509">
        <f>-ROUND(SUMIF('2.0'!$D:$D,T_IS!D84,'2.0'!$V:$V),0)</f>
        <v>0</v>
      </c>
      <c r="P84" s="509">
        <f>-ROUND(SUMIF('3.0'!$D:$D,T_IS!D84,'3.0'!$H:$H),0)</f>
        <v>0</v>
      </c>
      <c r="Q84" s="509">
        <f>-ROUND(SUMIF('4.0'!$D:$D,T_IS!D84,'4.0'!$V:$V),0)</f>
        <v>0</v>
      </c>
      <c r="R84" s="509">
        <f>-ROUND(SUMIF('5.0'!$D:$D,T_IS!D84,'5.0'!$V:$V),0)</f>
        <v>0</v>
      </c>
      <c r="S84" s="509">
        <f>ROUND(SUMIF('6.0'!$D:$D,T_IS!D84,'6.0'!$V:$V),0)</f>
        <v>0</v>
      </c>
      <c r="T84" s="509">
        <f>-ROUND(SUMIF('7.0'!$D:$D,T_IS!D84,'7.0'!$V:$V),0)</f>
        <v>0</v>
      </c>
      <c r="U84" s="509">
        <f>-ROUND(SUMIF('8.0'!$D:$D,T_IS!F84,'8.0'!$H:$H),0)</f>
        <v>0</v>
      </c>
      <c r="V84" s="1470">
        <f t="shared" si="44"/>
        <v>0</v>
      </c>
      <c r="X84" s="1616">
        <f t="shared" si="45"/>
        <v>1479841187</v>
      </c>
      <c r="Z84" s="1616">
        <f t="shared" si="46"/>
        <v>1479841187</v>
      </c>
      <c r="AA84" s="1616">
        <f t="shared" si="47"/>
        <v>770071633</v>
      </c>
      <c r="AB84" s="1616">
        <f t="shared" si="48"/>
        <v>709769554</v>
      </c>
      <c r="AD84" s="1616">
        <f t="shared" si="49"/>
        <v>1479841187</v>
      </c>
      <c r="AE84" s="1616">
        <f t="shared" si="50"/>
        <v>0</v>
      </c>
      <c r="AF84" s="1616">
        <f t="shared" si="51"/>
        <v>1479841187</v>
      </c>
      <c r="AH84" s="1616">
        <f t="shared" si="52"/>
        <v>1479841187</v>
      </c>
      <c r="AI84" s="1616">
        <f t="shared" si="53"/>
        <v>0</v>
      </c>
      <c r="AJ84" s="1616">
        <f t="shared" si="54"/>
        <v>1479841187</v>
      </c>
      <c r="AL84" s="550">
        <v>0</v>
      </c>
      <c r="AM84" s="550">
        <v>0</v>
      </c>
      <c r="AN84" s="550">
        <v>0</v>
      </c>
      <c r="AO84" s="550">
        <v>0</v>
      </c>
      <c r="AP84" s="550">
        <v>0</v>
      </c>
      <c r="AQ84" s="550">
        <v>0</v>
      </c>
      <c r="AR84" s="550">
        <v>0</v>
      </c>
      <c r="AS84" s="550">
        <v>770071633</v>
      </c>
      <c r="AT84" s="550">
        <v>0</v>
      </c>
      <c r="AU84" s="550">
        <v>0</v>
      </c>
      <c r="AV84" s="550">
        <v>0</v>
      </c>
      <c r="AW84" s="1616">
        <v>0</v>
      </c>
      <c r="AX84" s="509">
        <v>0</v>
      </c>
      <c r="AY84" s="1616">
        <v>0</v>
      </c>
      <c r="AZ84" s="1617">
        <v>0</v>
      </c>
      <c r="BA84" s="1618">
        <v>0</v>
      </c>
    </row>
    <row r="85" spans="1:53" ht="18" customHeight="1">
      <c r="A85" s="509"/>
      <c r="D85" s="1633">
        <v>713590</v>
      </c>
      <c r="E85" s="1501" t="s">
        <v>314</v>
      </c>
      <c r="F85" s="1634">
        <v>406</v>
      </c>
      <c r="G85" s="1359" t="s">
        <v>2496</v>
      </c>
      <c r="H85" s="498">
        <v>33201664132</v>
      </c>
      <c r="I85" s="498">
        <v>0</v>
      </c>
      <c r="J85" s="710">
        <v>0</v>
      </c>
      <c r="K85" s="710">
        <v>0</v>
      </c>
      <c r="L85" s="510">
        <f t="shared" si="43"/>
        <v>33201664132</v>
      </c>
      <c r="N85" s="1468">
        <f>-ROUND(SUMIF('1.0'!$D:$D,T_IS!D85,'1.0'!$V:$V),0)</f>
        <v>0</v>
      </c>
      <c r="O85" s="509">
        <f>-ROUND(SUMIF('2.0'!$D:$D,T_IS!D85,'2.0'!$V:$V),0)</f>
        <v>0</v>
      </c>
      <c r="P85" s="509">
        <f>-ROUND(SUMIF('3.0'!$D:$D,T_IS!D85,'3.0'!$H:$H),0)</f>
        <v>0</v>
      </c>
      <c r="Q85" s="509">
        <f>-ROUND(SUMIF('4.0'!$D:$D,T_IS!D85,'4.0'!$V:$V),0)</f>
        <v>0</v>
      </c>
      <c r="R85" s="509">
        <f>-ROUND(SUMIF('5.0'!$D:$D,T_IS!D85,'5.0'!$V:$V),0)</f>
        <v>0</v>
      </c>
      <c r="S85" s="509">
        <f>ROUND(SUMIF('6.0'!$D:$D,T_IS!D85,'6.0'!$V:$V),0)</f>
        <v>0</v>
      </c>
      <c r="T85" s="509">
        <f>-ROUND(SUMIF('7.0'!$D:$D,T_IS!D85,'7.0'!$V:$V),0)</f>
        <v>0</v>
      </c>
      <c r="U85" s="509">
        <f>-ROUND(SUMIF('8.0'!$D:$D,T_IS!F85,'8.0'!$H:$H),0)</f>
        <v>0</v>
      </c>
      <c r="V85" s="1470">
        <f>SUM(N85:U85)</f>
        <v>0</v>
      </c>
      <c r="X85" s="1616">
        <f t="shared" si="45"/>
        <v>33201664132</v>
      </c>
      <c r="Z85" s="1616">
        <f t="shared" si="46"/>
        <v>-8161350810</v>
      </c>
      <c r="AA85" s="1616">
        <f t="shared" si="47"/>
        <v>0</v>
      </c>
      <c r="AB85" s="1616">
        <f t="shared" si="48"/>
        <v>-8161350810</v>
      </c>
      <c r="AD85" s="1616">
        <f t="shared" si="49"/>
        <v>-8161350810</v>
      </c>
      <c r="AE85" s="1616">
        <f t="shared" si="50"/>
        <v>8348968070</v>
      </c>
      <c r="AF85" s="1616">
        <f t="shared" si="51"/>
        <v>-16510318880</v>
      </c>
      <c r="AH85" s="1616">
        <f t="shared" si="52"/>
        <v>-8161350810</v>
      </c>
      <c r="AI85" s="1616">
        <f t="shared" si="53"/>
        <v>0</v>
      </c>
      <c r="AJ85" s="1616">
        <f t="shared" si="54"/>
        <v>-8161350810</v>
      </c>
      <c r="AL85" s="550">
        <v>41363014942</v>
      </c>
      <c r="AM85" s="550">
        <v>41363014942</v>
      </c>
      <c r="AN85" s="550">
        <v>41363014942</v>
      </c>
      <c r="AO85" s="550">
        <v>33014046872</v>
      </c>
      <c r="AP85" s="550">
        <v>33014046872</v>
      </c>
      <c r="AQ85" s="550">
        <v>33014046872</v>
      </c>
      <c r="AR85" s="550">
        <v>9430022699</v>
      </c>
      <c r="AS85" s="550">
        <v>0</v>
      </c>
      <c r="AT85" s="550">
        <v>0</v>
      </c>
      <c r="AU85" s="550">
        <v>0</v>
      </c>
      <c r="AV85" s="550">
        <v>0</v>
      </c>
      <c r="AW85" s="1616">
        <v>0</v>
      </c>
      <c r="AX85" s="509">
        <v>0</v>
      </c>
      <c r="AY85" s="1616">
        <v>0</v>
      </c>
      <c r="AZ85" s="1617">
        <v>0</v>
      </c>
      <c r="BA85" s="1618">
        <v>0</v>
      </c>
    </row>
    <row r="86" spans="1:53" ht="18" customHeight="1">
      <c r="A86" s="509"/>
      <c r="D86" s="1593" t="s">
        <v>331</v>
      </c>
      <c r="E86" s="1359" t="s">
        <v>314</v>
      </c>
      <c r="F86" s="1361">
        <v>405</v>
      </c>
      <c r="G86" s="1359" t="s">
        <v>332</v>
      </c>
      <c r="H86" s="498">
        <v>3510625687</v>
      </c>
      <c r="I86" s="498">
        <v>0</v>
      </c>
      <c r="J86" s="710">
        <v>0</v>
      </c>
      <c r="K86" s="710">
        <v>0</v>
      </c>
      <c r="L86" s="510">
        <f t="shared" si="43"/>
        <v>3510625687</v>
      </c>
      <c r="N86" s="1468">
        <f>-ROUND(SUMIF('1.0'!$D:$D,T_IS!D86,'1.0'!$V:$V),0)</f>
        <v>0</v>
      </c>
      <c r="O86" s="509">
        <f>-ROUND(SUMIF('2.0'!$D:$D,T_IS!D86,'2.0'!$V:$V),0)</f>
        <v>0</v>
      </c>
      <c r="P86" s="509">
        <f>-ROUND(SUMIF('3.0'!$D:$D,T_IS!D86,'3.0'!$H:$H),0)</f>
        <v>0</v>
      </c>
      <c r="Q86" s="509">
        <f>-ROUND(SUMIF('4.0'!$D:$D,T_IS!D86,'4.0'!$V:$V),0)</f>
        <v>0</v>
      </c>
      <c r="R86" s="509">
        <f>-ROUND(SUMIF('5.0'!$D:$D,T_IS!D86,'5.0'!$V:$V),0)</f>
        <v>0</v>
      </c>
      <c r="S86" s="509">
        <f>ROUND(SUMIF('6.0'!$D:$D,T_IS!D86,'6.0'!$V:$V),0)</f>
        <v>0</v>
      </c>
      <c r="T86" s="509">
        <f>-ROUND(SUMIF('7.0'!$D:$D,T_IS!D86,'7.0'!$V:$V),0)</f>
        <v>0</v>
      </c>
      <c r="U86" s="509">
        <f>-ROUND(SUMIF('8.0'!$D:$D,T_IS!F86,'8.0'!$H:$H),0)</f>
        <v>0</v>
      </c>
      <c r="V86" s="1470">
        <f t="shared" si="44"/>
        <v>0</v>
      </c>
      <c r="X86" s="1616">
        <f t="shared" si="45"/>
        <v>3510625687</v>
      </c>
      <c r="Z86" s="1616">
        <f t="shared" si="46"/>
        <v>0</v>
      </c>
      <c r="AA86" s="1616">
        <f t="shared" si="47"/>
        <v>0</v>
      </c>
      <c r="AB86" s="1616">
        <f t="shared" si="48"/>
        <v>0</v>
      </c>
      <c r="AD86" s="1616">
        <f t="shared" si="49"/>
        <v>0</v>
      </c>
      <c r="AE86" s="1616">
        <f t="shared" si="50"/>
        <v>0</v>
      </c>
      <c r="AF86" s="1616">
        <f t="shared" si="51"/>
        <v>0</v>
      </c>
      <c r="AH86" s="1616">
        <f t="shared" si="52"/>
        <v>0</v>
      </c>
      <c r="AI86" s="1616">
        <f t="shared" si="53"/>
        <v>0</v>
      </c>
      <c r="AJ86" s="1616">
        <f t="shared" si="54"/>
        <v>0</v>
      </c>
      <c r="AL86" s="550">
        <v>3510625687</v>
      </c>
      <c r="AM86" s="550">
        <v>3510625687</v>
      </c>
      <c r="AN86" s="550">
        <v>3510625687</v>
      </c>
      <c r="AO86" s="550">
        <v>3510625687</v>
      </c>
      <c r="AP86" s="550">
        <v>3510625687</v>
      </c>
      <c r="AQ86" s="550">
        <v>3510625687</v>
      </c>
      <c r="AR86" s="550">
        <v>3542125687</v>
      </c>
      <c r="AS86" s="550">
        <v>0</v>
      </c>
      <c r="AT86" s="550">
        <v>0</v>
      </c>
      <c r="AU86" s="550">
        <v>0</v>
      </c>
      <c r="AV86" s="550">
        <v>0</v>
      </c>
      <c r="AW86" s="1616">
        <v>0</v>
      </c>
      <c r="AX86" s="509">
        <v>0</v>
      </c>
      <c r="AY86" s="1616">
        <v>0</v>
      </c>
      <c r="AZ86" s="1617">
        <v>0</v>
      </c>
      <c r="BA86" s="1618">
        <v>0</v>
      </c>
    </row>
    <row r="87" spans="1:53" ht="18" customHeight="1">
      <c r="A87" s="509"/>
      <c r="D87" s="1588"/>
      <c r="E87" s="1589"/>
      <c r="F87" s="1627"/>
      <c r="G87" s="1589" t="s">
        <v>333</v>
      </c>
      <c r="H87" s="520">
        <f>SUM(H88:H99)</f>
        <v>4802442949</v>
      </c>
      <c r="I87" s="506">
        <f>SUM(I88:I99)</f>
        <v>57368869</v>
      </c>
      <c r="J87" s="506">
        <f>SUM(J88:J99)</f>
        <v>1748905</v>
      </c>
      <c r="K87" s="506">
        <f>SUM(K88:K99)</f>
        <v>89043835</v>
      </c>
      <c r="L87" s="507">
        <f>SUM(L88:L99)</f>
        <v>4950604558</v>
      </c>
      <c r="N87" s="1628">
        <f t="shared" ref="N87:V87" si="55">SUM(N88:N99)</f>
        <v>0</v>
      </c>
      <c r="O87" s="506">
        <f t="shared" si="55"/>
        <v>0</v>
      </c>
      <c r="P87" s="506">
        <f t="shared" si="55"/>
        <v>-46841095</v>
      </c>
      <c r="Q87" s="506">
        <f t="shared" si="55"/>
        <v>0</v>
      </c>
      <c r="R87" s="506">
        <f t="shared" si="55"/>
        <v>0</v>
      </c>
      <c r="S87" s="506">
        <f t="shared" si="55"/>
        <v>0</v>
      </c>
      <c r="T87" s="506">
        <f t="shared" si="55"/>
        <v>0</v>
      </c>
      <c r="U87" s="506">
        <f t="shared" si="55"/>
        <v>0</v>
      </c>
      <c r="V87" s="1629">
        <f t="shared" si="55"/>
        <v>-46841095</v>
      </c>
      <c r="X87" s="1630">
        <f>SUM(X88:X99)</f>
        <v>4903763463</v>
      </c>
      <c r="Z87" s="1630">
        <f>SUM(Z88:Z99)</f>
        <v>2087136445</v>
      </c>
      <c r="AA87" s="1630">
        <f>SUM(AA88:AA99)</f>
        <v>15303408529</v>
      </c>
      <c r="AB87" s="1630">
        <f>SUM(AB88:AB99)</f>
        <v>-13216272084</v>
      </c>
      <c r="AD87" s="1630">
        <f>SUM(AD88:AD99)</f>
        <v>2087136445</v>
      </c>
      <c r="AE87" s="1630">
        <f>SUM(AE88:AE99)</f>
        <v>-192802437</v>
      </c>
      <c r="AF87" s="1630">
        <f>SUM(AF88:AF99)</f>
        <v>2279938882</v>
      </c>
      <c r="AH87" s="1630">
        <f>SUM(AH88:AH99)</f>
        <v>1513167383</v>
      </c>
      <c r="AI87" s="1630">
        <f>SUM(AI88:AI99)</f>
        <v>363062221</v>
      </c>
      <c r="AJ87" s="1630">
        <f>SUM(AJ88:AJ99)</f>
        <v>1150105162</v>
      </c>
      <c r="AL87" s="1631">
        <v>3390596080</v>
      </c>
      <c r="AM87" s="1631">
        <v>3027533859</v>
      </c>
      <c r="AN87" s="1631">
        <v>2816627018</v>
      </c>
      <c r="AO87" s="1631">
        <v>3065882913</v>
      </c>
      <c r="AP87" s="1631">
        <v>3019597304</v>
      </c>
      <c r="AQ87" s="1631">
        <v>3009429455</v>
      </c>
      <c r="AR87" s="1631">
        <v>933678146</v>
      </c>
      <c r="AS87" s="1631">
        <v>23668309521</v>
      </c>
      <c r="AT87" s="1631">
        <v>8454476540</v>
      </c>
      <c r="AU87" s="1631">
        <v>8364900992</v>
      </c>
      <c r="AV87" s="1631">
        <v>18947959777</v>
      </c>
      <c r="AW87" s="1630">
        <f>SUM(AW88:AW99)</f>
        <v>241245268</v>
      </c>
      <c r="AX87" s="506">
        <f>SUM(AX88:AX99)</f>
        <v>3900339065</v>
      </c>
      <c r="AY87" s="1630">
        <f>SUM(AY88:AY99)</f>
        <v>436783544</v>
      </c>
      <c r="AZ87" s="1630">
        <f>SUM(AZ88:AZ99)</f>
        <v>197830038</v>
      </c>
      <c r="BA87" s="1632">
        <f>SUM(BA88:BA99)</f>
        <v>123547107</v>
      </c>
    </row>
    <row r="88" spans="1:53" ht="18" customHeight="1">
      <c r="A88" s="509"/>
      <c r="D88" s="1593" t="s">
        <v>334</v>
      </c>
      <c r="E88" s="1359" t="s">
        <v>333</v>
      </c>
      <c r="F88" s="1361">
        <v>501</v>
      </c>
      <c r="G88" s="1359" t="s">
        <v>335</v>
      </c>
      <c r="H88" s="498">
        <v>0</v>
      </c>
      <c r="I88" s="498">
        <v>0</v>
      </c>
      <c r="J88" s="710">
        <v>0</v>
      </c>
      <c r="K88" s="710">
        <v>0</v>
      </c>
      <c r="L88" s="510">
        <f t="shared" ref="L88:L99" si="56">SUM(H88:K88)</f>
        <v>0</v>
      </c>
      <c r="N88" s="1468">
        <f>ROUND(SUMIF('1.0'!$D:$D,T_IS!D88,'1.0'!$V:$V),0)</f>
        <v>0</v>
      </c>
      <c r="O88" s="509">
        <f>ROUND(SUMIF('2.0'!$D:$D,T_IS!D88,'2.0'!$V:$V),0)</f>
        <v>0</v>
      </c>
      <c r="P88" s="509">
        <f>ROUND(SUMIF('3.0'!$D:$D,T_IS!D88,'3.0'!$H:$H),0)</f>
        <v>0</v>
      </c>
      <c r="Q88" s="509">
        <f>ROUND(SUMIF('4.0'!$D:$D,T_IS!D88,'4.0'!$V:$V),0)</f>
        <v>0</v>
      </c>
      <c r="R88" s="509">
        <f>ROUND(SUMIF('5.0'!$D:$D,T_IS!D88,'5.0'!$V:$V),0)</f>
        <v>0</v>
      </c>
      <c r="S88" s="509">
        <f>ROUND(SUMIF('6.0'!$D:$D,T_IS!D88,'6.0'!$V:$V),0)</f>
        <v>0</v>
      </c>
      <c r="T88" s="509">
        <f>ROUND(SUMIF('7.0'!$D:$D,T_IS!D88,'7.0'!$V:$V),0)</f>
        <v>0</v>
      </c>
      <c r="U88" s="509">
        <f>ROUND(SUMIF('8.0'!$D:$D,T_IS!F88,'8.0'!$H:$H),0)</f>
        <v>0</v>
      </c>
      <c r="V88" s="1470">
        <f t="shared" ref="V88:V99" si="57">SUM(N88:U88)</f>
        <v>0</v>
      </c>
      <c r="X88" s="1616">
        <f t="shared" ref="X88:X99" si="58">V88+L88</f>
        <v>0</v>
      </c>
      <c r="Z88" s="1616">
        <f t="shared" ref="Z88:Z99" si="59">X88-AN88</f>
        <v>0</v>
      </c>
      <c r="AA88" s="1616">
        <f t="shared" ref="AA88:AA99" si="60">AS88-AU88</f>
        <v>0</v>
      </c>
      <c r="AB88" s="1616">
        <f t="shared" ref="AB88:AB99" si="61">Z88-AA88</f>
        <v>0</v>
      </c>
      <c r="AD88" s="1616">
        <f t="shared" ref="AD88:AD99" si="62">X88-AN88</f>
        <v>0</v>
      </c>
      <c r="AE88" s="1616">
        <f t="shared" ref="AE88:AE99" si="63">AN88-AQ88</f>
        <v>0</v>
      </c>
      <c r="AF88" s="1616">
        <f t="shared" ref="AF88:AF99" si="64">AD88-AE88</f>
        <v>0</v>
      </c>
      <c r="AH88" s="1616">
        <f t="shared" ref="AH88:AH99" si="65">X88-AL88</f>
        <v>0</v>
      </c>
      <c r="AI88" s="1616">
        <f t="shared" ref="AI88:AI99" si="66">AL88-AM88</f>
        <v>0</v>
      </c>
      <c r="AJ88" s="1616">
        <f t="shared" ref="AJ88:AJ99" si="67">AH88-AI88</f>
        <v>0</v>
      </c>
      <c r="AL88" s="550">
        <v>0</v>
      </c>
      <c r="AM88" s="550">
        <v>0</v>
      </c>
      <c r="AN88" s="550">
        <v>0</v>
      </c>
      <c r="AO88" s="550">
        <v>0</v>
      </c>
      <c r="AP88" s="550">
        <v>0</v>
      </c>
      <c r="AQ88" s="550">
        <v>0</v>
      </c>
      <c r="AR88" s="550">
        <v>0</v>
      </c>
      <c r="AS88" s="550">
        <v>0</v>
      </c>
      <c r="AT88" s="550">
        <v>0</v>
      </c>
      <c r="AU88" s="550">
        <v>0</v>
      </c>
      <c r="AV88" s="550">
        <v>0</v>
      </c>
      <c r="AW88" s="1616">
        <v>0</v>
      </c>
      <c r="AX88" s="509">
        <v>0</v>
      </c>
      <c r="AY88" s="1616">
        <v>0</v>
      </c>
      <c r="AZ88" s="1617">
        <v>0</v>
      </c>
      <c r="BA88" s="1618">
        <v>0</v>
      </c>
    </row>
    <row r="89" spans="1:53" ht="18" customHeight="1">
      <c r="A89" s="509"/>
      <c r="D89" s="1633" t="s">
        <v>336</v>
      </c>
      <c r="E89" s="1501" t="s">
        <v>333</v>
      </c>
      <c r="F89" s="1634">
        <v>501</v>
      </c>
      <c r="G89" s="1359" t="s">
        <v>337</v>
      </c>
      <c r="H89" s="498">
        <v>0</v>
      </c>
      <c r="I89" s="498">
        <v>46841095</v>
      </c>
      <c r="J89" s="710">
        <v>0</v>
      </c>
      <c r="K89" s="710">
        <v>0</v>
      </c>
      <c r="L89" s="510">
        <f t="shared" si="56"/>
        <v>46841095</v>
      </c>
      <c r="N89" s="1468">
        <f>ROUND(SUMIF('1.0'!$D:$D,T_IS!D89,'1.0'!$V:$V),0)</f>
        <v>0</v>
      </c>
      <c r="O89" s="509">
        <f>ROUND(SUMIF('2.0'!$D:$D,T_IS!D89,'2.0'!$V:$V),0)</f>
        <v>0</v>
      </c>
      <c r="P89" s="509">
        <f>ROUND(SUMIF('3.0'!$D:$D,T_IS!D89,'3.0'!$H:$H),0)</f>
        <v>-46841095</v>
      </c>
      <c r="Q89" s="509">
        <f>ROUND(SUMIF('4.0'!$D:$D,T_IS!D89,'4.0'!$V:$V),0)</f>
        <v>0</v>
      </c>
      <c r="R89" s="509">
        <f>ROUND(SUMIF('5.0'!$D:$D,T_IS!D89,'5.0'!$V:$V),0)</f>
        <v>0</v>
      </c>
      <c r="S89" s="509">
        <f>ROUND(SUMIF('6.0'!$D:$D,T_IS!D89,'6.0'!$V:$V),0)</f>
        <v>0</v>
      </c>
      <c r="T89" s="509">
        <f>ROUND(SUMIF('7.0'!$D:$D,T_IS!D89,'7.0'!$V:$V),0)</f>
        <v>0</v>
      </c>
      <c r="U89" s="509">
        <f>ROUND(SUMIF('8.0'!$D:$D,T_IS!F89,'8.0'!$H:$H),0)</f>
        <v>0</v>
      </c>
      <c r="V89" s="1470">
        <f t="shared" si="57"/>
        <v>-46841095</v>
      </c>
      <c r="X89" s="1616">
        <f t="shared" si="58"/>
        <v>0</v>
      </c>
      <c r="Z89" s="1616">
        <f t="shared" si="59"/>
        <v>0</v>
      </c>
      <c r="AA89" s="1616">
        <f t="shared" si="60"/>
        <v>0</v>
      </c>
      <c r="AB89" s="1616">
        <f t="shared" si="61"/>
        <v>0</v>
      </c>
      <c r="AD89" s="1616">
        <f t="shared" si="62"/>
        <v>0</v>
      </c>
      <c r="AE89" s="1616">
        <f t="shared" si="63"/>
        <v>0</v>
      </c>
      <c r="AF89" s="1616">
        <f t="shared" si="64"/>
        <v>0</v>
      </c>
      <c r="AH89" s="1616">
        <f t="shared" si="65"/>
        <v>0</v>
      </c>
      <c r="AI89" s="1616">
        <f t="shared" si="66"/>
        <v>0</v>
      </c>
      <c r="AJ89" s="1616">
        <f t="shared" si="67"/>
        <v>0</v>
      </c>
      <c r="AL89" s="550">
        <v>0</v>
      </c>
      <c r="AM89" s="550">
        <v>0</v>
      </c>
      <c r="AN89" s="550">
        <v>0</v>
      </c>
      <c r="AO89" s="550">
        <v>0</v>
      </c>
      <c r="AP89" s="550">
        <v>0</v>
      </c>
      <c r="AQ89" s="550">
        <v>0</v>
      </c>
      <c r="AR89" s="550">
        <v>0</v>
      </c>
      <c r="AS89" s="550">
        <v>0</v>
      </c>
      <c r="AT89" s="550">
        <v>0</v>
      </c>
      <c r="AU89" s="550">
        <v>0</v>
      </c>
      <c r="AV89" s="550">
        <v>0</v>
      </c>
      <c r="AW89" s="1616">
        <v>0</v>
      </c>
      <c r="AX89" s="509">
        <v>0</v>
      </c>
      <c r="AY89" s="1616">
        <v>341958</v>
      </c>
      <c r="AZ89" s="1617">
        <v>290808</v>
      </c>
      <c r="BA89" s="1618">
        <v>145464</v>
      </c>
    </row>
    <row r="90" spans="1:53" ht="18" customHeight="1">
      <c r="A90" s="509"/>
      <c r="D90" s="1633" t="s">
        <v>338</v>
      </c>
      <c r="E90" s="1501" t="s">
        <v>333</v>
      </c>
      <c r="F90" s="1634">
        <v>505</v>
      </c>
      <c r="G90" s="1359" t="s">
        <v>339</v>
      </c>
      <c r="H90" s="498">
        <v>162170996</v>
      </c>
      <c r="I90" s="498">
        <v>10527774</v>
      </c>
      <c r="J90" s="710">
        <v>1208586</v>
      </c>
      <c r="K90" s="710">
        <v>58382811</v>
      </c>
      <c r="L90" s="510">
        <f t="shared" si="56"/>
        <v>232290167</v>
      </c>
      <c r="N90" s="1468">
        <f>ROUND(SUMIF('1.0'!$D:$D,T_IS!D90,'1.0'!$V:$V),0)</f>
        <v>0</v>
      </c>
      <c r="O90" s="509">
        <f>ROUND(SUMIF('2.0'!$D:$D,T_IS!D90,'2.0'!$V:$V),0)</f>
        <v>0</v>
      </c>
      <c r="P90" s="509">
        <f>ROUND(SUMIF('3.0'!$D:$D,T_IS!D90,'3.0'!$H:$H),0)</f>
        <v>0</v>
      </c>
      <c r="Q90" s="509">
        <f>ROUND(SUMIF('4.0'!$D:$D,T_IS!D90,'4.0'!$V:$V),0)</f>
        <v>0</v>
      </c>
      <c r="R90" s="509">
        <f>ROUND(SUMIF('5.0'!$D:$D,T_IS!D90,'5.0'!$V:$V),0)</f>
        <v>0</v>
      </c>
      <c r="S90" s="509">
        <f>ROUND(SUMIF('6.0'!$D:$D,T_IS!D90,'6.0'!$V:$V),0)</f>
        <v>0</v>
      </c>
      <c r="T90" s="509">
        <f>ROUND(SUMIF('7.0'!$D:$D,T_IS!D90,'7.0'!$V:$V),0)</f>
        <v>0</v>
      </c>
      <c r="U90" s="509">
        <f>ROUND(SUMIF('8.0'!$D:$D,T_IS!F90,'8.0'!$H:$H),0)</f>
        <v>0</v>
      </c>
      <c r="V90" s="1470">
        <f t="shared" si="57"/>
        <v>0</v>
      </c>
      <c r="X90" s="1616">
        <f t="shared" si="58"/>
        <v>232290167</v>
      </c>
      <c r="Z90" s="1616">
        <f t="shared" si="59"/>
        <v>36331892</v>
      </c>
      <c r="AA90" s="1616">
        <f t="shared" si="60"/>
        <v>70466237</v>
      </c>
      <c r="AB90" s="1616">
        <f t="shared" si="61"/>
        <v>-34134345</v>
      </c>
      <c r="AD90" s="1616">
        <f t="shared" si="62"/>
        <v>36331892</v>
      </c>
      <c r="AE90" s="1616">
        <f t="shared" si="63"/>
        <v>62837440</v>
      </c>
      <c r="AF90" s="1616">
        <f t="shared" si="64"/>
        <v>-26505548</v>
      </c>
      <c r="AH90" s="1616">
        <f t="shared" si="65"/>
        <v>13926032</v>
      </c>
      <c r="AI90" s="1616">
        <f t="shared" si="66"/>
        <v>15600048</v>
      </c>
      <c r="AJ90" s="1616">
        <f t="shared" si="67"/>
        <v>-1674016</v>
      </c>
      <c r="AL90" s="550">
        <v>218364135</v>
      </c>
      <c r="AM90" s="550">
        <v>202764087</v>
      </c>
      <c r="AN90" s="550">
        <v>195958275</v>
      </c>
      <c r="AO90" s="550">
        <v>176525338</v>
      </c>
      <c r="AP90" s="550">
        <v>155431898</v>
      </c>
      <c r="AQ90" s="550">
        <v>133120835</v>
      </c>
      <c r="AR90" s="550">
        <v>70777018</v>
      </c>
      <c r="AS90" s="550">
        <v>300912198</v>
      </c>
      <c r="AT90" s="550">
        <v>254634747</v>
      </c>
      <c r="AU90" s="550">
        <v>230445961</v>
      </c>
      <c r="AV90" s="550">
        <v>155924169</v>
      </c>
      <c r="AW90" s="1616">
        <v>83985271</v>
      </c>
      <c r="AX90" s="509">
        <v>172075657</v>
      </c>
      <c r="AY90" s="1616">
        <v>124938956</v>
      </c>
      <c r="AZ90" s="1617">
        <v>74217783</v>
      </c>
      <c r="BA90" s="1618">
        <v>40708998</v>
      </c>
    </row>
    <row r="91" spans="1:53" ht="18" customHeight="1">
      <c r="A91" s="509"/>
      <c r="D91" s="1633" t="s">
        <v>1544</v>
      </c>
      <c r="E91" s="1501" t="s">
        <v>333</v>
      </c>
      <c r="F91" s="1634">
        <v>501</v>
      </c>
      <c r="G91" s="1359" t="s">
        <v>387</v>
      </c>
      <c r="H91" s="498">
        <v>0</v>
      </c>
      <c r="I91" s="498">
        <v>0</v>
      </c>
      <c r="J91" s="710">
        <v>0</v>
      </c>
      <c r="K91" s="710">
        <v>0</v>
      </c>
      <c r="L91" s="510">
        <f t="shared" si="56"/>
        <v>0</v>
      </c>
      <c r="N91" s="1468">
        <f>ROUND(SUMIF('1.0'!$D:$D,T_IS!D91,'1.0'!$V:$V),0)</f>
        <v>0</v>
      </c>
      <c r="O91" s="509">
        <f>ROUND(SUMIF('2.0'!$D:$D,T_IS!D91,'2.0'!$V:$V),0)</f>
        <v>0</v>
      </c>
      <c r="P91" s="509">
        <f>ROUND(SUMIF('3.0'!$D:$D,T_IS!D91,'3.0'!$H:$H),0)</f>
        <v>0</v>
      </c>
      <c r="Q91" s="509">
        <f>ROUND(SUMIF('4.0'!$D:$D,T_IS!D91,'4.0'!$V:$V),0)</f>
        <v>0</v>
      </c>
      <c r="R91" s="509">
        <f>ROUND(SUMIF('5.0'!$D:$D,T_IS!D91,'5.0'!$V:$V),0)</f>
        <v>0</v>
      </c>
      <c r="S91" s="509">
        <f>ROUND(SUMIF('6.0'!$D:$D,T_IS!D91,'6.0'!$V:$V),0)</f>
        <v>0</v>
      </c>
      <c r="T91" s="509">
        <f>ROUND(SUMIF('7.0'!$D:$D,T_IS!D91,'7.0'!$V:$V),0)</f>
        <v>0</v>
      </c>
      <c r="U91" s="509">
        <f>ROUND(SUMIF('8.0'!$D:$D,T_IS!F91,'8.0'!$H:$H),0)</f>
        <v>0</v>
      </c>
      <c r="V91" s="1470">
        <f t="shared" si="57"/>
        <v>0</v>
      </c>
      <c r="X91" s="1616">
        <f t="shared" si="58"/>
        <v>0</v>
      </c>
      <c r="Z91" s="1616">
        <f t="shared" si="59"/>
        <v>0</v>
      </c>
      <c r="AA91" s="1616">
        <f t="shared" si="60"/>
        <v>0</v>
      </c>
      <c r="AB91" s="1616">
        <f t="shared" si="61"/>
        <v>0</v>
      </c>
      <c r="AD91" s="1616">
        <f t="shared" si="62"/>
        <v>0</v>
      </c>
      <c r="AE91" s="1616">
        <f t="shared" si="63"/>
        <v>0</v>
      </c>
      <c r="AF91" s="1616">
        <f t="shared" si="64"/>
        <v>0</v>
      </c>
      <c r="AH91" s="1616">
        <f t="shared" si="65"/>
        <v>0</v>
      </c>
      <c r="AI91" s="1616">
        <f t="shared" si="66"/>
        <v>0</v>
      </c>
      <c r="AJ91" s="1616">
        <f t="shared" si="67"/>
        <v>0</v>
      </c>
      <c r="AL91" s="550">
        <v>0</v>
      </c>
      <c r="AM91" s="550">
        <v>0</v>
      </c>
      <c r="AN91" s="550">
        <v>0</v>
      </c>
      <c r="AO91" s="550">
        <v>0</v>
      </c>
      <c r="AP91" s="550">
        <v>0</v>
      </c>
      <c r="AQ91" s="550">
        <v>0</v>
      </c>
      <c r="AR91" s="550">
        <v>0</v>
      </c>
      <c r="AS91" s="550">
        <v>0</v>
      </c>
      <c r="AT91" s="550">
        <v>0</v>
      </c>
      <c r="AU91" s="550">
        <v>0</v>
      </c>
      <c r="AV91" s="550">
        <v>0</v>
      </c>
      <c r="AW91" s="1616">
        <v>0</v>
      </c>
      <c r="AX91" s="509">
        <v>0</v>
      </c>
      <c r="AY91" s="1616">
        <v>0</v>
      </c>
      <c r="AZ91" s="1617">
        <v>0</v>
      </c>
      <c r="BA91" s="1618">
        <v>0</v>
      </c>
    </row>
    <row r="92" spans="1:53" ht="18" customHeight="1">
      <c r="A92" s="509"/>
      <c r="D92" s="1633" t="s">
        <v>340</v>
      </c>
      <c r="E92" s="1501" t="s">
        <v>333</v>
      </c>
      <c r="F92" s="1634">
        <v>502</v>
      </c>
      <c r="G92" s="1359" t="s">
        <v>341</v>
      </c>
      <c r="H92" s="498">
        <v>320351091</v>
      </c>
      <c r="I92" s="498">
        <v>0</v>
      </c>
      <c r="J92" s="710">
        <v>540319</v>
      </c>
      <c r="K92" s="710">
        <v>30661024</v>
      </c>
      <c r="L92" s="510">
        <f t="shared" si="56"/>
        <v>351552434</v>
      </c>
      <c r="N92" s="1468">
        <f>ROUND(SUMIF('1.0'!$D:$D,T_IS!D92,'1.0'!$V:$V),0)</f>
        <v>0</v>
      </c>
      <c r="O92" s="509">
        <f>ROUND(SUMIF('2.0'!$D:$D,T_IS!D92,'2.0'!$V:$V),0)</f>
        <v>0</v>
      </c>
      <c r="P92" s="509">
        <f>ROUND(SUMIF('3.0'!$D:$D,T_IS!D92,'3.0'!$H:$H),0)</f>
        <v>0</v>
      </c>
      <c r="Q92" s="509">
        <f>ROUND(SUMIF('4.0'!$D:$D,T_IS!D92,'4.0'!$V:$V),0)</f>
        <v>0</v>
      </c>
      <c r="R92" s="509">
        <f>ROUND(SUMIF('5.0'!$D:$D,T_IS!D92,'5.0'!$V:$V),0)</f>
        <v>0</v>
      </c>
      <c r="S92" s="509">
        <f>ROUND(SUMIF('6.0'!$D:$D,T_IS!D92,'6.0'!$V:$V),0)</f>
        <v>0</v>
      </c>
      <c r="T92" s="509">
        <f>ROUND(SUMIF('7.0'!$D:$D,T_IS!D92,'7.0'!$V:$V),0)</f>
        <v>0</v>
      </c>
      <c r="U92" s="509">
        <f>ROUND(SUMIF('8.0'!$D:$D,T_IS!F92,'8.0'!$H:$H),0)</f>
        <v>0</v>
      </c>
      <c r="V92" s="1470">
        <f t="shared" si="57"/>
        <v>0</v>
      </c>
      <c r="X92" s="1616">
        <f t="shared" si="58"/>
        <v>351552434</v>
      </c>
      <c r="Z92" s="1616">
        <f t="shared" si="59"/>
        <v>301809005</v>
      </c>
      <c r="AA92" s="1616">
        <f t="shared" si="60"/>
        <v>12459095</v>
      </c>
      <c r="AB92" s="1616">
        <f t="shared" si="61"/>
        <v>289349910</v>
      </c>
      <c r="AD92" s="1616">
        <f t="shared" si="62"/>
        <v>301809005</v>
      </c>
      <c r="AE92" s="1616">
        <f t="shared" si="63"/>
        <v>8472565</v>
      </c>
      <c r="AF92" s="1616">
        <f t="shared" si="64"/>
        <v>293336440</v>
      </c>
      <c r="AH92" s="1616">
        <f t="shared" si="65"/>
        <v>114576280</v>
      </c>
      <c r="AI92" s="1616">
        <f t="shared" si="66"/>
        <v>168967245</v>
      </c>
      <c r="AJ92" s="1616">
        <f t="shared" si="67"/>
        <v>-54390965</v>
      </c>
      <c r="AL92" s="550">
        <v>236976154</v>
      </c>
      <c r="AM92" s="550">
        <v>68008909</v>
      </c>
      <c r="AN92" s="550">
        <v>49743429</v>
      </c>
      <c r="AO92" s="550">
        <v>45908340</v>
      </c>
      <c r="AP92" s="550">
        <v>41414853</v>
      </c>
      <c r="AQ92" s="550">
        <v>41270864</v>
      </c>
      <c r="AR92" s="550">
        <v>13385177</v>
      </c>
      <c r="AS92" s="550">
        <v>79435345</v>
      </c>
      <c r="AT92" s="550">
        <v>71536929</v>
      </c>
      <c r="AU92" s="550">
        <v>66976250</v>
      </c>
      <c r="AV92" s="550">
        <v>62120392</v>
      </c>
      <c r="AW92" s="1616">
        <v>39532259</v>
      </c>
      <c r="AX92" s="509">
        <v>449020504</v>
      </c>
      <c r="AY92" s="1616">
        <v>125948871</v>
      </c>
      <c r="AZ92" s="1617">
        <v>58129472</v>
      </c>
      <c r="BA92" s="1618">
        <v>15345338</v>
      </c>
    </row>
    <row r="93" spans="1:53" ht="18" customHeight="1">
      <c r="A93" s="509"/>
      <c r="D93" s="1633" t="s">
        <v>342</v>
      </c>
      <c r="E93" s="1501" t="s">
        <v>333</v>
      </c>
      <c r="F93" s="1634">
        <v>502</v>
      </c>
      <c r="G93" s="1359" t="s">
        <v>343</v>
      </c>
      <c r="H93" s="498">
        <v>217469931</v>
      </c>
      <c r="I93" s="498">
        <v>0</v>
      </c>
      <c r="J93" s="710">
        <v>0</v>
      </c>
      <c r="K93" s="710">
        <v>0</v>
      </c>
      <c r="L93" s="510">
        <f t="shared" si="56"/>
        <v>217469931</v>
      </c>
      <c r="N93" s="1468">
        <f>ROUND(SUMIF('1.0'!$D:$D,T_IS!D93,'1.0'!$V:$V),0)</f>
        <v>0</v>
      </c>
      <c r="O93" s="509">
        <f>ROUND(SUMIF('2.0'!$D:$D,T_IS!D93,'2.0'!$V:$V),0)</f>
        <v>0</v>
      </c>
      <c r="P93" s="509">
        <f>ROUND(SUMIF('3.0'!$D:$D,T_IS!D93,'3.0'!$H:$H),0)</f>
        <v>0</v>
      </c>
      <c r="Q93" s="509">
        <f>ROUND(SUMIF('4.0'!$D:$D,T_IS!D93,'4.0'!$V:$V),0)</f>
        <v>0</v>
      </c>
      <c r="R93" s="509">
        <f>ROUND(SUMIF('5.0'!$D:$D,T_IS!D93,'5.0'!$V:$V),0)</f>
        <v>0</v>
      </c>
      <c r="S93" s="509">
        <f>ROUND(SUMIF('6.0'!$D:$D,T_IS!D93,'6.0'!$V:$V),0)</f>
        <v>0</v>
      </c>
      <c r="T93" s="509">
        <f>ROUND(SUMIF('7.0'!$D:$D,T_IS!D93,'7.0'!$V:$V),0)</f>
        <v>0</v>
      </c>
      <c r="U93" s="509">
        <f>ROUND(SUMIF('8.0'!$D:$D,T_IS!F93,'8.0'!$H:$H),0)</f>
        <v>0</v>
      </c>
      <c r="V93" s="1470">
        <f t="shared" si="57"/>
        <v>0</v>
      </c>
      <c r="X93" s="1616">
        <f t="shared" si="58"/>
        <v>217469931</v>
      </c>
      <c r="Z93" s="1616">
        <f t="shared" si="59"/>
        <v>143919621</v>
      </c>
      <c r="AA93" s="1616">
        <f t="shared" si="60"/>
        <v>15771914</v>
      </c>
      <c r="AB93" s="1616">
        <f t="shared" si="61"/>
        <v>128147707</v>
      </c>
      <c r="AD93" s="1616">
        <f t="shared" si="62"/>
        <v>143919621</v>
      </c>
      <c r="AE93" s="1616">
        <f t="shared" si="63"/>
        <v>70691733</v>
      </c>
      <c r="AF93" s="1616">
        <f t="shared" si="64"/>
        <v>73227888</v>
      </c>
      <c r="AH93" s="1616">
        <f t="shared" si="65"/>
        <v>43895712</v>
      </c>
      <c r="AI93" s="1616">
        <f t="shared" si="66"/>
        <v>28808225</v>
      </c>
      <c r="AJ93" s="1616">
        <f t="shared" si="67"/>
        <v>15087487</v>
      </c>
      <c r="AL93" s="550">
        <v>173574219</v>
      </c>
      <c r="AM93" s="550">
        <v>144765994</v>
      </c>
      <c r="AN93" s="550">
        <v>73550310</v>
      </c>
      <c r="AO93" s="550">
        <v>57475280</v>
      </c>
      <c r="AP93" s="550">
        <v>31854641</v>
      </c>
      <c r="AQ93" s="550">
        <v>2858577</v>
      </c>
      <c r="AR93" s="550">
        <v>1136362</v>
      </c>
      <c r="AS93" s="550">
        <v>82791665</v>
      </c>
      <c r="AT93" s="550">
        <v>70449580</v>
      </c>
      <c r="AU93" s="550">
        <v>67019751</v>
      </c>
      <c r="AV93" s="550">
        <v>58781734</v>
      </c>
      <c r="AW93" s="1616">
        <v>49330912</v>
      </c>
      <c r="AX93" s="509">
        <v>112259037</v>
      </c>
      <c r="AY93" s="1616">
        <v>40527456</v>
      </c>
      <c r="AZ93" s="1617">
        <v>22023337</v>
      </c>
      <c r="BA93" s="1618">
        <v>11858852</v>
      </c>
    </row>
    <row r="94" spans="1:53" ht="18" customHeight="1">
      <c r="A94" s="509"/>
      <c r="D94" s="1633" t="s">
        <v>344</v>
      </c>
      <c r="E94" s="1501" t="s">
        <v>333</v>
      </c>
      <c r="F94" s="1634">
        <v>502</v>
      </c>
      <c r="G94" s="1359" t="s">
        <v>345</v>
      </c>
      <c r="H94" s="498">
        <v>0</v>
      </c>
      <c r="I94" s="498">
        <v>0</v>
      </c>
      <c r="J94" s="710">
        <v>0</v>
      </c>
      <c r="K94" s="710">
        <v>0</v>
      </c>
      <c r="L94" s="510">
        <f t="shared" si="56"/>
        <v>0</v>
      </c>
      <c r="N94" s="1468">
        <f>ROUND(SUMIF('1.0'!$D:$D,T_IS!D94,'1.0'!$V:$V),0)</f>
        <v>0</v>
      </c>
      <c r="O94" s="509">
        <f>ROUND(SUMIF('2.0'!$D:$D,T_IS!D94,'2.0'!$V:$V),0)</f>
        <v>0</v>
      </c>
      <c r="P94" s="509">
        <f>ROUND(SUMIF('3.0'!$D:$D,T_IS!D94,'3.0'!$H:$H),0)</f>
        <v>0</v>
      </c>
      <c r="Q94" s="509">
        <f>ROUND(SUMIF('4.0'!$D:$D,T_IS!D94,'4.0'!$V:$V),0)</f>
        <v>0</v>
      </c>
      <c r="R94" s="509">
        <f>ROUND(SUMIF('5.0'!$D:$D,T_IS!D94,'5.0'!$V:$V),0)</f>
        <v>0</v>
      </c>
      <c r="S94" s="509">
        <f>ROUND(SUMIF('6.0'!$D:$D,T_IS!D94,'6.0'!$V:$V),0)</f>
        <v>0</v>
      </c>
      <c r="T94" s="509">
        <f>ROUND(SUMIF('7.0'!$D:$D,T_IS!D94,'7.0'!$V:$V),0)</f>
        <v>0</v>
      </c>
      <c r="U94" s="509">
        <f>ROUND(SUMIF('8.0'!$D:$D,T_IS!F94,'8.0'!$H:$H),0)</f>
        <v>0</v>
      </c>
      <c r="V94" s="1470">
        <f t="shared" si="57"/>
        <v>0</v>
      </c>
      <c r="X94" s="1616">
        <f t="shared" si="58"/>
        <v>0</v>
      </c>
      <c r="Z94" s="1616">
        <f t="shared" si="59"/>
        <v>0</v>
      </c>
      <c r="AA94" s="1616">
        <f t="shared" si="60"/>
        <v>0</v>
      </c>
      <c r="AB94" s="1616">
        <f t="shared" si="61"/>
        <v>0</v>
      </c>
      <c r="AD94" s="1616">
        <f t="shared" si="62"/>
        <v>0</v>
      </c>
      <c r="AE94" s="1616">
        <f t="shared" si="63"/>
        <v>0</v>
      </c>
      <c r="AF94" s="1616">
        <f t="shared" si="64"/>
        <v>0</v>
      </c>
      <c r="AH94" s="1616">
        <f t="shared" si="65"/>
        <v>0</v>
      </c>
      <c r="AI94" s="1616">
        <f t="shared" si="66"/>
        <v>0</v>
      </c>
      <c r="AJ94" s="1616">
        <f t="shared" si="67"/>
        <v>0</v>
      </c>
      <c r="AL94" s="550">
        <v>0</v>
      </c>
      <c r="AM94" s="550">
        <v>0</v>
      </c>
      <c r="AN94" s="550">
        <v>0</v>
      </c>
      <c r="AO94" s="550">
        <v>0</v>
      </c>
      <c r="AP94" s="550">
        <v>0</v>
      </c>
      <c r="AQ94" s="550">
        <v>0</v>
      </c>
      <c r="AR94" s="550">
        <v>0</v>
      </c>
      <c r="AS94" s="550">
        <v>0</v>
      </c>
      <c r="AT94" s="550">
        <v>0</v>
      </c>
      <c r="AU94" s="550">
        <v>0</v>
      </c>
      <c r="AV94" s="550">
        <v>546416</v>
      </c>
      <c r="AW94" s="1616">
        <v>0</v>
      </c>
      <c r="AX94" s="509">
        <v>0</v>
      </c>
      <c r="AY94" s="1616">
        <v>0</v>
      </c>
      <c r="AZ94" s="1617">
        <v>0</v>
      </c>
      <c r="BA94" s="1618">
        <v>0</v>
      </c>
    </row>
    <row r="95" spans="1:53" ht="18" customHeight="1">
      <c r="A95" s="509"/>
      <c r="D95" s="1633" t="s">
        <v>346</v>
      </c>
      <c r="E95" s="1501" t="s">
        <v>333</v>
      </c>
      <c r="F95" s="1634">
        <v>503</v>
      </c>
      <c r="G95" s="1359" t="s">
        <v>347</v>
      </c>
      <c r="H95" s="498">
        <v>418651008</v>
      </c>
      <c r="I95" s="498">
        <v>0</v>
      </c>
      <c r="J95" s="710">
        <v>0</v>
      </c>
      <c r="K95" s="710">
        <v>0</v>
      </c>
      <c r="L95" s="510">
        <f t="shared" si="56"/>
        <v>418651008</v>
      </c>
      <c r="N95" s="1468">
        <f>ROUND(SUMIF('1.0'!$D:$D,T_IS!D95,'1.0'!$V:$V),0)</f>
        <v>0</v>
      </c>
      <c r="O95" s="509">
        <f>ROUND(SUMIF('2.0'!$D:$D,T_IS!D95,'2.0'!$V:$V),0)</f>
        <v>0</v>
      </c>
      <c r="P95" s="509">
        <f>ROUND(SUMIF('3.0'!$D:$D,T_IS!D95,'3.0'!$H:$H),0)</f>
        <v>0</v>
      </c>
      <c r="Q95" s="509">
        <f>ROUND(SUMIF('4.0'!$D:$D,T_IS!D95,'4.0'!$V:$V),0)</f>
        <v>0</v>
      </c>
      <c r="R95" s="509">
        <f>ROUND(SUMIF('5.0'!$D:$D,T_IS!D95,'5.0'!$V:$V),0)</f>
        <v>0</v>
      </c>
      <c r="S95" s="509">
        <f>ROUND(SUMIF('6.0'!$D:$D,T_IS!D95,'6.0'!$V:$V),0)</f>
        <v>0</v>
      </c>
      <c r="T95" s="509">
        <f>ROUND(SUMIF('7.0'!$D:$D,T_IS!D95,'7.0'!$V:$V),0)</f>
        <v>0</v>
      </c>
      <c r="U95" s="509">
        <f>ROUND(SUMIF('8.0'!$D:$D,T_IS!F95,'8.0'!$H:$H),0)</f>
        <v>0</v>
      </c>
      <c r="V95" s="1470">
        <f t="shared" si="57"/>
        <v>0</v>
      </c>
      <c r="X95" s="1616">
        <f t="shared" si="58"/>
        <v>418651008</v>
      </c>
      <c r="Z95" s="1616">
        <f t="shared" si="59"/>
        <v>357316746</v>
      </c>
      <c r="AA95" s="1616">
        <f t="shared" si="60"/>
        <v>55886162</v>
      </c>
      <c r="AB95" s="1616">
        <f t="shared" si="61"/>
        <v>301430584</v>
      </c>
      <c r="AD95" s="1616">
        <f t="shared" si="62"/>
        <v>357316746</v>
      </c>
      <c r="AE95" s="1616">
        <f t="shared" si="63"/>
        <v>-120306149</v>
      </c>
      <c r="AF95" s="1616">
        <f t="shared" si="64"/>
        <v>477622895</v>
      </c>
      <c r="AH95" s="1616">
        <f t="shared" si="65"/>
        <v>55243375</v>
      </c>
      <c r="AI95" s="1616">
        <f t="shared" si="66"/>
        <v>194532229</v>
      </c>
      <c r="AJ95" s="1616">
        <f t="shared" si="67"/>
        <v>-139288854</v>
      </c>
      <c r="AL95" s="550">
        <v>363407633</v>
      </c>
      <c r="AM95" s="550">
        <v>168875404</v>
      </c>
      <c r="AN95" s="550">
        <v>61334262</v>
      </c>
      <c r="AO95" s="550">
        <v>122801281</v>
      </c>
      <c r="AP95" s="550">
        <v>123718602</v>
      </c>
      <c r="AQ95" s="550">
        <v>181640411</v>
      </c>
      <c r="AR95" s="550">
        <v>82719614</v>
      </c>
      <c r="AS95" s="550">
        <v>55888254</v>
      </c>
      <c r="AT95" s="550">
        <v>59592409</v>
      </c>
      <c r="AU95" s="550">
        <v>2092</v>
      </c>
      <c r="AV95" s="550">
        <v>63958516</v>
      </c>
      <c r="AW95" s="1616">
        <v>53748118</v>
      </c>
      <c r="AX95" s="509">
        <v>2168042128</v>
      </c>
      <c r="AY95" s="1616">
        <v>140274238</v>
      </c>
      <c r="AZ95" s="1617">
        <v>23576173</v>
      </c>
      <c r="BA95" s="1618">
        <v>4442377</v>
      </c>
    </row>
    <row r="96" spans="1:53" ht="18" customHeight="1">
      <c r="A96" s="509"/>
      <c r="D96" s="1633" t="s">
        <v>348</v>
      </c>
      <c r="E96" s="1501" t="s">
        <v>333</v>
      </c>
      <c r="F96" s="1634">
        <v>503</v>
      </c>
      <c r="G96" s="1359" t="s">
        <v>349</v>
      </c>
      <c r="H96" s="498">
        <v>321193</v>
      </c>
      <c r="I96" s="498">
        <v>0</v>
      </c>
      <c r="J96" s="710">
        <v>0</v>
      </c>
      <c r="K96" s="710">
        <v>0</v>
      </c>
      <c r="L96" s="510">
        <f t="shared" si="56"/>
        <v>321193</v>
      </c>
      <c r="N96" s="1468">
        <f>ROUND(SUMIF('1.0'!$D:$D,T_IS!D96,'1.0'!$V:$V),0)</f>
        <v>0</v>
      </c>
      <c r="O96" s="509">
        <f>ROUND(SUMIF('2.0'!$D:$D,T_IS!D96,'2.0'!$V:$V),0)</f>
        <v>0</v>
      </c>
      <c r="P96" s="509">
        <f>ROUND(SUMIF('3.0'!$D:$D,T_IS!D96,'3.0'!$H:$H),0)</f>
        <v>0</v>
      </c>
      <c r="Q96" s="509">
        <f>ROUND(SUMIF('4.0'!$D:$D,T_IS!D96,'4.0'!$V:$V),0)</f>
        <v>0</v>
      </c>
      <c r="R96" s="509">
        <f>ROUND(SUMIF('5.0'!$D:$D,T_IS!D96,'5.0'!$V:$V),0)</f>
        <v>0</v>
      </c>
      <c r="S96" s="509">
        <f>ROUND(SUMIF('6.0'!$D:$D,T_IS!D96,'6.0'!$V:$V),0)</f>
        <v>0</v>
      </c>
      <c r="T96" s="509">
        <f>ROUND(SUMIF('7.0'!$D:$D,T_IS!D96,'7.0'!$V:$V),0)</f>
        <v>0</v>
      </c>
      <c r="U96" s="509">
        <f>ROUND(SUMIF('8.0'!$D:$D,T_IS!F96,'8.0'!$H:$H),0)</f>
        <v>0</v>
      </c>
      <c r="V96" s="1470">
        <f t="shared" si="57"/>
        <v>0</v>
      </c>
      <c r="X96" s="1616">
        <f t="shared" si="58"/>
        <v>321193</v>
      </c>
      <c r="Z96" s="1616">
        <f t="shared" si="59"/>
        <v>-41701349</v>
      </c>
      <c r="AA96" s="1616">
        <f t="shared" si="60"/>
        <v>-1257104</v>
      </c>
      <c r="AB96" s="1616">
        <f t="shared" si="61"/>
        <v>-40444245</v>
      </c>
      <c r="AD96" s="1616">
        <f t="shared" si="62"/>
        <v>-41701349</v>
      </c>
      <c r="AE96" s="1616">
        <f t="shared" si="63"/>
        <v>40602274</v>
      </c>
      <c r="AF96" s="1616">
        <f t="shared" si="64"/>
        <v>-82303623</v>
      </c>
      <c r="AH96" s="1616">
        <f t="shared" si="65"/>
        <v>-3934546</v>
      </c>
      <c r="AI96" s="1616">
        <f t="shared" si="66"/>
        <v>-44845526</v>
      </c>
      <c r="AJ96" s="1616">
        <f t="shared" si="67"/>
        <v>40910980</v>
      </c>
      <c r="AL96" s="550">
        <v>4255739</v>
      </c>
      <c r="AM96" s="550">
        <v>49101265</v>
      </c>
      <c r="AN96" s="550">
        <v>42022542</v>
      </c>
      <c r="AO96" s="550">
        <v>14054174</v>
      </c>
      <c r="AP96" s="550">
        <v>18058810</v>
      </c>
      <c r="AQ96" s="550">
        <v>1420268</v>
      </c>
      <c r="AR96" s="550">
        <v>359075</v>
      </c>
      <c r="AS96" s="550">
        <v>3904774</v>
      </c>
      <c r="AT96" s="550">
        <v>2967815</v>
      </c>
      <c r="AU96" s="550">
        <v>5161878</v>
      </c>
      <c r="AV96" s="550">
        <v>6515582</v>
      </c>
      <c r="AW96" s="1616">
        <v>14648708</v>
      </c>
      <c r="AX96" s="509">
        <v>2582056</v>
      </c>
      <c r="AY96" s="1616">
        <v>4752065</v>
      </c>
      <c r="AZ96" s="1617">
        <v>19592465</v>
      </c>
      <c r="BA96" s="1618">
        <v>51046078</v>
      </c>
    </row>
    <row r="97" spans="1:53" ht="18" customHeight="1">
      <c r="A97" s="509"/>
      <c r="D97" s="1633" t="s">
        <v>2024</v>
      </c>
      <c r="E97" s="1501" t="s">
        <v>333</v>
      </c>
      <c r="F97" s="1634">
        <v>504</v>
      </c>
      <c r="G97" s="1359" t="s">
        <v>351</v>
      </c>
      <c r="H97" s="498">
        <v>3683478730</v>
      </c>
      <c r="I97" s="498">
        <v>0</v>
      </c>
      <c r="J97" s="710">
        <v>0</v>
      </c>
      <c r="K97" s="710">
        <v>0</v>
      </c>
      <c r="L97" s="510">
        <f t="shared" si="56"/>
        <v>3683478730</v>
      </c>
      <c r="N97" s="1468">
        <f>ROUND(SUMIF('1.0'!$D:$D,T_IS!D97,'1.0'!$V:$V),0)</f>
        <v>0</v>
      </c>
      <c r="O97" s="509">
        <f>ROUND(SUMIF('2.0'!$D:$D,T_IS!D97,'2.0'!$V:$V),0)</f>
        <v>0</v>
      </c>
      <c r="P97" s="509">
        <f>ROUND(SUMIF('3.0'!$D:$D,T_IS!D97,'3.0'!$H:$H),0)</f>
        <v>0</v>
      </c>
      <c r="Q97" s="509">
        <f>ROUND(SUMIF('4.0'!$D:$D,T_IS!D97,'4.0'!$V:$V),0)</f>
        <v>0</v>
      </c>
      <c r="R97" s="509">
        <f>ROUND(SUMIF('5.0'!$D:$D,T_IS!D97,'5.0'!$V:$V),0)</f>
        <v>0</v>
      </c>
      <c r="S97" s="509">
        <f>ROUND(SUMIF('6.0'!$D:$D,T_IS!D97,'6.0'!$V:$V),0)</f>
        <v>0</v>
      </c>
      <c r="T97" s="509">
        <f>ROUND(SUMIF('7.0'!$D:$D,T_IS!D97,'7.0'!$V:$V),0)</f>
        <v>0</v>
      </c>
      <c r="U97" s="509">
        <f>ROUND(SUMIF('8.0'!$D:$D,T_IS!F97,'8.0'!$H:$H),0)</f>
        <v>0</v>
      </c>
      <c r="V97" s="1470">
        <f t="shared" si="57"/>
        <v>0</v>
      </c>
      <c r="X97" s="1616">
        <f t="shared" si="58"/>
        <v>3683478730</v>
      </c>
      <c r="Z97" s="1616">
        <f t="shared" si="59"/>
        <v>1289460530</v>
      </c>
      <c r="AA97" s="1616">
        <f t="shared" si="60"/>
        <v>0</v>
      </c>
      <c r="AB97" s="1616">
        <f t="shared" si="61"/>
        <v>1289460530</v>
      </c>
      <c r="AD97" s="1616">
        <f t="shared" si="62"/>
        <v>1289460530</v>
      </c>
      <c r="AE97" s="1616">
        <f t="shared" si="63"/>
        <v>-255100300</v>
      </c>
      <c r="AF97" s="1616">
        <f t="shared" si="64"/>
        <v>1544560830</v>
      </c>
      <c r="AH97" s="1616">
        <f t="shared" si="65"/>
        <v>1289460530</v>
      </c>
      <c r="AI97" s="1616">
        <f t="shared" si="66"/>
        <v>0</v>
      </c>
      <c r="AJ97" s="1616">
        <f t="shared" si="67"/>
        <v>1289460530</v>
      </c>
      <c r="AL97" s="550">
        <v>2394018200</v>
      </c>
      <c r="AM97" s="550">
        <v>2394018200</v>
      </c>
      <c r="AN97" s="550">
        <v>2394018200</v>
      </c>
      <c r="AO97" s="550">
        <v>2649118500</v>
      </c>
      <c r="AP97" s="550">
        <v>2649118500</v>
      </c>
      <c r="AQ97" s="550">
        <v>2649118500</v>
      </c>
      <c r="AR97" s="550">
        <v>765300900</v>
      </c>
      <c r="AS97" s="550">
        <v>0</v>
      </c>
      <c r="AT97" s="550">
        <v>0</v>
      </c>
      <c r="AU97" s="550">
        <v>0</v>
      </c>
      <c r="AV97" s="550">
        <v>0</v>
      </c>
      <c r="AW97" s="1616">
        <v>0</v>
      </c>
      <c r="AX97" s="509">
        <v>996359683</v>
      </c>
      <c r="AY97" s="1616">
        <v>0</v>
      </c>
      <c r="AZ97" s="1617">
        <v>0</v>
      </c>
      <c r="BA97" s="1618">
        <v>0</v>
      </c>
    </row>
    <row r="98" spans="1:53" ht="18" customHeight="1">
      <c r="A98" s="509"/>
      <c r="D98" s="1635">
        <v>734000</v>
      </c>
      <c r="E98" s="1540" t="s">
        <v>333</v>
      </c>
      <c r="F98" s="1634">
        <v>710</v>
      </c>
      <c r="G98" s="1427" t="s">
        <v>2201</v>
      </c>
      <c r="H98" s="498">
        <v>0</v>
      </c>
      <c r="I98" s="498">
        <v>0</v>
      </c>
      <c r="J98" s="710">
        <v>0</v>
      </c>
      <c r="K98" s="710">
        <v>0</v>
      </c>
      <c r="L98" s="510">
        <f t="shared" si="56"/>
        <v>0</v>
      </c>
      <c r="N98" s="1468">
        <f>ROUND(SUMIF('1.0'!$D:$D,T_IS!D98,'1.0'!$V:$V),0)</f>
        <v>0</v>
      </c>
      <c r="O98" s="509">
        <f>ROUND(SUMIF('2.0'!$D:$D,T_IS!D98,'2.0'!$V:$V),0)</f>
        <v>0</v>
      </c>
      <c r="P98" s="509">
        <f>ROUND(SUMIF('3.0'!$D:$D,T_IS!D98,'3.0'!$H:$H),0)</f>
        <v>0</v>
      </c>
      <c r="Q98" s="509">
        <f>ROUND(SUMIF('4.0'!$D:$D,T_IS!D98,'4.0'!$V:$V),0)</f>
        <v>0</v>
      </c>
      <c r="R98" s="509">
        <f>ROUND(SUMIF('5.0'!$D:$D,T_IS!D98,'5.0'!$V:$V),0)</f>
        <v>0</v>
      </c>
      <c r="S98" s="509">
        <f>ROUND(SUMIF('6.0'!$D:$D,T_IS!D98,'6.0'!$V:$V),0)</f>
        <v>0</v>
      </c>
      <c r="T98" s="509">
        <f>ROUND(SUMIF('7.0'!$D:$D,T_IS!D98,'7.0'!$V:$V),0)</f>
        <v>0</v>
      </c>
      <c r="U98" s="509">
        <f>ROUND(SUMIF('8.0'!$D:$D,T_IS!F98,'8.0'!$H:$H),0)</f>
        <v>0</v>
      </c>
      <c r="V98" s="1470">
        <f t="shared" si="57"/>
        <v>0</v>
      </c>
      <c r="X98" s="1616">
        <f t="shared" si="58"/>
        <v>0</v>
      </c>
      <c r="Z98" s="1616">
        <f t="shared" si="59"/>
        <v>0</v>
      </c>
      <c r="AA98" s="1616">
        <f t="shared" si="60"/>
        <v>15150082225</v>
      </c>
      <c r="AB98" s="1616">
        <f t="shared" si="61"/>
        <v>-15150082225</v>
      </c>
      <c r="AD98" s="1616">
        <f t="shared" si="62"/>
        <v>0</v>
      </c>
      <c r="AE98" s="1616">
        <f t="shared" si="63"/>
        <v>0</v>
      </c>
      <c r="AF98" s="1616">
        <f t="shared" si="64"/>
        <v>0</v>
      </c>
      <c r="AH98" s="1616">
        <f t="shared" si="65"/>
        <v>0</v>
      </c>
      <c r="AI98" s="1616">
        <f t="shared" si="66"/>
        <v>0</v>
      </c>
      <c r="AJ98" s="1616">
        <f t="shared" si="67"/>
        <v>0</v>
      </c>
      <c r="AL98" s="550">
        <v>0</v>
      </c>
      <c r="AM98" s="550">
        <v>0</v>
      </c>
      <c r="AN98" s="550">
        <v>0</v>
      </c>
      <c r="AO98" s="550">
        <v>0</v>
      </c>
      <c r="AP98" s="550">
        <v>0</v>
      </c>
      <c r="AQ98" s="550">
        <v>0</v>
      </c>
      <c r="AR98" s="550">
        <v>0</v>
      </c>
      <c r="AS98" s="550">
        <v>23145377285</v>
      </c>
      <c r="AT98" s="550">
        <v>7995295060</v>
      </c>
      <c r="AU98" s="550">
        <v>7995295060</v>
      </c>
      <c r="AV98" s="550">
        <v>18600112968</v>
      </c>
      <c r="AW98" s="1616">
        <v>0</v>
      </c>
      <c r="AX98" s="509">
        <v>0</v>
      </c>
      <c r="AY98" s="1616">
        <v>0</v>
      </c>
      <c r="AZ98" s="1617">
        <v>0</v>
      </c>
      <c r="BA98" s="1618">
        <v>0</v>
      </c>
    </row>
    <row r="99" spans="1:53" ht="18" customHeight="1">
      <c r="A99" s="509"/>
      <c r="D99" s="1633" t="s">
        <v>352</v>
      </c>
      <c r="E99" s="1501" t="s">
        <v>333</v>
      </c>
      <c r="F99" s="1634" t="s">
        <v>611</v>
      </c>
      <c r="G99" s="1359" t="s">
        <v>353</v>
      </c>
      <c r="H99" s="498">
        <v>0</v>
      </c>
      <c r="I99" s="498">
        <v>0</v>
      </c>
      <c r="J99" s="710">
        <v>0</v>
      </c>
      <c r="K99" s="710">
        <v>0</v>
      </c>
      <c r="L99" s="510">
        <f t="shared" si="56"/>
        <v>0</v>
      </c>
      <c r="N99" s="1468">
        <f>ROUND(SUMIF('1.0'!$D:$D,T_IS!D99,'1.0'!$V:$V),0)</f>
        <v>0</v>
      </c>
      <c r="O99" s="509">
        <f>ROUND(SUMIF('2.0'!$D:$D,T_IS!D99,'2.0'!$V:$V),0)</f>
        <v>0</v>
      </c>
      <c r="P99" s="509">
        <f>ROUND(SUMIF('3.0'!$D:$D,T_IS!D99,'3.0'!$H:$H),0)</f>
        <v>0</v>
      </c>
      <c r="Q99" s="509">
        <f>ROUND(SUMIF('4.0'!$D:$D,T_IS!D99,'4.0'!$V:$V),0)</f>
        <v>0</v>
      </c>
      <c r="R99" s="509">
        <f>ROUND(SUMIF('5.0'!$D:$D,T_IS!D99,'5.0'!$V:$V),0)</f>
        <v>0</v>
      </c>
      <c r="S99" s="509">
        <f>ROUND(SUMIF('6.0'!$D:$D,T_IS!D99,'6.0'!$V:$V),0)</f>
        <v>0</v>
      </c>
      <c r="T99" s="509">
        <f>ROUND(SUMIF('7.0'!$D:$D,T_IS!D99,'7.0'!$V:$V),0)</f>
        <v>0</v>
      </c>
      <c r="U99" s="509">
        <f>ROUND(SUMIF('8.0'!$D:$D,T_IS!F99,'8.0'!$H:$H),0)</f>
        <v>0</v>
      </c>
      <c r="V99" s="1470">
        <f t="shared" si="57"/>
        <v>0</v>
      </c>
      <c r="X99" s="1616">
        <f t="shared" si="58"/>
        <v>0</v>
      </c>
      <c r="Z99" s="1616">
        <f t="shared" si="59"/>
        <v>0</v>
      </c>
      <c r="AA99" s="1616">
        <f t="shared" si="60"/>
        <v>0</v>
      </c>
      <c r="AB99" s="1616">
        <f t="shared" si="61"/>
        <v>0</v>
      </c>
      <c r="AD99" s="1616">
        <f t="shared" si="62"/>
        <v>0</v>
      </c>
      <c r="AE99" s="1616">
        <f t="shared" si="63"/>
        <v>0</v>
      </c>
      <c r="AF99" s="1616">
        <f t="shared" si="64"/>
        <v>0</v>
      </c>
      <c r="AH99" s="1616">
        <f t="shared" si="65"/>
        <v>0</v>
      </c>
      <c r="AI99" s="1616">
        <f t="shared" si="66"/>
        <v>0</v>
      </c>
      <c r="AJ99" s="1616">
        <f t="shared" si="67"/>
        <v>0</v>
      </c>
      <c r="AL99" s="550">
        <v>0</v>
      </c>
      <c r="AM99" s="550">
        <v>0</v>
      </c>
      <c r="AN99" s="550">
        <v>0</v>
      </c>
      <c r="AO99" s="550">
        <v>0</v>
      </c>
      <c r="AP99" s="550">
        <v>0</v>
      </c>
      <c r="AQ99" s="550">
        <v>0</v>
      </c>
      <c r="AR99" s="550">
        <v>0</v>
      </c>
      <c r="AS99" s="550">
        <v>0</v>
      </c>
      <c r="AT99" s="550">
        <v>0</v>
      </c>
      <c r="AU99" s="550">
        <v>0</v>
      </c>
      <c r="AV99" s="550">
        <v>0</v>
      </c>
      <c r="AW99" s="1616">
        <v>0</v>
      </c>
      <c r="AX99" s="509">
        <v>0</v>
      </c>
      <c r="AY99" s="1616">
        <v>0</v>
      </c>
      <c r="AZ99" s="1617">
        <v>0</v>
      </c>
      <c r="BA99" s="1618">
        <v>0</v>
      </c>
    </row>
    <row r="100" spans="1:53" ht="18" customHeight="1">
      <c r="A100" s="509"/>
      <c r="D100" s="1588"/>
      <c r="E100" s="1589"/>
      <c r="F100" s="1627"/>
      <c r="G100" s="1589" t="s">
        <v>354</v>
      </c>
      <c r="H100" s="520">
        <f>SUM(H101:H106)</f>
        <v>2835089848</v>
      </c>
      <c r="I100" s="506">
        <f>SUM(I101:I106)</f>
        <v>1947228</v>
      </c>
      <c r="J100" s="506">
        <f>SUM(J101:J106)</f>
        <v>170165488</v>
      </c>
      <c r="K100" s="506">
        <f>SUM(K101:K106)</f>
        <v>26620207</v>
      </c>
      <c r="L100" s="507">
        <f>SUM(L101:L106)</f>
        <v>3033822771</v>
      </c>
      <c r="N100" s="1628">
        <f t="shared" ref="N100:U100" si="68">SUM(N101:N106)</f>
        <v>0</v>
      </c>
      <c r="O100" s="506">
        <f t="shared" si="68"/>
        <v>0</v>
      </c>
      <c r="P100" s="506">
        <f t="shared" si="68"/>
        <v>-1571199645</v>
      </c>
      <c r="Q100" s="506">
        <f t="shared" si="68"/>
        <v>0</v>
      </c>
      <c r="R100" s="506">
        <f t="shared" si="68"/>
        <v>0</v>
      </c>
      <c r="S100" s="506">
        <f t="shared" si="68"/>
        <v>0</v>
      </c>
      <c r="T100" s="506">
        <f t="shared" si="68"/>
        <v>0</v>
      </c>
      <c r="U100" s="506">
        <f t="shared" si="68"/>
        <v>0</v>
      </c>
      <c r="V100" s="1629">
        <f>SUM(V101:V106)</f>
        <v>-1571199645</v>
      </c>
      <c r="X100" s="1630">
        <f>SUM(X101:X106)</f>
        <v>1462623126</v>
      </c>
      <c r="Z100" s="1630">
        <f>SUM(Z101:Z106)</f>
        <v>295237894</v>
      </c>
      <c r="AA100" s="1630">
        <f>SUM(AA101:AA106)</f>
        <v>12599634</v>
      </c>
      <c r="AB100" s="1630">
        <f>SUM(AB101:AB106)</f>
        <v>282638260</v>
      </c>
      <c r="AD100" s="1630">
        <f>SUM(AD101:AD106)</f>
        <v>295237894</v>
      </c>
      <c r="AE100" s="1630">
        <f>SUM(AE101:AE106)</f>
        <v>810443151</v>
      </c>
      <c r="AF100" s="1630">
        <f>SUM(AF101:AF106)</f>
        <v>-515205257</v>
      </c>
      <c r="AH100" s="1630">
        <f>SUM(AH101:AH106)</f>
        <v>176361669</v>
      </c>
      <c r="AI100" s="1630">
        <f>SUM(AI101:AI106)</f>
        <v>1567409</v>
      </c>
      <c r="AJ100" s="1630">
        <f>SUM(AJ101:AJ106)</f>
        <v>174794260</v>
      </c>
      <c r="AL100" s="1631">
        <v>1286261457</v>
      </c>
      <c r="AM100" s="1631">
        <v>1284694048</v>
      </c>
      <c r="AN100" s="1631">
        <v>1167385232</v>
      </c>
      <c r="AO100" s="1631">
        <v>1061942830</v>
      </c>
      <c r="AP100" s="1631">
        <v>1057092303</v>
      </c>
      <c r="AQ100" s="1631">
        <v>356942081</v>
      </c>
      <c r="AR100" s="1631">
        <v>53324313</v>
      </c>
      <c r="AS100" s="1631">
        <v>67577330</v>
      </c>
      <c r="AT100" s="1631">
        <v>66129175</v>
      </c>
      <c r="AU100" s="1631">
        <v>54977696</v>
      </c>
      <c r="AV100" s="1631">
        <v>32428201</v>
      </c>
      <c r="AW100" s="1630">
        <v>10949449</v>
      </c>
      <c r="AX100" s="506">
        <v>199414285</v>
      </c>
      <c r="AY100" s="1630">
        <v>70088560</v>
      </c>
      <c r="AZ100" s="1630">
        <v>86852764</v>
      </c>
      <c r="BA100" s="1632">
        <v>19298196</v>
      </c>
    </row>
    <row r="101" spans="1:53" ht="18" customHeight="1">
      <c r="A101" s="509"/>
      <c r="D101" s="1633">
        <v>712900</v>
      </c>
      <c r="E101" s="1501" t="s">
        <v>354</v>
      </c>
      <c r="F101" s="1634">
        <v>606</v>
      </c>
      <c r="G101" s="1359" t="s">
        <v>2497</v>
      </c>
      <c r="H101" s="498">
        <v>2530356206</v>
      </c>
      <c r="I101" s="498">
        <v>0</v>
      </c>
      <c r="J101" s="710">
        <v>0</v>
      </c>
      <c r="K101" s="710">
        <v>0</v>
      </c>
      <c r="L101" s="510">
        <f t="shared" ref="L101:L106" si="69">SUM(H101:K101)</f>
        <v>2530356206</v>
      </c>
      <c r="N101" s="1468">
        <f>-ROUND(SUMIF('1.0'!$D:$D,T_IS!D101,'1.0'!$V:$V),0)</f>
        <v>0</v>
      </c>
      <c r="O101" s="509">
        <f>-ROUND(SUMIF('2.0'!$D:$D,T_IS!D101,'2.0'!$V:$V),0)</f>
        <v>0</v>
      </c>
      <c r="P101" s="509">
        <f>-ROUND(SUMIF('3.0'!$D:$D,T_IS!D101,'3.0'!$H:$H),0)</f>
        <v>-1543857535</v>
      </c>
      <c r="Q101" s="509">
        <f>-ROUND(SUMIF('4.0'!$D:$D,T_IS!D101,'4.0'!$V:$V),0)</f>
        <v>0</v>
      </c>
      <c r="R101" s="509">
        <f>-ROUND(SUMIF('5.0'!$D:$D,T_IS!D101,'5.0'!$V:$V),0)</f>
        <v>0</v>
      </c>
      <c r="S101" s="509">
        <f>ROUND(SUMIF('6.0'!$D:$D,T_IS!D101,'6.0'!$V:$V),0)</f>
        <v>0</v>
      </c>
      <c r="T101" s="509">
        <f>-ROUND(SUMIF('7.0'!$D:$D,T_IS!D101,'7.0'!$V:$V),0)</f>
        <v>0</v>
      </c>
      <c r="U101" s="509">
        <f>-ROUND(SUMIF('8.0'!$D:$D,T_IS!F101,'8.0'!$H:$H),0)</f>
        <v>0</v>
      </c>
      <c r="V101" s="1470">
        <f t="shared" ref="V101:V106" si="70">SUM(N101:U101)</f>
        <v>-1543857535</v>
      </c>
      <c r="X101" s="1616">
        <f t="shared" ref="X101:X106" si="71">V101+L101</f>
        <v>986498671</v>
      </c>
      <c r="Z101" s="1616">
        <f t="shared" ref="Z101:Z106" si="72">X101-AN101</f>
        <v>170000000</v>
      </c>
      <c r="AA101" s="1616">
        <f t="shared" ref="AA101:AA106" si="73">AS101-AU101</f>
        <v>0</v>
      </c>
      <c r="AB101" s="1616">
        <f t="shared" ref="AB101:AB106" si="74">Z101-AA101</f>
        <v>170000000</v>
      </c>
      <c r="AD101" s="1616">
        <f t="shared" ref="AD101:AD106" si="75">X101-AN101</f>
        <v>170000000</v>
      </c>
      <c r="AE101" s="1616">
        <f t="shared" ref="AE101:AE106" si="76">AN101-AQ101</f>
        <v>800694348</v>
      </c>
      <c r="AF101" s="1616">
        <f t="shared" ref="AF101:AF106" si="77">AD101-AE101</f>
        <v>-630694348</v>
      </c>
      <c r="AH101" s="1616">
        <f t="shared" ref="AH101:AH106" si="78">X101-AL101</f>
        <v>170000000</v>
      </c>
      <c r="AI101" s="1616">
        <f t="shared" ref="AI101:AI106" si="79">AL101-AM101</f>
        <v>0</v>
      </c>
      <c r="AJ101" s="1616">
        <f t="shared" ref="AJ101:AJ106" si="80">AH101-AI101</f>
        <v>170000000</v>
      </c>
      <c r="AL101" s="1636">
        <v>816498671</v>
      </c>
      <c r="AM101" s="1636">
        <v>816498671</v>
      </c>
      <c r="AN101" s="1636">
        <v>816498671</v>
      </c>
      <c r="AO101" s="1636">
        <v>715804323</v>
      </c>
      <c r="AP101" s="1636">
        <v>715804323</v>
      </c>
      <c r="AQ101" s="1636">
        <v>15804323</v>
      </c>
      <c r="AR101" s="1636">
        <v>15632478</v>
      </c>
      <c r="AS101" s="1636">
        <v>0</v>
      </c>
      <c r="AT101" s="1636">
        <v>0</v>
      </c>
      <c r="AU101" s="550">
        <v>0</v>
      </c>
      <c r="AV101" s="550">
        <v>0</v>
      </c>
      <c r="AW101" s="1616">
        <v>0</v>
      </c>
      <c r="AX101" s="509">
        <v>0</v>
      </c>
      <c r="AY101" s="1616">
        <v>0</v>
      </c>
      <c r="AZ101" s="1617">
        <v>0</v>
      </c>
      <c r="BA101" s="1618">
        <v>0</v>
      </c>
    </row>
    <row r="102" spans="1:53" ht="18" customHeight="1">
      <c r="A102" s="509"/>
      <c r="D102" s="1633" t="s">
        <v>355</v>
      </c>
      <c r="E102" s="1501" t="s">
        <v>354</v>
      </c>
      <c r="F102" s="1634">
        <v>602</v>
      </c>
      <c r="G102" s="1359" t="s">
        <v>1841</v>
      </c>
      <c r="H102" s="498">
        <v>64817181</v>
      </c>
      <c r="I102" s="498">
        <v>0</v>
      </c>
      <c r="J102" s="710">
        <v>0</v>
      </c>
      <c r="K102" s="710">
        <v>290548</v>
      </c>
      <c r="L102" s="510">
        <f t="shared" si="69"/>
        <v>65107729</v>
      </c>
      <c r="N102" s="1468">
        <f>-ROUND(SUMIF('1.0'!$D:$D,T_IS!D102,'1.0'!$V:$V),0)</f>
        <v>0</v>
      </c>
      <c r="O102" s="509">
        <f>-ROUND(SUMIF('2.0'!$D:$D,T_IS!D102,'2.0'!$V:$V),0)</f>
        <v>0</v>
      </c>
      <c r="P102" s="509">
        <f>ROUND(SUMIF('3.0'!$D:$D,T_IS!D102,'3.0'!$H:$H),0)</f>
        <v>0</v>
      </c>
      <c r="Q102" s="509">
        <f>-ROUND(SUMIF('4.0'!$D:$D,T_IS!D102,'4.0'!$V:$V),0)</f>
        <v>0</v>
      </c>
      <c r="R102" s="509">
        <f>-ROUND(SUMIF('5.0'!$D:$D,T_IS!D102,'5.0'!$V:$V),0)</f>
        <v>0</v>
      </c>
      <c r="S102" s="509">
        <f>ROUND(SUMIF('6.0'!$D:$D,T_IS!D102,'6.0'!$V:$V),0)</f>
        <v>0</v>
      </c>
      <c r="T102" s="509">
        <f>-ROUND(SUMIF('7.0'!$D:$D,T_IS!D102,'7.0'!$V:$V),0)</f>
        <v>0</v>
      </c>
      <c r="U102" s="509">
        <f>-ROUND(SUMIF('8.0'!$D:$D,T_IS!F102,'8.0'!$H:$H),0)</f>
        <v>0</v>
      </c>
      <c r="V102" s="1470">
        <f t="shared" si="70"/>
        <v>0</v>
      </c>
      <c r="X102" s="1616">
        <f t="shared" si="71"/>
        <v>65107729</v>
      </c>
      <c r="Z102" s="1616">
        <f t="shared" si="72"/>
        <v>1471366</v>
      </c>
      <c r="AA102" s="1616">
        <f t="shared" si="73"/>
        <v>0</v>
      </c>
      <c r="AB102" s="1616">
        <f t="shared" si="74"/>
        <v>1471366</v>
      </c>
      <c r="AD102" s="1616">
        <f t="shared" si="75"/>
        <v>1471366</v>
      </c>
      <c r="AE102" s="1616">
        <f t="shared" si="76"/>
        <v>0</v>
      </c>
      <c r="AF102" s="1616">
        <f t="shared" si="77"/>
        <v>1471366</v>
      </c>
      <c r="AH102" s="1616">
        <f t="shared" si="78"/>
        <v>-703</v>
      </c>
      <c r="AI102" s="1616">
        <f t="shared" si="79"/>
        <v>-936</v>
      </c>
      <c r="AJ102" s="1616">
        <f t="shared" si="80"/>
        <v>233</v>
      </c>
      <c r="AL102" s="1636">
        <v>65108432</v>
      </c>
      <c r="AM102" s="1636">
        <v>65109368</v>
      </c>
      <c r="AN102" s="1636">
        <v>63636363</v>
      </c>
      <c r="AO102" s="1636">
        <v>63636363</v>
      </c>
      <c r="AP102" s="1636">
        <v>63636363</v>
      </c>
      <c r="AQ102" s="1636">
        <v>63636363</v>
      </c>
      <c r="AR102" s="1636">
        <v>0</v>
      </c>
      <c r="AS102" s="1636">
        <v>5241227</v>
      </c>
      <c r="AT102" s="1636">
        <v>5241227</v>
      </c>
      <c r="AU102" s="550">
        <v>5241227</v>
      </c>
      <c r="AV102" s="550">
        <v>5241227</v>
      </c>
      <c r="AW102" s="1616">
        <v>0</v>
      </c>
      <c r="AX102" s="509">
        <v>2240200</v>
      </c>
      <c r="AY102" s="1616">
        <v>0</v>
      </c>
      <c r="AZ102" s="1617">
        <v>0</v>
      </c>
      <c r="BA102" s="1618">
        <v>0</v>
      </c>
    </row>
    <row r="103" spans="1:53" ht="18" customHeight="1">
      <c r="A103" s="509"/>
      <c r="D103" s="1633" t="s">
        <v>357</v>
      </c>
      <c r="E103" s="1501" t="s">
        <v>354</v>
      </c>
      <c r="F103" s="1634">
        <v>604</v>
      </c>
      <c r="G103" s="1359" t="s">
        <v>1842</v>
      </c>
      <c r="H103" s="498">
        <v>0</v>
      </c>
      <c r="I103" s="498">
        <v>0</v>
      </c>
      <c r="J103" s="710">
        <v>0</v>
      </c>
      <c r="K103" s="710">
        <v>0</v>
      </c>
      <c r="L103" s="510">
        <f t="shared" si="69"/>
        <v>0</v>
      </c>
      <c r="N103" s="1468">
        <f>-ROUND(SUMIF('1.0'!$D:$D,T_IS!D103,'1.0'!$V:$V),0)</f>
        <v>0</v>
      </c>
      <c r="O103" s="509">
        <f>-ROUND(SUMIF('2.0'!$D:$D,T_IS!D103,'2.0'!$V:$V),0)</f>
        <v>0</v>
      </c>
      <c r="P103" s="509">
        <f>ROUND(SUMIF('3.0'!$D:$D,T_IS!D103,'3.0'!$H:$H),0)</f>
        <v>0</v>
      </c>
      <c r="Q103" s="509">
        <f>-ROUND(SUMIF('4.0'!$D:$D,T_IS!D103,'4.0'!$V:$V),0)</f>
        <v>0</v>
      </c>
      <c r="R103" s="509">
        <f>-ROUND(SUMIF('5.0'!$D:$D,T_IS!D103,'5.0'!$V:$V),0)</f>
        <v>0</v>
      </c>
      <c r="S103" s="509">
        <f>ROUND(SUMIF('6.0'!$D:$D,T_IS!D103,'6.0'!$V:$V),0)</f>
        <v>0</v>
      </c>
      <c r="T103" s="509">
        <f>-ROUND(SUMIF('7.0'!$D:$D,T_IS!D103,'7.0'!$V:$V),0)</f>
        <v>0</v>
      </c>
      <c r="U103" s="509">
        <f>-ROUND(SUMIF('8.0'!$D:$D,T_IS!F103,'8.0'!$H:$H),0)</f>
        <v>0</v>
      </c>
      <c r="V103" s="1470">
        <f t="shared" si="70"/>
        <v>0</v>
      </c>
      <c r="X103" s="1616">
        <f t="shared" si="71"/>
        <v>0</v>
      </c>
      <c r="Z103" s="1616">
        <f t="shared" si="72"/>
        <v>0</v>
      </c>
      <c r="AA103" s="1616">
        <f t="shared" si="73"/>
        <v>0</v>
      </c>
      <c r="AB103" s="1616">
        <f t="shared" si="74"/>
        <v>0</v>
      </c>
      <c r="AD103" s="1616">
        <f t="shared" si="75"/>
        <v>0</v>
      </c>
      <c r="AE103" s="1616">
        <f t="shared" si="76"/>
        <v>0</v>
      </c>
      <c r="AF103" s="1616">
        <f t="shared" si="77"/>
        <v>0</v>
      </c>
      <c r="AH103" s="1616">
        <f t="shared" si="78"/>
        <v>0</v>
      </c>
      <c r="AI103" s="1616">
        <f t="shared" si="79"/>
        <v>0</v>
      </c>
      <c r="AJ103" s="1616">
        <f t="shared" si="80"/>
        <v>0</v>
      </c>
      <c r="AL103" s="1636">
        <v>0</v>
      </c>
      <c r="AM103" s="1636">
        <v>0</v>
      </c>
      <c r="AN103" s="1636">
        <v>0</v>
      </c>
      <c r="AO103" s="1636">
        <v>0</v>
      </c>
      <c r="AP103" s="1636">
        <v>0</v>
      </c>
      <c r="AQ103" s="1636">
        <v>0</v>
      </c>
      <c r="AR103" s="1636">
        <v>0</v>
      </c>
      <c r="AS103" s="1636">
        <v>0</v>
      </c>
      <c r="AT103" s="1636">
        <v>0</v>
      </c>
      <c r="AU103" s="550">
        <v>0</v>
      </c>
      <c r="AV103" s="550">
        <v>0</v>
      </c>
      <c r="AW103" s="1616">
        <v>0</v>
      </c>
      <c r="AX103" s="509">
        <v>0</v>
      </c>
      <c r="AY103" s="1616">
        <v>0</v>
      </c>
      <c r="AZ103" s="1617">
        <v>0</v>
      </c>
      <c r="BA103" s="1618">
        <v>0</v>
      </c>
    </row>
    <row r="104" spans="1:53" ht="18" customHeight="1">
      <c r="A104" s="509"/>
      <c r="D104" s="1633" t="s">
        <v>1706</v>
      </c>
      <c r="E104" s="1501" t="s">
        <v>354</v>
      </c>
      <c r="F104" s="1634" t="s">
        <v>611</v>
      </c>
      <c r="G104" s="1359" t="s">
        <v>1843</v>
      </c>
      <c r="H104" s="498">
        <v>0</v>
      </c>
      <c r="I104" s="498">
        <v>0</v>
      </c>
      <c r="J104" s="710">
        <v>0</v>
      </c>
      <c r="K104" s="710">
        <v>0</v>
      </c>
      <c r="L104" s="510">
        <f t="shared" si="69"/>
        <v>0</v>
      </c>
      <c r="N104" s="1468">
        <f>-ROUND(SUMIF('1.0'!$D:$D,T_IS!D104,'1.0'!$V:$V),0)</f>
        <v>0</v>
      </c>
      <c r="O104" s="509">
        <f>-ROUND(SUMIF('2.0'!$D:$D,T_IS!D104,'2.0'!$V:$V),0)</f>
        <v>0</v>
      </c>
      <c r="P104" s="509">
        <f>ROUND(SUMIF('3.0'!$D:$D,T_IS!D104,'3.0'!$H:$H),0)</f>
        <v>0</v>
      </c>
      <c r="Q104" s="509"/>
      <c r="R104" s="509">
        <f>-ROUND(SUMIF('5.0'!$D:$D,T_IS!D104,'5.0'!$V:$V),0)</f>
        <v>0</v>
      </c>
      <c r="S104" s="509">
        <f>ROUND(SUMIF('6.0'!$D:$D,T_IS!D104,'6.0'!$V:$V),0)</f>
        <v>0</v>
      </c>
      <c r="T104" s="509">
        <f>-ROUND(SUMIF('7.0'!$D:$D,T_IS!D104,'7.0'!$V:$V),0)</f>
        <v>0</v>
      </c>
      <c r="U104" s="509">
        <f>-ROUND(SUMIF('8.0'!$D:$D,T_IS!F104,'8.0'!$H:$H),0)</f>
        <v>0</v>
      </c>
      <c r="V104" s="1470">
        <f t="shared" si="70"/>
        <v>0</v>
      </c>
      <c r="X104" s="1616">
        <f t="shared" si="71"/>
        <v>0</v>
      </c>
      <c r="Z104" s="1616">
        <f t="shared" si="72"/>
        <v>0</v>
      </c>
      <c r="AA104" s="1616">
        <f t="shared" si="73"/>
        <v>0</v>
      </c>
      <c r="AB104" s="1616">
        <f t="shared" si="74"/>
        <v>0</v>
      </c>
      <c r="AD104" s="1616">
        <f t="shared" si="75"/>
        <v>0</v>
      </c>
      <c r="AE104" s="1616">
        <f t="shared" si="76"/>
        <v>0</v>
      </c>
      <c r="AF104" s="1616">
        <f t="shared" si="77"/>
        <v>0</v>
      </c>
      <c r="AH104" s="1616">
        <f t="shared" si="78"/>
        <v>0</v>
      </c>
      <c r="AI104" s="1616">
        <f t="shared" si="79"/>
        <v>0</v>
      </c>
      <c r="AJ104" s="1616">
        <f t="shared" si="80"/>
        <v>0</v>
      </c>
      <c r="AL104" s="1636">
        <v>0</v>
      </c>
      <c r="AM104" s="1636">
        <v>0</v>
      </c>
      <c r="AN104" s="1636">
        <v>0</v>
      </c>
      <c r="AO104" s="1636">
        <v>0</v>
      </c>
      <c r="AP104" s="1636">
        <v>0</v>
      </c>
      <c r="AQ104" s="1636">
        <v>0</v>
      </c>
      <c r="AR104" s="1636">
        <v>0</v>
      </c>
      <c r="AS104" s="1636">
        <v>0</v>
      </c>
      <c r="AT104" s="1636">
        <v>0</v>
      </c>
      <c r="AU104" s="550">
        <v>0</v>
      </c>
      <c r="AV104" s="550">
        <v>0</v>
      </c>
      <c r="AW104" s="1616">
        <v>0</v>
      </c>
      <c r="AX104" s="509">
        <v>0</v>
      </c>
      <c r="AY104" s="1616">
        <v>0</v>
      </c>
      <c r="AZ104" s="1617">
        <v>0</v>
      </c>
      <c r="BA104" s="1618">
        <v>0</v>
      </c>
    </row>
    <row r="105" spans="1:53" ht="18" customHeight="1">
      <c r="A105" s="509"/>
      <c r="D105" s="1633" t="s">
        <v>359</v>
      </c>
      <c r="E105" s="1501" t="s">
        <v>354</v>
      </c>
      <c r="F105" s="1634">
        <v>603</v>
      </c>
      <c r="G105" s="1359" t="s">
        <v>1844</v>
      </c>
      <c r="H105" s="498">
        <v>178143461</v>
      </c>
      <c r="I105" s="498">
        <v>1947228</v>
      </c>
      <c r="J105" s="710">
        <v>170165488</v>
      </c>
      <c r="K105" s="710">
        <v>26329659</v>
      </c>
      <c r="L105" s="510">
        <f t="shared" si="69"/>
        <v>376585836</v>
      </c>
      <c r="N105" s="1468">
        <f>-ROUND(SUMIF('1.0'!$D:$D,T_IS!D105,'1.0'!$V:$V),0)</f>
        <v>0</v>
      </c>
      <c r="O105" s="509">
        <f>-ROUND(SUMIF('2.0'!$D:$D,T_IS!D105,'2.0'!$V:$V),0)</f>
        <v>0</v>
      </c>
      <c r="P105" s="509">
        <f>-ROUND(SUMIF('3.0'!$D:$D,T_IS!D105,'3.0'!$H:$H),0)</f>
        <v>-27342110</v>
      </c>
      <c r="Q105" s="509">
        <f>-ROUND(SUMIF('4.0'!$D:$D,T_IS!D105,'4.0'!$V:$V),0)</f>
        <v>0</v>
      </c>
      <c r="R105" s="509">
        <f>-ROUND(SUMIF('5.0'!$D:$D,T_IS!D105,'5.0'!$V:$V),0)</f>
        <v>0</v>
      </c>
      <c r="S105" s="509">
        <f>ROUND(SUMIF('6.0'!$D:$D,T_IS!D105,'6.0'!$V:$V),0)</f>
        <v>0</v>
      </c>
      <c r="T105" s="509">
        <f>-ROUND(SUMIF('7.0'!$D:$D,T_IS!D105,'7.0'!$V:$V),0)</f>
        <v>0</v>
      </c>
      <c r="U105" s="509">
        <f>-ROUND(SUMIF('8.0'!$D:$D,T_IS!F105,'8.0'!$H:$H),0)</f>
        <v>0</v>
      </c>
      <c r="V105" s="1470">
        <f t="shared" si="70"/>
        <v>-27342110</v>
      </c>
      <c r="X105" s="1616">
        <f t="shared" si="71"/>
        <v>349243726</v>
      </c>
      <c r="Z105" s="1616">
        <f t="shared" si="72"/>
        <v>123766528</v>
      </c>
      <c r="AA105" s="1616">
        <f t="shared" si="73"/>
        <v>12599634</v>
      </c>
      <c r="AB105" s="1616">
        <f t="shared" si="74"/>
        <v>111166894</v>
      </c>
      <c r="AD105" s="1616">
        <f t="shared" si="75"/>
        <v>123766528</v>
      </c>
      <c r="AE105" s="1616">
        <f t="shared" si="76"/>
        <v>9748803</v>
      </c>
      <c r="AF105" s="1616">
        <f t="shared" si="77"/>
        <v>114017725</v>
      </c>
      <c r="AH105" s="1616">
        <f t="shared" si="78"/>
        <v>6362372</v>
      </c>
      <c r="AI105" s="1616">
        <f t="shared" si="79"/>
        <v>1568345</v>
      </c>
      <c r="AJ105" s="1616">
        <f t="shared" si="80"/>
        <v>4794027</v>
      </c>
      <c r="AL105" s="1636">
        <v>342881354</v>
      </c>
      <c r="AM105" s="1636">
        <v>341313009</v>
      </c>
      <c r="AN105" s="1636">
        <v>225477198</v>
      </c>
      <c r="AO105" s="1636">
        <v>220729144</v>
      </c>
      <c r="AP105" s="1636">
        <v>215878617</v>
      </c>
      <c r="AQ105" s="1636">
        <v>215728395</v>
      </c>
      <c r="AR105" s="1636">
        <v>37691835</v>
      </c>
      <c r="AS105" s="1636">
        <v>62336103</v>
      </c>
      <c r="AT105" s="1636">
        <v>60887948</v>
      </c>
      <c r="AU105" s="550">
        <v>49736469</v>
      </c>
      <c r="AV105" s="550">
        <v>27186974</v>
      </c>
      <c r="AW105" s="1616">
        <v>10949449</v>
      </c>
      <c r="AX105" s="509">
        <v>197174085</v>
      </c>
      <c r="AY105" s="1616">
        <v>70088560</v>
      </c>
      <c r="AZ105" s="1617">
        <v>86852764</v>
      </c>
      <c r="BA105" s="1618">
        <v>19298196</v>
      </c>
    </row>
    <row r="106" spans="1:53" s="1086" customFormat="1" ht="18" customHeight="1">
      <c r="A106" s="925"/>
      <c r="D106" s="1637">
        <v>713700</v>
      </c>
      <c r="E106" s="1638" t="s">
        <v>354</v>
      </c>
      <c r="F106" s="1639">
        <v>607</v>
      </c>
      <c r="G106" s="1271" t="s">
        <v>2597</v>
      </c>
      <c r="H106" s="498">
        <v>61773000</v>
      </c>
      <c r="I106" s="498">
        <v>0</v>
      </c>
      <c r="J106" s="710">
        <v>0</v>
      </c>
      <c r="K106" s="710">
        <v>0</v>
      </c>
      <c r="L106" s="1640">
        <f t="shared" si="69"/>
        <v>61773000</v>
      </c>
      <c r="N106" s="1472">
        <f>-ROUND(SUMIF('1.0'!$D:$D,T_IS!D106,'1.0'!$V:$V),0)</f>
        <v>0</v>
      </c>
      <c r="O106" s="925">
        <f>-ROUND(SUMIF('2.0'!$D:$D,T_IS!D106,'2.0'!$V:$V),0)</f>
        <v>0</v>
      </c>
      <c r="P106" s="925">
        <f>-ROUND(SUMIF('3.0'!$D:$D,T_IS!D106,'3.0'!$H:$H),0)</f>
        <v>0</v>
      </c>
      <c r="Q106" s="925">
        <f>-ROUND(SUMIF('4.0'!$D:$D,T_IS!D106,'4.0'!$V:$V),0)</f>
        <v>0</v>
      </c>
      <c r="R106" s="925">
        <f>-ROUND(SUMIF('5.0'!$D:$D,T_IS!D106,'5.0'!$V:$V),0)</f>
        <v>0</v>
      </c>
      <c r="S106" s="925">
        <f>ROUND(SUMIF('6.0'!$D:$D,T_IS!D106,'6.0'!$V:$V),0)</f>
        <v>0</v>
      </c>
      <c r="T106" s="925">
        <f>-ROUND(SUMIF('7.0'!$D:$D,T_IS!D106,'7.0'!$V:$V),0)</f>
        <v>0</v>
      </c>
      <c r="U106" s="925">
        <f>-ROUND(SUMIF('8.0'!$D:$D,T_IS!F106,'8.0'!$H:$H),0)</f>
        <v>0</v>
      </c>
      <c r="V106" s="1471">
        <f t="shared" si="70"/>
        <v>0</v>
      </c>
      <c r="X106" s="1641">
        <f t="shared" si="71"/>
        <v>61773000</v>
      </c>
      <c r="Z106" s="1616">
        <f t="shared" si="72"/>
        <v>0</v>
      </c>
      <c r="AA106" s="1616">
        <f t="shared" si="73"/>
        <v>0</v>
      </c>
      <c r="AB106" s="1616">
        <f t="shared" si="74"/>
        <v>0</v>
      </c>
      <c r="AC106" s="1359"/>
      <c r="AD106" s="1616">
        <f t="shared" si="75"/>
        <v>0</v>
      </c>
      <c r="AE106" s="1616">
        <f t="shared" si="76"/>
        <v>0</v>
      </c>
      <c r="AF106" s="1616">
        <f t="shared" si="77"/>
        <v>0</v>
      </c>
      <c r="AH106" s="1616">
        <f t="shared" si="78"/>
        <v>0</v>
      </c>
      <c r="AI106" s="1616">
        <f t="shared" si="79"/>
        <v>0</v>
      </c>
      <c r="AJ106" s="1616">
        <f t="shared" si="80"/>
        <v>0</v>
      </c>
      <c r="AL106" s="1636">
        <v>61773000</v>
      </c>
      <c r="AM106" s="1636">
        <v>61773000</v>
      </c>
      <c r="AN106" s="1636">
        <v>61773000</v>
      </c>
      <c r="AO106" s="1636">
        <v>61773000</v>
      </c>
      <c r="AP106" s="1636">
        <v>61773000</v>
      </c>
      <c r="AQ106" s="1636">
        <v>61773000</v>
      </c>
      <c r="AR106" s="1636">
        <v>0</v>
      </c>
      <c r="AS106" s="1636">
        <v>0</v>
      </c>
      <c r="AT106" s="1636">
        <v>0</v>
      </c>
      <c r="AU106" s="1636">
        <v>0</v>
      </c>
      <c r="AV106" s="1636">
        <v>0</v>
      </c>
      <c r="AW106" s="1641">
        <v>0</v>
      </c>
      <c r="AX106" s="925">
        <v>0</v>
      </c>
      <c r="AY106" s="1641">
        <v>0</v>
      </c>
      <c r="AZ106" s="1642">
        <v>0</v>
      </c>
      <c r="BA106" s="1643">
        <v>0</v>
      </c>
    </row>
    <row r="107" spans="1:53" ht="18" customHeight="1">
      <c r="A107" s="509"/>
      <c r="D107" s="1588"/>
      <c r="E107" s="1589"/>
      <c r="F107" s="1627"/>
      <c r="G107" s="1589" t="s">
        <v>361</v>
      </c>
      <c r="H107" s="520">
        <f>SUM(H108:H116)</f>
        <v>1281440381</v>
      </c>
      <c r="I107" s="506">
        <f>SUM(I108:I116)</f>
        <v>25224552</v>
      </c>
      <c r="J107" s="506">
        <f>SUM(J108:J116)</f>
        <v>0</v>
      </c>
      <c r="K107" s="506">
        <f>SUM(K108:K116)</f>
        <v>17866341</v>
      </c>
      <c r="L107" s="507">
        <f>SUM(L108:L116)</f>
        <v>1324531274</v>
      </c>
      <c r="N107" s="1628">
        <f t="shared" ref="N107:V107" si="81">SUM(N108:N116)</f>
        <v>0</v>
      </c>
      <c r="O107" s="506">
        <f t="shared" si="81"/>
        <v>0</v>
      </c>
      <c r="P107" s="506">
        <f t="shared" si="81"/>
        <v>-24942110</v>
      </c>
      <c r="Q107" s="506">
        <f t="shared" si="81"/>
        <v>0</v>
      </c>
      <c r="R107" s="506">
        <f t="shared" si="81"/>
        <v>19842800</v>
      </c>
      <c r="S107" s="506">
        <f t="shared" si="81"/>
        <v>0</v>
      </c>
      <c r="T107" s="506">
        <f t="shared" si="81"/>
        <v>0</v>
      </c>
      <c r="U107" s="506">
        <f t="shared" si="81"/>
        <v>0</v>
      </c>
      <c r="V107" s="1629">
        <f t="shared" si="81"/>
        <v>-5099310</v>
      </c>
      <c r="X107" s="1630">
        <f>SUM(X108:X116)</f>
        <v>1319431964</v>
      </c>
      <c r="Z107" s="1630">
        <f>SUM(Z108:Z116)</f>
        <v>988769721</v>
      </c>
      <c r="AA107" s="1630">
        <f>SUM(AA108:AA116)</f>
        <v>1260479614</v>
      </c>
      <c r="AB107" s="1630">
        <f>SUM(AB108:AB116)</f>
        <v>-271709893</v>
      </c>
      <c r="AD107" s="1630">
        <f>SUM(AD108:AD116)</f>
        <v>988769721</v>
      </c>
      <c r="AE107" s="1630">
        <f>SUM(AE108:AE116)</f>
        <v>306031909</v>
      </c>
      <c r="AF107" s="1630">
        <f>SUM(AF108:AF116)</f>
        <v>682737812</v>
      </c>
      <c r="AH107" s="1630">
        <f>SUM(AH108:AH116)</f>
        <v>988780368</v>
      </c>
      <c r="AI107" s="1630">
        <f>SUM(AI108:AI116)</f>
        <v>-6703</v>
      </c>
      <c r="AJ107" s="1630">
        <f>SUM(AJ108:AJ116)</f>
        <v>988787071</v>
      </c>
      <c r="AL107" s="1631">
        <v>330651596</v>
      </c>
      <c r="AM107" s="1631">
        <v>330658299</v>
      </c>
      <c r="AN107" s="1631">
        <v>330662243</v>
      </c>
      <c r="AO107" s="1631">
        <v>25330805</v>
      </c>
      <c r="AP107" s="1631">
        <v>24689871</v>
      </c>
      <c r="AQ107" s="1631">
        <v>24630334</v>
      </c>
      <c r="AR107" s="1631">
        <v>2588810</v>
      </c>
      <c r="AS107" s="1631">
        <v>1792303289</v>
      </c>
      <c r="AT107" s="1631">
        <v>532184471</v>
      </c>
      <c r="AU107" s="1631">
        <v>531823675</v>
      </c>
      <c r="AV107" s="1631">
        <v>1282503</v>
      </c>
      <c r="AW107" s="1630">
        <f>SUM(AW108:AW116)</f>
        <v>227347</v>
      </c>
      <c r="AX107" s="506">
        <f>SUM(AX108:AX116)</f>
        <v>10494735626</v>
      </c>
      <c r="AY107" s="1630">
        <f>SUM(AY108:AY116)</f>
        <v>200693002</v>
      </c>
      <c r="AZ107" s="1630">
        <f>SUM(AZ108:AZ116)</f>
        <v>197313983</v>
      </c>
      <c r="BA107" s="1632">
        <f>SUM(BA108:BA116)</f>
        <v>29457733</v>
      </c>
    </row>
    <row r="108" spans="1:53" ht="18" customHeight="1">
      <c r="A108" s="509"/>
      <c r="D108" s="1593" t="s">
        <v>362</v>
      </c>
      <c r="E108" s="1359" t="s">
        <v>361</v>
      </c>
      <c r="F108" s="1361">
        <v>706</v>
      </c>
      <c r="G108" s="1359" t="s">
        <v>1845</v>
      </c>
      <c r="H108" s="498">
        <v>1166728563</v>
      </c>
      <c r="I108" s="498">
        <v>0</v>
      </c>
      <c r="J108" s="710">
        <v>0</v>
      </c>
      <c r="K108" s="710">
        <v>0</v>
      </c>
      <c r="L108" s="510">
        <f t="shared" ref="L108:L116" si="82">SUM(H108:K108)</f>
        <v>1166728563</v>
      </c>
      <c r="N108" s="1468">
        <f>ROUND(SUMIF('1.0'!$D:$D,T_IS!D108,'1.0'!$V:$V),0)</f>
        <v>0</v>
      </c>
      <c r="O108" s="509">
        <f>ROUND(SUMIF('2.0'!$D:$D,T_IS!D108,'2.0'!$V:$V),0)</f>
        <v>0</v>
      </c>
      <c r="P108" s="509">
        <f>ROUND(SUMIF('3.0'!$D:$D,T_IS!D108,'3.0'!$H:$H),0)</f>
        <v>0</v>
      </c>
      <c r="Q108" s="509">
        <f>ROUND(SUMIF('4.0'!$D:$D,T_IS!D108,'4.0'!$V:$V),0)</f>
        <v>0</v>
      </c>
      <c r="R108" s="509">
        <f>ROUND(SUMIF('5.0'!$D:$D,T_IS!D108,'5.0'!$V:$V),0)</f>
        <v>19842800</v>
      </c>
      <c r="S108" s="509">
        <f>ROUND(SUMIF('6.0'!$D:$D,T_IS!D108,'6.0'!$V:$V),0)</f>
        <v>0</v>
      </c>
      <c r="T108" s="509">
        <f>ROUND(SUMIF('7.0'!$D:$D,T_IS!D108,'7.0'!$V:$V),0)</f>
        <v>0</v>
      </c>
      <c r="U108" s="509">
        <f>ROUND(SUMIF('8.0'!$D:$D,T_IS!F108,'8.0'!$H:$H),0)</f>
        <v>0</v>
      </c>
      <c r="V108" s="1470">
        <f t="shared" ref="V108:V116" si="83">SUM(N108:U108)</f>
        <v>19842800</v>
      </c>
      <c r="X108" s="1616">
        <f t="shared" ref="X108:X116" si="84">V108+L108</f>
        <v>1186571363</v>
      </c>
      <c r="Z108" s="1616">
        <f t="shared" ref="Z108:Z116" si="85">X108-AN108</f>
        <v>943884677</v>
      </c>
      <c r="AA108" s="1616">
        <f t="shared" ref="AA108:AA116" si="86">AS108-AU108</f>
        <v>585423259</v>
      </c>
      <c r="AB108" s="1616">
        <f t="shared" ref="AB108:AB116" si="87">Z108-AA108</f>
        <v>358461418</v>
      </c>
      <c r="AD108" s="1616">
        <f t="shared" ref="AD108:AD116" si="88">X108-AN108</f>
        <v>943884677</v>
      </c>
      <c r="AE108" s="1616">
        <f t="shared" ref="AE108:AE116" si="89">AN108-AQ108</f>
        <v>242686686</v>
      </c>
      <c r="AF108" s="1616">
        <f t="shared" ref="AF108:AF116" si="90">AD108-AE108</f>
        <v>701197991</v>
      </c>
      <c r="AH108" s="1616">
        <f t="shared" ref="AH108:AH116" si="91">X108-AL108</f>
        <v>943884677</v>
      </c>
      <c r="AI108" s="1616">
        <f t="shared" ref="AI108:AI116" si="92">AL108-AM108</f>
        <v>0</v>
      </c>
      <c r="AJ108" s="1616">
        <f t="shared" ref="AJ108:AJ116" si="93">AH108-AI108</f>
        <v>943884677</v>
      </c>
      <c r="AL108" s="1636">
        <v>242686686</v>
      </c>
      <c r="AM108" s="1636">
        <v>242686686</v>
      </c>
      <c r="AN108" s="1636">
        <v>242686686</v>
      </c>
      <c r="AO108" s="1636">
        <v>0</v>
      </c>
      <c r="AP108" s="1636">
        <v>0</v>
      </c>
      <c r="AQ108" s="1636">
        <v>0</v>
      </c>
      <c r="AR108" s="1636">
        <v>0</v>
      </c>
      <c r="AS108" s="1636">
        <v>585423259</v>
      </c>
      <c r="AT108" s="1636">
        <v>0</v>
      </c>
      <c r="AU108" s="550">
        <v>0</v>
      </c>
      <c r="AV108" s="550">
        <v>0</v>
      </c>
      <c r="AW108" s="1616">
        <v>0</v>
      </c>
      <c r="AX108" s="509">
        <v>5548640215</v>
      </c>
      <c r="AY108" s="1616">
        <v>0</v>
      </c>
      <c r="AZ108" s="1617">
        <v>0</v>
      </c>
      <c r="BA108" s="1618">
        <v>0</v>
      </c>
    </row>
    <row r="109" spans="1:53" ht="18" customHeight="1">
      <c r="A109" s="509"/>
      <c r="D109" s="1593" t="s">
        <v>364</v>
      </c>
      <c r="E109" s="1359" t="s">
        <v>361</v>
      </c>
      <c r="F109" s="1361">
        <v>701</v>
      </c>
      <c r="G109" s="1359" t="s">
        <v>1846</v>
      </c>
      <c r="H109" s="498">
        <v>0</v>
      </c>
      <c r="I109" s="498">
        <v>0</v>
      </c>
      <c r="J109" s="710">
        <v>0</v>
      </c>
      <c r="K109" s="710">
        <v>15469511</v>
      </c>
      <c r="L109" s="510">
        <f t="shared" si="82"/>
        <v>15469511</v>
      </c>
      <c r="N109" s="1468">
        <f>ROUND(SUMIF('1.0'!$D:$D,T_IS!D109,'1.0'!$V:$V),0)</f>
        <v>0</v>
      </c>
      <c r="O109" s="509">
        <f>ROUND(SUMIF('2.0'!$D:$D,T_IS!D109,'2.0'!$V:$V),0)</f>
        <v>0</v>
      </c>
      <c r="P109" s="509">
        <f>ROUND(SUMIF('3.0'!$D:$D,T_IS!D109,'3.0'!$H:$H),0)</f>
        <v>0</v>
      </c>
      <c r="Q109" s="509">
        <f>ROUND(SUMIF('4.0'!$D:$D,T_IS!D109,'4.0'!$V:$V),0)</f>
        <v>0</v>
      </c>
      <c r="R109" s="509">
        <f>ROUND(SUMIF('5.0'!$D:$D,T_IS!D109,'5.0'!$V:$V),0)</f>
        <v>0</v>
      </c>
      <c r="S109" s="509">
        <f>ROUND(SUMIF('6.0'!$D:$D,T_IS!D109,'6.0'!$V:$V),0)</f>
        <v>0</v>
      </c>
      <c r="T109" s="509">
        <f>ROUND(SUMIF('7.0'!$D:$D,T_IS!D109,'7.0'!$V:$V),0)</f>
        <v>0</v>
      </c>
      <c r="U109" s="509">
        <f>ROUND(SUMIF('8.0'!$D:$D,T_IS!F109,'8.0'!$H:$H),0)</f>
        <v>0</v>
      </c>
      <c r="V109" s="1470">
        <f t="shared" si="83"/>
        <v>0</v>
      </c>
      <c r="X109" s="1616">
        <f t="shared" si="84"/>
        <v>15469511</v>
      </c>
      <c r="Z109" s="1616">
        <f t="shared" si="85"/>
        <v>15469511</v>
      </c>
      <c r="AA109" s="1616">
        <f t="shared" si="86"/>
        <v>0</v>
      </c>
      <c r="AB109" s="1616">
        <f t="shared" si="87"/>
        <v>15469511</v>
      </c>
      <c r="AD109" s="1616">
        <f t="shared" si="88"/>
        <v>15469511</v>
      </c>
      <c r="AE109" s="1616">
        <f t="shared" si="89"/>
        <v>0</v>
      </c>
      <c r="AF109" s="1616">
        <f t="shared" si="90"/>
        <v>15469511</v>
      </c>
      <c r="AH109" s="1616">
        <f t="shared" si="91"/>
        <v>15469511</v>
      </c>
      <c r="AI109" s="1616">
        <f t="shared" si="92"/>
        <v>0</v>
      </c>
      <c r="AJ109" s="1616">
        <f t="shared" si="93"/>
        <v>15469511</v>
      </c>
      <c r="AL109" s="1636">
        <v>0</v>
      </c>
      <c r="AM109" s="1636">
        <v>0</v>
      </c>
      <c r="AN109" s="1636">
        <v>0</v>
      </c>
      <c r="AO109" s="1636">
        <v>0</v>
      </c>
      <c r="AP109" s="1636">
        <v>0</v>
      </c>
      <c r="AQ109" s="1636">
        <v>0</v>
      </c>
      <c r="AR109" s="1636">
        <v>0</v>
      </c>
      <c r="AS109" s="1636">
        <v>0</v>
      </c>
      <c r="AT109" s="1636">
        <v>0</v>
      </c>
      <c r="AU109" s="550">
        <v>0</v>
      </c>
      <c r="AV109" s="550">
        <v>0</v>
      </c>
      <c r="AW109" s="1616">
        <v>0</v>
      </c>
      <c r="AX109" s="509">
        <v>1000</v>
      </c>
      <c r="AY109" s="1616">
        <v>1000</v>
      </c>
      <c r="AZ109" s="1617">
        <v>1000</v>
      </c>
      <c r="BA109" s="1618">
        <v>0</v>
      </c>
    </row>
    <row r="110" spans="1:53" s="1547" customFormat="1" ht="18" customHeight="1">
      <c r="A110" s="509"/>
      <c r="D110" s="1624" t="s">
        <v>1546</v>
      </c>
      <c r="E110" s="1547" t="s">
        <v>361</v>
      </c>
      <c r="F110" s="1625">
        <v>705</v>
      </c>
      <c r="G110" s="1547" t="s">
        <v>1847</v>
      </c>
      <c r="H110" s="498">
        <v>15361340</v>
      </c>
      <c r="I110" s="498">
        <v>0</v>
      </c>
      <c r="J110" s="710">
        <v>0</v>
      </c>
      <c r="K110" s="710">
        <v>0</v>
      </c>
      <c r="L110" s="510">
        <f t="shared" si="82"/>
        <v>15361340</v>
      </c>
      <c r="N110" s="1468">
        <f>ROUND(SUMIF('1.0'!$D:$D,T_IS!D110,'1.0'!$V:$V),0)</f>
        <v>0</v>
      </c>
      <c r="O110" s="509">
        <f>ROUND(SUMIF('2.0'!$D:$D,T_IS!D110,'2.0'!$V:$V),0)</f>
        <v>0</v>
      </c>
      <c r="P110" s="509">
        <f>ROUND(SUMIF('3.0'!$D:$D,T_IS!D110,'3.0'!$H:$H),0)</f>
        <v>0</v>
      </c>
      <c r="Q110" s="509">
        <f>ROUND(SUMIF('4.0'!$D:$D,T_IS!D110,'4.0'!$V:$V),0)</f>
        <v>216671</v>
      </c>
      <c r="R110" s="509">
        <f>ROUND(SUMIF('5.0'!$D:$D,T_IS!D110,'5.0'!$V:$V),0)</f>
        <v>0</v>
      </c>
      <c r="S110" s="509">
        <f>ROUND(SUMIF('6.0'!$D:$D,T_IS!D110,'6.0'!$V:$V),0)</f>
        <v>0</v>
      </c>
      <c r="T110" s="509">
        <f>ROUND(SUMIF('7.0'!$D:$D,T_IS!D110,'7.0'!$V:$V),0)</f>
        <v>0</v>
      </c>
      <c r="U110" s="509">
        <f>ROUND(SUMIF('8.0'!$D:$D,T_IS!F110,'8.0'!$H:$H),0)</f>
        <v>0</v>
      </c>
      <c r="V110" s="1470">
        <f t="shared" si="83"/>
        <v>216671</v>
      </c>
      <c r="X110" s="1616">
        <f t="shared" si="84"/>
        <v>15578011</v>
      </c>
      <c r="Z110" s="1616">
        <f t="shared" si="85"/>
        <v>15361340</v>
      </c>
      <c r="AA110" s="1616">
        <f t="shared" si="86"/>
        <v>2136018</v>
      </c>
      <c r="AB110" s="1616">
        <f t="shared" si="87"/>
        <v>13225322</v>
      </c>
      <c r="AC110" s="1359"/>
      <c r="AD110" s="1616">
        <f t="shared" si="88"/>
        <v>15361340</v>
      </c>
      <c r="AE110" s="1616">
        <f t="shared" si="89"/>
        <v>216671</v>
      </c>
      <c r="AF110" s="1616">
        <f t="shared" si="90"/>
        <v>15144669</v>
      </c>
      <c r="AH110" s="1616">
        <f t="shared" si="91"/>
        <v>15359340</v>
      </c>
      <c r="AI110" s="1616">
        <f t="shared" si="92"/>
        <v>1000</v>
      </c>
      <c r="AJ110" s="1616">
        <f t="shared" si="93"/>
        <v>15358340</v>
      </c>
      <c r="AL110" s="1636">
        <v>218671</v>
      </c>
      <c r="AM110" s="1636">
        <v>217671</v>
      </c>
      <c r="AN110" s="1636">
        <v>216671</v>
      </c>
      <c r="AO110" s="1636">
        <v>0</v>
      </c>
      <c r="AP110" s="1636">
        <v>0</v>
      </c>
      <c r="AQ110" s="1636">
        <v>0</v>
      </c>
      <c r="AR110" s="1636">
        <v>0</v>
      </c>
      <c r="AS110" s="1636">
        <v>8217770</v>
      </c>
      <c r="AT110" s="1636">
        <v>6427556</v>
      </c>
      <c r="AU110" s="550">
        <v>6081752</v>
      </c>
      <c r="AV110" s="550">
        <v>0</v>
      </c>
      <c r="AW110" s="1616">
        <v>0</v>
      </c>
      <c r="AX110" s="509">
        <v>598158</v>
      </c>
      <c r="AY110" s="1616">
        <v>1000</v>
      </c>
      <c r="AZ110" s="1617">
        <v>1000</v>
      </c>
      <c r="BA110" s="1618">
        <v>1000</v>
      </c>
    </row>
    <row r="111" spans="1:53" s="1547" customFormat="1" ht="18" customHeight="1">
      <c r="A111" s="509"/>
      <c r="D111" s="1624" t="s">
        <v>1673</v>
      </c>
      <c r="E111" s="1547" t="s">
        <v>361</v>
      </c>
      <c r="F111" s="1625">
        <v>702</v>
      </c>
      <c r="G111" s="1547" t="s">
        <v>1675</v>
      </c>
      <c r="H111" s="498">
        <v>73929745</v>
      </c>
      <c r="I111" s="498">
        <v>0</v>
      </c>
      <c r="J111" s="710">
        <v>0</v>
      </c>
      <c r="K111" s="710">
        <v>0</v>
      </c>
      <c r="L111" s="510">
        <f t="shared" si="82"/>
        <v>73929745</v>
      </c>
      <c r="N111" s="1468">
        <f>ROUND(SUMIF('1.0'!$D:$D,T_IS!D111,'1.0'!$V:$V),0)</f>
        <v>0</v>
      </c>
      <c r="O111" s="509">
        <f>ROUND(SUMIF('2.0'!$D:$D,T_IS!D111,'2.0'!$V:$V),0)</f>
        <v>0</v>
      </c>
      <c r="P111" s="509">
        <f>ROUND(SUMIF('3.0'!$D:$D,T_IS!D111,'3.0'!$H:$H),0)</f>
        <v>0</v>
      </c>
      <c r="Q111" s="509">
        <f>ROUND(SUMIF('4.0'!$D:$D,T_IS!D111,'4.0'!$V:$V),0)</f>
        <v>0</v>
      </c>
      <c r="R111" s="509">
        <f>ROUND(SUMIF('5.0'!$D:$D,T_IS!D111,'5.0'!$V:$V),0)</f>
        <v>0</v>
      </c>
      <c r="S111" s="509">
        <f>ROUND(SUMIF('6.0'!$D:$D,T_IS!D111,'6.0'!$V:$V),0)</f>
        <v>0</v>
      </c>
      <c r="T111" s="509">
        <f>ROUND(SUMIF('7.0'!$D:$D,T_IS!D111,'7.0'!$V:$V),0)</f>
        <v>0</v>
      </c>
      <c r="U111" s="509">
        <f>ROUND(SUMIF('8.0'!$D:$D,T_IS!F111,'8.0'!$H:$H),0)</f>
        <v>0</v>
      </c>
      <c r="V111" s="1470">
        <f t="shared" si="83"/>
        <v>0</v>
      </c>
      <c r="X111" s="1616">
        <f t="shared" si="84"/>
        <v>73929745</v>
      </c>
      <c r="Z111" s="1616">
        <f t="shared" si="85"/>
        <v>11048623</v>
      </c>
      <c r="AA111" s="1616">
        <f t="shared" si="86"/>
        <v>0</v>
      </c>
      <c r="AB111" s="1616">
        <f t="shared" si="87"/>
        <v>11048623</v>
      </c>
      <c r="AC111" s="1359"/>
      <c r="AD111" s="1616">
        <f t="shared" si="88"/>
        <v>11048623</v>
      </c>
      <c r="AE111" s="1616">
        <f t="shared" si="89"/>
        <v>62881122</v>
      </c>
      <c r="AF111" s="1616">
        <f t="shared" si="90"/>
        <v>-51832499</v>
      </c>
      <c r="AH111" s="1616">
        <f t="shared" si="91"/>
        <v>11048623</v>
      </c>
      <c r="AI111" s="1616">
        <f t="shared" si="92"/>
        <v>0</v>
      </c>
      <c r="AJ111" s="1616">
        <f t="shared" si="93"/>
        <v>11048623</v>
      </c>
      <c r="AL111" s="1636">
        <v>62881122</v>
      </c>
      <c r="AM111" s="1636">
        <v>62881122</v>
      </c>
      <c r="AN111" s="1636">
        <v>62881122</v>
      </c>
      <c r="AO111" s="1636">
        <v>231084</v>
      </c>
      <c r="AP111" s="1636">
        <v>0</v>
      </c>
      <c r="AQ111" s="1636">
        <v>0</v>
      </c>
      <c r="AR111" s="1636">
        <v>0</v>
      </c>
      <c r="AS111" s="1636">
        <v>0</v>
      </c>
      <c r="AT111" s="1636">
        <v>0</v>
      </c>
      <c r="AU111" s="550">
        <v>0</v>
      </c>
      <c r="AV111" s="550">
        <v>0</v>
      </c>
      <c r="AW111" s="1616">
        <v>0</v>
      </c>
      <c r="AX111" s="509">
        <v>0</v>
      </c>
      <c r="AY111" s="1616">
        <v>0</v>
      </c>
      <c r="AZ111" s="1617">
        <v>0</v>
      </c>
      <c r="BA111" s="1618">
        <v>0</v>
      </c>
    </row>
    <row r="112" spans="1:53" s="1547" customFormat="1" ht="18" customHeight="1">
      <c r="A112" s="509"/>
      <c r="D112" s="1624" t="s">
        <v>366</v>
      </c>
      <c r="E112" s="1547" t="s">
        <v>361</v>
      </c>
      <c r="F112" s="1625">
        <v>333</v>
      </c>
      <c r="G112" s="1547" t="s">
        <v>1848</v>
      </c>
      <c r="H112" s="498">
        <v>0</v>
      </c>
      <c r="I112" s="498">
        <v>0</v>
      </c>
      <c r="J112" s="710">
        <v>0</v>
      </c>
      <c r="K112" s="710">
        <v>0</v>
      </c>
      <c r="L112" s="510">
        <f t="shared" si="82"/>
        <v>0</v>
      </c>
      <c r="N112" s="1468">
        <f>ROUND(SUMIF('1.0'!$D:$D,T_IS!D112,'1.0'!$V:$V),0)</f>
        <v>0</v>
      </c>
      <c r="O112" s="509">
        <f>ROUND(SUMIF('2.0'!$D:$D,T_IS!D112,'2.0'!$V:$V),0)</f>
        <v>0</v>
      </c>
      <c r="P112" s="509">
        <f>ROUND(SUMIF('3.0'!$D:$D,T_IS!D112,'3.0'!$H:$H),0)</f>
        <v>0</v>
      </c>
      <c r="Q112" s="509">
        <f>ROUND(SUMIF('4.0'!$D:$D,T_IS!D112,'4.0'!$V:$V),0)</f>
        <v>0</v>
      </c>
      <c r="R112" s="509">
        <f>ROUND(SUMIF('5.0'!$D:$D,T_IS!D112,'5.0'!$V:$V),0)</f>
        <v>0</v>
      </c>
      <c r="S112" s="509">
        <f>ROUND(SUMIF('6.0'!$D:$D,T_IS!D112,'6.0'!$V:$V),0)</f>
        <v>0</v>
      </c>
      <c r="T112" s="509">
        <f>ROUND(SUMIF('7.0'!$D:$D,T_IS!D112,'7.0'!$V:$V),0)</f>
        <v>0</v>
      </c>
      <c r="U112" s="509">
        <f>ROUND(SUMIF('8.0'!$D:$D,T_IS!F112,'8.0'!$H:$H),0)</f>
        <v>0</v>
      </c>
      <c r="V112" s="1470">
        <f t="shared" si="83"/>
        <v>0</v>
      </c>
      <c r="X112" s="1616">
        <f t="shared" si="84"/>
        <v>0</v>
      </c>
      <c r="Z112" s="1616">
        <f t="shared" si="85"/>
        <v>0</v>
      </c>
      <c r="AA112" s="1616">
        <f t="shared" si="86"/>
        <v>0</v>
      </c>
      <c r="AB112" s="1616">
        <f t="shared" si="87"/>
        <v>0</v>
      </c>
      <c r="AC112" s="1359"/>
      <c r="AD112" s="1616">
        <f t="shared" si="88"/>
        <v>0</v>
      </c>
      <c r="AE112" s="1616">
        <f t="shared" si="89"/>
        <v>0</v>
      </c>
      <c r="AF112" s="1616">
        <f t="shared" si="90"/>
        <v>0</v>
      </c>
      <c r="AH112" s="1616">
        <f t="shared" si="91"/>
        <v>0</v>
      </c>
      <c r="AI112" s="1616">
        <f t="shared" si="92"/>
        <v>0</v>
      </c>
      <c r="AJ112" s="1616">
        <f t="shared" si="93"/>
        <v>0</v>
      </c>
      <c r="AL112" s="1636">
        <v>0</v>
      </c>
      <c r="AM112" s="1636">
        <v>0</v>
      </c>
      <c r="AN112" s="1636">
        <v>0</v>
      </c>
      <c r="AO112" s="1636">
        <v>0</v>
      </c>
      <c r="AP112" s="1636">
        <v>0</v>
      </c>
      <c r="AQ112" s="1636">
        <v>0</v>
      </c>
      <c r="AR112" s="1636">
        <v>0</v>
      </c>
      <c r="AS112" s="1636">
        <v>0</v>
      </c>
      <c r="AT112" s="1636">
        <v>0</v>
      </c>
      <c r="AU112" s="550">
        <v>0</v>
      </c>
      <c r="AV112" s="550">
        <v>0</v>
      </c>
      <c r="AW112" s="1616">
        <v>0</v>
      </c>
      <c r="AX112" s="509">
        <v>0</v>
      </c>
      <c r="AY112" s="1616">
        <v>0</v>
      </c>
      <c r="AZ112" s="1617">
        <v>0</v>
      </c>
      <c r="BA112" s="1618">
        <v>0</v>
      </c>
    </row>
    <row r="113" spans="1:53" s="1547" customFormat="1" ht="18" customHeight="1">
      <c r="A113" s="509"/>
      <c r="D113" s="1624" t="s">
        <v>368</v>
      </c>
      <c r="E113" s="1547" t="s">
        <v>361</v>
      </c>
      <c r="F113" s="1625">
        <v>704</v>
      </c>
      <c r="G113" s="1547" t="s">
        <v>1849</v>
      </c>
      <c r="H113" s="498">
        <v>22397811</v>
      </c>
      <c r="I113" s="498">
        <v>25224552</v>
      </c>
      <c r="J113" s="710">
        <v>0</v>
      </c>
      <c r="K113" s="710">
        <v>2396830</v>
      </c>
      <c r="L113" s="510">
        <f t="shared" si="82"/>
        <v>50019193</v>
      </c>
      <c r="N113" s="1468">
        <f>ROUND(SUMIF('1.0'!$D:$D,T_IS!D113,'1.0'!$V:$V),0)</f>
        <v>0</v>
      </c>
      <c r="O113" s="509">
        <f>ROUND(SUMIF('2.0'!$D:$D,T_IS!D113,'2.0'!$V:$V),0)</f>
        <v>0</v>
      </c>
      <c r="P113" s="509">
        <f>ROUND(SUMIF('3.0'!$D:$D,T_IS!D113,'3.0'!$H:$H),0)</f>
        <v>-24942110</v>
      </c>
      <c r="Q113" s="509">
        <f>ROUND(SUMIF('4.0'!$D:$D,T_IS!D113,'4.0'!$V:$V),0)</f>
        <v>-216671</v>
      </c>
      <c r="R113" s="509">
        <f>ROUND(SUMIF('5.0'!$D:$D,T_IS!D113,'5.0'!$V:$V),0)</f>
        <v>0</v>
      </c>
      <c r="S113" s="509">
        <f>ROUND(SUMIF('6.0'!$D:$D,T_IS!D113,'6.0'!$V:$V),0)</f>
        <v>0</v>
      </c>
      <c r="T113" s="509">
        <f>ROUND(SUMIF('7.0'!$D:$D,T_IS!D113,'7.0'!$V:$V),0)</f>
        <v>0</v>
      </c>
      <c r="U113" s="509">
        <f>ROUND(SUMIF('8.0'!$D:$D,T_IS!F113,'8.0'!$H:$H),0)</f>
        <v>0</v>
      </c>
      <c r="V113" s="1470">
        <f t="shared" si="83"/>
        <v>-25158781</v>
      </c>
      <c r="X113" s="1616">
        <f t="shared" si="84"/>
        <v>24860412</v>
      </c>
      <c r="Z113" s="1616">
        <f t="shared" si="85"/>
        <v>-17352</v>
      </c>
      <c r="AA113" s="1616">
        <f t="shared" si="86"/>
        <v>29748395</v>
      </c>
      <c r="AB113" s="1616">
        <f t="shared" si="87"/>
        <v>-29765747</v>
      </c>
      <c r="AC113" s="1359"/>
      <c r="AD113" s="1616">
        <f t="shared" si="88"/>
        <v>-17352</v>
      </c>
      <c r="AE113" s="1616">
        <f t="shared" si="89"/>
        <v>247430</v>
      </c>
      <c r="AF113" s="1616">
        <f t="shared" si="90"/>
        <v>-264782</v>
      </c>
      <c r="AH113" s="1616">
        <f t="shared" si="91"/>
        <v>-4705</v>
      </c>
      <c r="AI113" s="1616">
        <f t="shared" si="92"/>
        <v>-7703</v>
      </c>
      <c r="AJ113" s="1616">
        <f t="shared" si="93"/>
        <v>2998</v>
      </c>
      <c r="AL113" s="1636">
        <v>24865117</v>
      </c>
      <c r="AM113" s="1636">
        <v>24872820</v>
      </c>
      <c r="AN113" s="1636">
        <v>24877764</v>
      </c>
      <c r="AO113" s="1636">
        <v>25099721</v>
      </c>
      <c r="AP113" s="1636">
        <v>24689871</v>
      </c>
      <c r="AQ113" s="1636">
        <v>24630334</v>
      </c>
      <c r="AR113" s="1636">
        <v>2588810</v>
      </c>
      <c r="AS113" s="1636">
        <v>31027428</v>
      </c>
      <c r="AT113" s="1636">
        <v>1293633</v>
      </c>
      <c r="AU113" s="550">
        <v>1279033</v>
      </c>
      <c r="AV113" s="550">
        <v>245153</v>
      </c>
      <c r="AW113" s="1616">
        <v>227347</v>
      </c>
      <c r="AX113" s="509">
        <v>742228141</v>
      </c>
      <c r="AY113" s="1616">
        <v>197404250</v>
      </c>
      <c r="AZ113" s="1617">
        <v>197311983</v>
      </c>
      <c r="BA113" s="1618">
        <v>29456733</v>
      </c>
    </row>
    <row r="114" spans="1:53" s="1547" customFormat="1" ht="18" customHeight="1">
      <c r="A114" s="509"/>
      <c r="D114" s="1624">
        <v>732100</v>
      </c>
      <c r="E114" s="1547" t="s">
        <v>361</v>
      </c>
      <c r="F114" s="1625">
        <v>708</v>
      </c>
      <c r="G114" s="1547" t="s">
        <v>1549</v>
      </c>
      <c r="H114" s="498">
        <v>3006922</v>
      </c>
      <c r="I114" s="498">
        <v>0</v>
      </c>
      <c r="J114" s="710">
        <v>0</v>
      </c>
      <c r="K114" s="710">
        <v>0</v>
      </c>
      <c r="L114" s="510">
        <f t="shared" si="82"/>
        <v>3006922</v>
      </c>
      <c r="N114" s="1468">
        <f>ROUND(SUMIF('1.0'!$D:$D,T_IS!D114,'1.0'!$V:$V),0)</f>
        <v>0</v>
      </c>
      <c r="O114" s="509">
        <f>ROUND(SUMIF('2.0'!$D:$D,T_IS!D114,'2.0'!$V:$V),0)</f>
        <v>0</v>
      </c>
      <c r="P114" s="509">
        <f>ROUND(SUMIF('3.0'!$D:$D,T_IS!D114,'3.0'!$H:$H),0)</f>
        <v>0</v>
      </c>
      <c r="Q114" s="509">
        <f>ROUND(SUMIF('4.0'!$D:$D,T_IS!D114,'4.0'!$V:$V),0)</f>
        <v>0</v>
      </c>
      <c r="R114" s="509">
        <f>ROUND(SUMIF('5.0'!$D:$D,T_IS!D114,'5.0'!$V:$V),0)</f>
        <v>0</v>
      </c>
      <c r="S114" s="509">
        <f>ROUND(SUMIF('6.0'!$D:$D,T_IS!D114,'6.0'!$V:$V),0)</f>
        <v>0</v>
      </c>
      <c r="T114" s="509">
        <f>ROUND(SUMIF('7.0'!$D:$D,T_IS!D114,'7.0'!$V:$V),0)</f>
        <v>0</v>
      </c>
      <c r="U114" s="509">
        <f>ROUND(SUMIF('8.0'!$D:$D,T_IS!F114,'8.0'!$H:$H),0)</f>
        <v>0</v>
      </c>
      <c r="V114" s="1470">
        <f t="shared" si="83"/>
        <v>0</v>
      </c>
      <c r="X114" s="1616">
        <f t="shared" si="84"/>
        <v>3006922</v>
      </c>
      <c r="Z114" s="1616">
        <f t="shared" si="85"/>
        <v>3006922</v>
      </c>
      <c r="AA114" s="1616">
        <f t="shared" si="86"/>
        <v>6175894</v>
      </c>
      <c r="AB114" s="1616">
        <f t="shared" si="87"/>
        <v>-3168972</v>
      </c>
      <c r="AC114" s="1359"/>
      <c r="AD114" s="1616">
        <f t="shared" si="88"/>
        <v>3006922</v>
      </c>
      <c r="AE114" s="1616">
        <f t="shared" si="89"/>
        <v>0</v>
      </c>
      <c r="AF114" s="1616">
        <f t="shared" si="90"/>
        <v>3006922</v>
      </c>
      <c r="AH114" s="1616">
        <f t="shared" si="91"/>
        <v>3006922</v>
      </c>
      <c r="AI114" s="1616">
        <f t="shared" si="92"/>
        <v>0</v>
      </c>
      <c r="AJ114" s="1616">
        <f t="shared" si="93"/>
        <v>3006922</v>
      </c>
      <c r="AL114" s="1636">
        <v>0</v>
      </c>
      <c r="AM114" s="1636">
        <v>0</v>
      </c>
      <c r="AN114" s="1636">
        <v>0</v>
      </c>
      <c r="AO114" s="1636">
        <v>0</v>
      </c>
      <c r="AP114" s="1636">
        <v>0</v>
      </c>
      <c r="AQ114" s="1636">
        <v>0</v>
      </c>
      <c r="AR114" s="1636">
        <v>0</v>
      </c>
      <c r="AS114" s="1636">
        <v>7634610</v>
      </c>
      <c r="AT114" s="1636">
        <v>1459108</v>
      </c>
      <c r="AU114" s="550">
        <v>1458716</v>
      </c>
      <c r="AV114" s="550">
        <v>1037350</v>
      </c>
      <c r="AW114" s="1616">
        <v>0</v>
      </c>
      <c r="AX114" s="509">
        <v>3268112</v>
      </c>
      <c r="AY114" s="1616">
        <v>3286752</v>
      </c>
      <c r="AZ114" s="1617">
        <v>0</v>
      </c>
      <c r="BA114" s="1618">
        <v>0</v>
      </c>
    </row>
    <row r="115" spans="1:53" s="1547" customFormat="1" ht="18" customHeight="1">
      <c r="A115" s="509"/>
      <c r="D115" s="1644" t="s">
        <v>1751</v>
      </c>
      <c r="E115" s="1542" t="s">
        <v>361</v>
      </c>
      <c r="F115" s="1645">
        <v>703</v>
      </c>
      <c r="G115" s="1547" t="s">
        <v>762</v>
      </c>
      <c r="H115" s="498">
        <v>16000</v>
      </c>
      <c r="I115" s="498">
        <v>0</v>
      </c>
      <c r="J115" s="710">
        <v>0</v>
      </c>
      <c r="K115" s="710">
        <v>0</v>
      </c>
      <c r="L115" s="510">
        <f t="shared" si="82"/>
        <v>16000</v>
      </c>
      <c r="N115" s="1468">
        <f>ROUND(SUMIF('1.0'!$D:$D,T_IS!D115,'1.0'!$V:$V),0)</f>
        <v>0</v>
      </c>
      <c r="O115" s="509">
        <f>ROUND(SUMIF('2.0'!$D:$D,T_IS!D115,'2.0'!$V:$V),0)</f>
        <v>0</v>
      </c>
      <c r="P115" s="509">
        <f>ROUND(SUMIF('3.0'!$D:$D,T_IS!D115,'3.0'!$H:$H),0)</f>
        <v>0</v>
      </c>
      <c r="Q115" s="509">
        <f>ROUND(SUMIF('4.0'!$D:$D,T_IS!D115,'4.0'!$V:$V),0)</f>
        <v>0</v>
      </c>
      <c r="R115" s="509">
        <f>ROUND(SUMIF('5.0'!$D:$D,T_IS!D115,'5.0'!$V:$V),0)</f>
        <v>0</v>
      </c>
      <c r="S115" s="509">
        <f>ROUND(SUMIF('6.0'!$D:$D,T_IS!D115,'6.0'!$V:$V),0)</f>
        <v>0</v>
      </c>
      <c r="T115" s="509">
        <f>ROUND(SUMIF('7.0'!$D:$D,T_IS!D115,'7.0'!$V:$V),0)</f>
        <v>0</v>
      </c>
      <c r="U115" s="509">
        <f>ROUND(SUMIF('8.0'!$D:$D,T_IS!F115,'8.0'!$H:$H),0)</f>
        <v>0</v>
      </c>
      <c r="V115" s="1470">
        <f t="shared" si="83"/>
        <v>0</v>
      </c>
      <c r="X115" s="1616">
        <f t="shared" si="84"/>
        <v>16000</v>
      </c>
      <c r="Z115" s="1616">
        <f t="shared" si="85"/>
        <v>16000</v>
      </c>
      <c r="AA115" s="1616">
        <f t="shared" si="86"/>
        <v>636996048</v>
      </c>
      <c r="AB115" s="1616">
        <f t="shared" si="87"/>
        <v>-636980048</v>
      </c>
      <c r="AC115" s="1359"/>
      <c r="AD115" s="1616">
        <f t="shared" si="88"/>
        <v>16000</v>
      </c>
      <c r="AE115" s="1616">
        <f t="shared" si="89"/>
        <v>0</v>
      </c>
      <c r="AF115" s="1616">
        <f t="shared" si="90"/>
        <v>16000</v>
      </c>
      <c r="AH115" s="1616">
        <f t="shared" si="91"/>
        <v>16000</v>
      </c>
      <c r="AI115" s="1616">
        <f t="shared" si="92"/>
        <v>0</v>
      </c>
      <c r="AJ115" s="1616">
        <f t="shared" si="93"/>
        <v>16000</v>
      </c>
      <c r="AL115" s="550">
        <v>0</v>
      </c>
      <c r="AM115" s="550">
        <v>0</v>
      </c>
      <c r="AN115" s="550">
        <v>0</v>
      </c>
      <c r="AO115" s="550">
        <v>0</v>
      </c>
      <c r="AP115" s="550">
        <v>0</v>
      </c>
      <c r="AQ115" s="550">
        <v>0</v>
      </c>
      <c r="AR115" s="550">
        <v>0</v>
      </c>
      <c r="AS115" s="550">
        <v>1160000222</v>
      </c>
      <c r="AT115" s="550">
        <v>523004174</v>
      </c>
      <c r="AU115" s="550">
        <v>523004174</v>
      </c>
      <c r="AV115" s="550">
        <v>0</v>
      </c>
      <c r="AW115" s="1616">
        <v>0</v>
      </c>
      <c r="AX115" s="509">
        <v>4200000000</v>
      </c>
      <c r="AY115" s="1616">
        <v>0</v>
      </c>
      <c r="AZ115" s="1617">
        <v>0</v>
      </c>
      <c r="BA115" s="1618">
        <v>0</v>
      </c>
    </row>
    <row r="116" spans="1:53" ht="18" customHeight="1">
      <c r="A116" s="509"/>
      <c r="D116" s="1633" t="s">
        <v>482</v>
      </c>
      <c r="E116" s="1501" t="s">
        <v>361</v>
      </c>
      <c r="F116" s="1634">
        <v>709</v>
      </c>
      <c r="G116" s="1359" t="s">
        <v>481</v>
      </c>
      <c r="H116" s="498">
        <v>0</v>
      </c>
      <c r="I116" s="498">
        <v>0</v>
      </c>
      <c r="J116" s="710">
        <v>0</v>
      </c>
      <c r="K116" s="710">
        <v>0</v>
      </c>
      <c r="L116" s="510">
        <f t="shared" si="82"/>
        <v>0</v>
      </c>
      <c r="N116" s="1468">
        <f>ROUND(SUMIF('1.0'!$D:$D,T_IS!D116,'1.0'!$V:$V),0)</f>
        <v>0</v>
      </c>
      <c r="O116" s="509">
        <f>ROUND(SUMIF('2.0'!$D:$D,T_IS!D116,'2.0'!$V:$V),0)</f>
        <v>0</v>
      </c>
      <c r="P116" s="509">
        <f>ROUND(SUMIF('3.0'!$D:$D,T_IS!D116,'3.0'!$H:$H),0)</f>
        <v>0</v>
      </c>
      <c r="Q116" s="509">
        <f>ROUND(SUMIF('4.0'!$D:$D,T_IS!D116,'4.0'!$V:$V),0)</f>
        <v>0</v>
      </c>
      <c r="R116" s="509">
        <f>ROUND(SUMIF('5.0'!$D:$D,T_IS!D116,'5.0'!$V:$V),0)</f>
        <v>0</v>
      </c>
      <c r="S116" s="509">
        <f>ROUND(SUMIF('6.0'!$D:$D,T_IS!D116,'6.0'!$V:$V),0)</f>
        <v>0</v>
      </c>
      <c r="T116" s="509">
        <f>ROUND(SUMIF('7.0'!$D:$D,T_IS!D116,'7.0'!$V:$V),0)</f>
        <v>0</v>
      </c>
      <c r="U116" s="509">
        <f>ROUND(SUMIF('8.0'!$D:$D,T_IS!F116,'8.0'!$H:$H),0)</f>
        <v>0</v>
      </c>
      <c r="V116" s="1470">
        <f t="shared" si="83"/>
        <v>0</v>
      </c>
      <c r="X116" s="1616">
        <f t="shared" si="84"/>
        <v>0</v>
      </c>
      <c r="Z116" s="1616">
        <f t="shared" si="85"/>
        <v>0</v>
      </c>
      <c r="AA116" s="1616">
        <f t="shared" si="86"/>
        <v>0</v>
      </c>
      <c r="AB116" s="1616">
        <f t="shared" si="87"/>
        <v>0</v>
      </c>
      <c r="AD116" s="1616">
        <f t="shared" si="88"/>
        <v>0</v>
      </c>
      <c r="AE116" s="1616">
        <f t="shared" si="89"/>
        <v>0</v>
      </c>
      <c r="AF116" s="1616">
        <f t="shared" si="90"/>
        <v>0</v>
      </c>
      <c r="AH116" s="1616">
        <f t="shared" si="91"/>
        <v>0</v>
      </c>
      <c r="AI116" s="1616">
        <f t="shared" si="92"/>
        <v>0</v>
      </c>
      <c r="AJ116" s="1616">
        <f t="shared" si="93"/>
        <v>0</v>
      </c>
      <c r="AL116" s="550">
        <v>0</v>
      </c>
      <c r="AM116" s="550">
        <v>0</v>
      </c>
      <c r="AN116" s="550">
        <v>0</v>
      </c>
      <c r="AO116" s="550">
        <v>0</v>
      </c>
      <c r="AP116" s="550">
        <v>0</v>
      </c>
      <c r="AQ116" s="550">
        <v>0</v>
      </c>
      <c r="AR116" s="550">
        <v>0</v>
      </c>
      <c r="AS116" s="550">
        <v>0</v>
      </c>
      <c r="AT116" s="550">
        <v>0</v>
      </c>
      <c r="AU116" s="550">
        <v>0</v>
      </c>
      <c r="AV116" s="550">
        <v>0</v>
      </c>
      <c r="AW116" s="1616">
        <v>0</v>
      </c>
      <c r="AX116" s="509">
        <v>0</v>
      </c>
      <c r="AY116" s="1616">
        <v>0</v>
      </c>
      <c r="AZ116" s="1617">
        <v>0</v>
      </c>
      <c r="BA116" s="1618">
        <v>0</v>
      </c>
    </row>
    <row r="117" spans="1:53" ht="18" customHeight="1">
      <c r="A117" s="509"/>
      <c r="D117" s="1588"/>
      <c r="E117" s="1589"/>
      <c r="F117" s="1627"/>
      <c r="G117" s="1589" t="s">
        <v>370</v>
      </c>
      <c r="H117" s="520">
        <f>SUM(H118:H120)</f>
        <v>0</v>
      </c>
      <c r="I117" s="506">
        <f>SUM(I118:I120)</f>
        <v>0</v>
      </c>
      <c r="J117" s="506">
        <f>SUM(J118:J120)</f>
        <v>0</v>
      </c>
      <c r="K117" s="506">
        <f>SUM(K118:K120)</f>
        <v>0</v>
      </c>
      <c r="L117" s="507">
        <f>SUM(L118:L120)</f>
        <v>0</v>
      </c>
      <c r="N117" s="1628">
        <f t="shared" ref="N117:V117" si="94">SUM(N118:N120)</f>
        <v>0</v>
      </c>
      <c r="O117" s="506">
        <f t="shared" si="94"/>
        <v>0</v>
      </c>
      <c r="P117" s="506">
        <f t="shared" si="94"/>
        <v>0</v>
      </c>
      <c r="Q117" s="506">
        <f t="shared" si="94"/>
        <v>0</v>
      </c>
      <c r="R117" s="506">
        <f t="shared" si="94"/>
        <v>0</v>
      </c>
      <c r="S117" s="506">
        <f t="shared" si="94"/>
        <v>0</v>
      </c>
      <c r="T117" s="506">
        <f t="shared" si="94"/>
        <v>-206894832</v>
      </c>
      <c r="U117" s="506">
        <f t="shared" si="94"/>
        <v>0</v>
      </c>
      <c r="V117" s="1629">
        <f t="shared" si="94"/>
        <v>-206894832</v>
      </c>
      <c r="X117" s="1630">
        <f>SUM(X118:X120)</f>
        <v>-206894832</v>
      </c>
      <c r="Z117" s="1630">
        <f>SUM(Z118:Z120)</f>
        <v>-854035165</v>
      </c>
      <c r="AA117" s="1630">
        <f>SUM(AA118:AA120)</f>
        <v>24157280</v>
      </c>
      <c r="AB117" s="1630">
        <f>SUM(AB118:AB120)</f>
        <v>-878192445</v>
      </c>
      <c r="AD117" s="1630">
        <f>SUM(AD118:AD120)</f>
        <v>-854035165</v>
      </c>
      <c r="AE117" s="1630">
        <f>SUM(AE118:AE120)</f>
        <v>-348209179</v>
      </c>
      <c r="AF117" s="1630">
        <f>SUM(AF118:AF120)</f>
        <v>-505825986</v>
      </c>
      <c r="AH117" s="1630">
        <f>SUM(AH118:AH120)</f>
        <v>-854035165</v>
      </c>
      <c r="AI117" s="1630">
        <f>SUM(AI118:AI120)</f>
        <v>0</v>
      </c>
      <c r="AJ117" s="1630">
        <f>SUM(AJ118:AJ120)</f>
        <v>-854035165</v>
      </c>
      <c r="AL117" s="1631">
        <v>647140333</v>
      </c>
      <c r="AM117" s="1631">
        <v>647140333</v>
      </c>
      <c r="AN117" s="1631">
        <v>647140333</v>
      </c>
      <c r="AO117" s="1631">
        <v>995349512</v>
      </c>
      <c r="AP117" s="1631">
        <v>995349512</v>
      </c>
      <c r="AQ117" s="1631">
        <v>995349512</v>
      </c>
      <c r="AR117" s="1631">
        <v>702464</v>
      </c>
      <c r="AS117" s="1631">
        <v>24157280</v>
      </c>
      <c r="AT117" s="1631">
        <v>0</v>
      </c>
      <c r="AU117" s="1631">
        <v>0</v>
      </c>
      <c r="AV117" s="1631">
        <v>0</v>
      </c>
      <c r="AW117" s="1630">
        <f>SUM(AW118:AW120)</f>
        <v>0</v>
      </c>
      <c r="AX117" s="506">
        <f>SUM(AX118:AX120)</f>
        <v>0</v>
      </c>
      <c r="AY117" s="1630">
        <f>SUM(AY118:AY120)</f>
        <v>0</v>
      </c>
      <c r="AZ117" s="1630">
        <f>SUM(AZ118:AZ120)</f>
        <v>0</v>
      </c>
      <c r="BA117" s="1632">
        <f>SUM(BA118:BA120)</f>
        <v>0</v>
      </c>
    </row>
    <row r="118" spans="1:53" ht="18" customHeight="1">
      <c r="A118" s="509"/>
      <c r="D118" s="1593" t="s">
        <v>371</v>
      </c>
      <c r="E118" s="1359" t="s">
        <v>1783</v>
      </c>
      <c r="F118" s="1361">
        <v>903</v>
      </c>
      <c r="G118" s="1359" t="s">
        <v>372</v>
      </c>
      <c r="H118" s="498">
        <v>0</v>
      </c>
      <c r="I118" s="498">
        <v>0</v>
      </c>
      <c r="J118" s="710">
        <v>0</v>
      </c>
      <c r="K118" s="710">
        <v>0</v>
      </c>
      <c r="L118" s="510">
        <f>SUM(H118:K118)</f>
        <v>0</v>
      </c>
      <c r="N118" s="1468">
        <f>-ROUND(SUMIF('1.0'!$D:$D,T_IS!D118,'1.0'!$V:$V),0)</f>
        <v>0</v>
      </c>
      <c r="O118" s="509">
        <f>-ROUND(SUMIF('2.0'!$D:$D,T_IS!D118,'2.0'!$V:$V),0)</f>
        <v>0</v>
      </c>
      <c r="P118" s="509">
        <f>-ROUND(SUMIF('3.0'!$D:$D,T_IS!D118,'3.0'!$H:$H),0)</f>
        <v>0</v>
      </c>
      <c r="Q118" s="509">
        <f>-ROUND(SUMIF('4.0'!$D:$D,T_IS!D118,'4.0'!$V:$V),0)</f>
        <v>0</v>
      </c>
      <c r="R118" s="509">
        <f>ROUND(SUMIF('5.0'!$D:$D,T_IS!D118,'5.0'!$V:$V),0)</f>
        <v>0</v>
      </c>
      <c r="S118" s="509">
        <f>ROUND(SUMIF('6.0'!$D:$D,T_IS!D118,'6.0'!$V:$V),0)</f>
        <v>0</v>
      </c>
      <c r="T118" s="509">
        <f>-ROUND(SUMIF('7.0'!$D:$D,T_IS!D118,'7.0'!$V:$V),0)</f>
        <v>-201029108</v>
      </c>
      <c r="U118" s="509">
        <f>-ROUND(SUMIF('8.0'!$D:$D,T_IS!F118,'8.0'!$H:$H),0)</f>
        <v>0</v>
      </c>
      <c r="V118" s="1470">
        <f>SUM(N118:U118)</f>
        <v>-201029108</v>
      </c>
      <c r="X118" s="1616">
        <f>V118+L118</f>
        <v>-201029108</v>
      </c>
      <c r="Z118" s="1616">
        <f t="shared" ref="Z118:Z120" si="95">X118-AN118</f>
        <v>565524745</v>
      </c>
      <c r="AA118" s="1616">
        <f t="shared" ref="AA118:AA120" si="96">AS118-AU118</f>
        <v>24157280</v>
      </c>
      <c r="AB118" s="1616">
        <f t="shared" ref="AB118:AB120" si="97">Z118-AA118</f>
        <v>541367465</v>
      </c>
      <c r="AD118" s="1616">
        <f t="shared" ref="AD118:AD120" si="98">X118-AN118</f>
        <v>565524745</v>
      </c>
      <c r="AE118" s="1616">
        <f t="shared" ref="AE118:AE120" si="99">AN118-AQ118</f>
        <v>-348209179</v>
      </c>
      <c r="AF118" s="1616">
        <f t="shared" ref="AF118:AF120" si="100">AD118-AE118</f>
        <v>913733924</v>
      </c>
      <c r="AH118" s="1616">
        <f t="shared" ref="AH118:AH120" si="101">X118-AL118</f>
        <v>565524745</v>
      </c>
      <c r="AI118" s="1616">
        <f t="shared" ref="AI118:AI120" si="102">AL118-AM118</f>
        <v>0</v>
      </c>
      <c r="AJ118" s="1616">
        <f t="shared" ref="AJ118:AJ120" si="103">AH118-AI118</f>
        <v>565524745</v>
      </c>
      <c r="AL118" s="550">
        <v>-766553853</v>
      </c>
      <c r="AM118" s="550">
        <v>-766553853</v>
      </c>
      <c r="AN118" s="550">
        <v>-766553853</v>
      </c>
      <c r="AO118" s="550">
        <v>-418344674</v>
      </c>
      <c r="AP118" s="550">
        <v>-418344674</v>
      </c>
      <c r="AQ118" s="550">
        <v>-418344674</v>
      </c>
      <c r="AR118" s="550">
        <v>702464</v>
      </c>
      <c r="AS118" s="550">
        <v>24157280</v>
      </c>
      <c r="AT118" s="550">
        <v>0</v>
      </c>
      <c r="AU118" s="550">
        <v>0</v>
      </c>
      <c r="AV118" s="550">
        <v>0</v>
      </c>
      <c r="AW118" s="1616">
        <v>0</v>
      </c>
      <c r="AX118" s="509">
        <v>0</v>
      </c>
      <c r="AY118" s="1616">
        <v>0</v>
      </c>
      <c r="AZ118" s="1617">
        <v>0</v>
      </c>
      <c r="BA118" s="1618">
        <v>0</v>
      </c>
    </row>
    <row r="119" spans="1:53" ht="18" customHeight="1">
      <c r="A119" s="509"/>
      <c r="D119" s="1593" t="s">
        <v>373</v>
      </c>
      <c r="E119" s="1359" t="s">
        <v>1783</v>
      </c>
      <c r="F119" s="1574">
        <v>905</v>
      </c>
      <c r="G119" s="1359" t="s">
        <v>374</v>
      </c>
      <c r="H119" s="498">
        <v>0</v>
      </c>
      <c r="I119" s="498">
        <v>0</v>
      </c>
      <c r="J119" s="710">
        <v>0</v>
      </c>
      <c r="K119" s="710">
        <v>0</v>
      </c>
      <c r="L119" s="510">
        <f>SUM(H119:K119)</f>
        <v>0</v>
      </c>
      <c r="N119" s="1468">
        <f>-ROUND(SUMIF('1.0'!$D:$D,T_IS!D119,'1.0'!$V:$V),0)</f>
        <v>0</v>
      </c>
      <c r="O119" s="509">
        <f>-ROUND(SUMIF('2.0'!$D:$D,T_IS!D119,'2.0'!$V:$V),0)</f>
        <v>0</v>
      </c>
      <c r="P119" s="509">
        <f>-ROUND(SUMIF('3.0'!$D:$D,T_IS!D119,'3.0'!$H:$H),0)</f>
        <v>0</v>
      </c>
      <c r="Q119" s="509">
        <f>-ROUND(SUMIF('4.0'!$D:$D,T_IS!D119,'4.0'!$V:$V),0)</f>
        <v>0</v>
      </c>
      <c r="R119" s="509">
        <f>ROUND(SUMIF('5.0'!$D:$D,T_IS!D119,'5.0'!$V:$V),0)</f>
        <v>0</v>
      </c>
      <c r="S119" s="509">
        <f>ROUND(SUMIF('6.0'!$D:$D,T_IS!D119,'6.0'!$V:$V),0)</f>
        <v>0</v>
      </c>
      <c r="T119" s="509">
        <f>-ROUND(SUMIF('7.0'!$D:$D,T_IS!D119,'7.0'!$V:$V),0)</f>
        <v>-5865724</v>
      </c>
      <c r="U119" s="509">
        <f>-ROUND(SUMIF('8.0'!$D:$D,T_IS!F119,'8.0'!$H:$H),0)</f>
        <v>0</v>
      </c>
      <c r="V119" s="1470">
        <f>SUM(N119:U119)</f>
        <v>-5865724</v>
      </c>
      <c r="X119" s="1616">
        <f>V119+L119</f>
        <v>-5865724</v>
      </c>
      <c r="Z119" s="1616">
        <f t="shared" si="95"/>
        <v>-1419559910</v>
      </c>
      <c r="AA119" s="1616">
        <f t="shared" si="96"/>
        <v>0</v>
      </c>
      <c r="AB119" s="1616">
        <f t="shared" si="97"/>
        <v>-1419559910</v>
      </c>
      <c r="AD119" s="1616">
        <f t="shared" si="98"/>
        <v>-1419559910</v>
      </c>
      <c r="AE119" s="1616">
        <f t="shared" si="99"/>
        <v>0</v>
      </c>
      <c r="AF119" s="1616">
        <f t="shared" si="100"/>
        <v>-1419559910</v>
      </c>
      <c r="AH119" s="1616">
        <f t="shared" si="101"/>
        <v>-1419559910</v>
      </c>
      <c r="AI119" s="1616">
        <f t="shared" si="102"/>
        <v>0</v>
      </c>
      <c r="AJ119" s="1616">
        <f t="shared" si="103"/>
        <v>-1419559910</v>
      </c>
      <c r="AL119" s="550">
        <v>1413694186</v>
      </c>
      <c r="AM119" s="550">
        <v>1413694186</v>
      </c>
      <c r="AN119" s="550">
        <v>1413694186</v>
      </c>
      <c r="AO119" s="550">
        <v>1413694186</v>
      </c>
      <c r="AP119" s="550">
        <v>1413694186</v>
      </c>
      <c r="AQ119" s="550">
        <v>1413694186</v>
      </c>
      <c r="AR119" s="550">
        <v>0</v>
      </c>
      <c r="AS119" s="550">
        <v>0</v>
      </c>
      <c r="AT119" s="550">
        <v>0</v>
      </c>
      <c r="AU119" s="550">
        <v>0</v>
      </c>
      <c r="AV119" s="550">
        <v>0</v>
      </c>
      <c r="AW119" s="1616">
        <v>0</v>
      </c>
      <c r="AX119" s="509">
        <v>0</v>
      </c>
      <c r="AY119" s="1616">
        <v>0</v>
      </c>
      <c r="AZ119" s="1617">
        <v>0</v>
      </c>
      <c r="BA119" s="1618">
        <v>0</v>
      </c>
    </row>
    <row r="120" spans="1:53" ht="18" customHeight="1">
      <c r="A120" s="509"/>
      <c r="D120" s="1593" t="s">
        <v>375</v>
      </c>
      <c r="E120" s="1359" t="s">
        <v>1783</v>
      </c>
      <c r="G120" s="1359" t="s">
        <v>376</v>
      </c>
      <c r="H120" s="498">
        <v>0</v>
      </c>
      <c r="I120" s="498">
        <v>0</v>
      </c>
      <c r="J120" s="710">
        <v>0</v>
      </c>
      <c r="K120" s="710">
        <v>0</v>
      </c>
      <c r="L120" s="510">
        <f>SUM(H120:K120)</f>
        <v>0</v>
      </c>
      <c r="N120" s="1468">
        <f>-ROUND(SUMIF('1.0'!$D:$D,T_IS!D120,'1.0'!$V:$V),0)</f>
        <v>0</v>
      </c>
      <c r="O120" s="509">
        <f>-ROUND(SUMIF('2.0'!$D:$D,T_IS!D120,'2.0'!$V:$V),0)</f>
        <v>0</v>
      </c>
      <c r="P120" s="509">
        <f>-ROUND(SUMIF('3.0'!$D:$D,T_IS!D120,'3.0'!$H:$H),0)</f>
        <v>0</v>
      </c>
      <c r="Q120" s="509">
        <f>-ROUND(SUMIF('4.0'!$D:$D,T_IS!D120,'4.0'!$V:$V),0)</f>
        <v>0</v>
      </c>
      <c r="R120" s="509">
        <f>ROUND(SUMIF('5.0'!$D:$D,T_IS!D120,'5.0'!$V:$V),0)</f>
        <v>0</v>
      </c>
      <c r="S120" s="509">
        <f>ROUND(SUMIF('6.0'!$D:$D,T_IS!D120,'6.0'!$V:$V),0)</f>
        <v>0</v>
      </c>
      <c r="T120" s="509">
        <f>-ROUND(SUMIF('7.0'!$D:$D,T_IS!D120,'7.0'!$V:$V),0)</f>
        <v>0</v>
      </c>
      <c r="U120" s="509">
        <f>-ROUND(SUMIF('8.0'!$D:$D,T_IS!F120,'8.0'!$H:$H),0)</f>
        <v>0</v>
      </c>
      <c r="V120" s="1470">
        <f>SUM(N120:U120)</f>
        <v>0</v>
      </c>
      <c r="X120" s="1616">
        <f>V120+L120</f>
        <v>0</v>
      </c>
      <c r="Z120" s="1616">
        <f t="shared" si="95"/>
        <v>0</v>
      </c>
      <c r="AA120" s="1616">
        <f t="shared" si="96"/>
        <v>0</v>
      </c>
      <c r="AB120" s="1616">
        <f t="shared" si="97"/>
        <v>0</v>
      </c>
      <c r="AD120" s="1616">
        <f t="shared" si="98"/>
        <v>0</v>
      </c>
      <c r="AE120" s="1616">
        <f t="shared" si="99"/>
        <v>0</v>
      </c>
      <c r="AF120" s="1616">
        <f t="shared" si="100"/>
        <v>0</v>
      </c>
      <c r="AH120" s="1616">
        <f t="shared" si="101"/>
        <v>0</v>
      </c>
      <c r="AI120" s="1616">
        <f t="shared" si="102"/>
        <v>0</v>
      </c>
      <c r="AJ120" s="1616">
        <f t="shared" si="103"/>
        <v>0</v>
      </c>
      <c r="AL120" s="550">
        <v>0</v>
      </c>
      <c r="AM120" s="550">
        <v>0</v>
      </c>
      <c r="AN120" s="550">
        <v>0</v>
      </c>
      <c r="AO120" s="550">
        <v>0</v>
      </c>
      <c r="AP120" s="550">
        <v>0</v>
      </c>
      <c r="AQ120" s="550">
        <v>0</v>
      </c>
      <c r="AR120" s="550">
        <v>0</v>
      </c>
      <c r="AS120" s="550">
        <v>0</v>
      </c>
      <c r="AT120" s="550">
        <v>0</v>
      </c>
      <c r="AU120" s="550">
        <v>0</v>
      </c>
      <c r="AV120" s="550">
        <v>0</v>
      </c>
      <c r="AW120" s="1616">
        <v>0</v>
      </c>
      <c r="AX120" s="509">
        <v>0</v>
      </c>
      <c r="AY120" s="1616">
        <v>0</v>
      </c>
      <c r="AZ120" s="1617">
        <v>0</v>
      </c>
      <c r="BA120" s="1618">
        <v>0</v>
      </c>
    </row>
    <row r="121" spans="1:53" ht="18" customHeight="1">
      <c r="A121" s="509"/>
      <c r="D121" s="1588"/>
      <c r="E121" s="1589"/>
      <c r="F121" s="1627"/>
      <c r="G121" s="1589" t="s">
        <v>377</v>
      </c>
      <c r="H121" s="520">
        <f>SUM(H122:H123)</f>
        <v>553461407</v>
      </c>
      <c r="I121" s="506">
        <f>SUM(I122:I123)</f>
        <v>0</v>
      </c>
      <c r="J121" s="506">
        <f>SUM(J122:J123)</f>
        <v>0</v>
      </c>
      <c r="K121" s="506">
        <f>SUM(K122:K123)</f>
        <v>0</v>
      </c>
      <c r="L121" s="507">
        <f>SUM(L122:L123)</f>
        <v>553461407</v>
      </c>
      <c r="N121" s="1628">
        <f>SUM(N122:N123)</f>
        <v>-553461407</v>
      </c>
      <c r="O121" s="506">
        <f>SUM(O122:O123)</f>
        <v>0</v>
      </c>
      <c r="P121" s="506">
        <f t="shared" ref="P121:U121" si="104">SUM(P122:P122)</f>
        <v>0</v>
      </c>
      <c r="Q121" s="506">
        <f t="shared" si="104"/>
        <v>0</v>
      </c>
      <c r="R121" s="506">
        <f t="shared" si="104"/>
        <v>0</v>
      </c>
      <c r="S121" s="506">
        <f t="shared" si="104"/>
        <v>0</v>
      </c>
      <c r="T121" s="506">
        <f t="shared" si="104"/>
        <v>0</v>
      </c>
      <c r="U121" s="506">
        <f t="shared" si="104"/>
        <v>0</v>
      </c>
      <c r="V121" s="1629">
        <f>SUM(V122:V123)</f>
        <v>-553461407</v>
      </c>
      <c r="X121" s="1630">
        <f>SUM(X122:X123)</f>
        <v>0</v>
      </c>
      <c r="Z121" s="1630">
        <f>SUM(Z122:Z123)</f>
        <v>0</v>
      </c>
      <c r="AA121" s="1630">
        <f>SUM(AA122:AA123)</f>
        <v>0</v>
      </c>
      <c r="AB121" s="1630">
        <f>SUM(AB122:AB123)</f>
        <v>0</v>
      </c>
      <c r="AD121" s="1630">
        <f>SUM(AD122:AD123)</f>
        <v>0</v>
      </c>
      <c r="AE121" s="1630">
        <f>SUM(AE122:AE123)</f>
        <v>0</v>
      </c>
      <c r="AF121" s="1630">
        <f>SUM(AF122:AF123)</f>
        <v>0</v>
      </c>
      <c r="AH121" s="1630">
        <f>SUM(AH122:AH123)</f>
        <v>0</v>
      </c>
      <c r="AI121" s="1630">
        <f>SUM(AI122:AI123)</f>
        <v>0</v>
      </c>
      <c r="AJ121" s="1630">
        <f>SUM(AJ122:AJ123)</f>
        <v>0</v>
      </c>
      <c r="AL121" s="1631">
        <v>0</v>
      </c>
      <c r="AM121" s="1631">
        <v>0</v>
      </c>
      <c r="AN121" s="1631">
        <v>0</v>
      </c>
      <c r="AO121" s="1631">
        <v>0</v>
      </c>
      <c r="AP121" s="1631">
        <v>0</v>
      </c>
      <c r="AQ121" s="1631">
        <v>0</v>
      </c>
      <c r="AR121" s="1631">
        <v>0</v>
      </c>
      <c r="AS121" s="1631">
        <v>0</v>
      </c>
      <c r="AT121" s="1631">
        <v>0</v>
      </c>
      <c r="AU121" s="1631">
        <v>0</v>
      </c>
      <c r="AV121" s="1631">
        <v>0</v>
      </c>
      <c r="AW121" s="1630">
        <f>SUM(AW122:AW123)</f>
        <v>0</v>
      </c>
      <c r="AX121" s="506">
        <f>SUM(AX122:AX123)</f>
        <v>0</v>
      </c>
      <c r="AY121" s="1630">
        <f>SUM(AY122:AY123)</f>
        <v>0</v>
      </c>
      <c r="AZ121" s="1630">
        <f>SUM(AZ122:AZ123)</f>
        <v>0</v>
      </c>
      <c r="BA121" s="1632">
        <f>SUM(BA122:BA123)</f>
        <v>0</v>
      </c>
    </row>
    <row r="122" spans="1:53" ht="18" customHeight="1">
      <c r="A122" s="509"/>
      <c r="D122" s="1593" t="s">
        <v>378</v>
      </c>
      <c r="E122" s="1359" t="s">
        <v>1783</v>
      </c>
      <c r="G122" s="1359" t="s">
        <v>377</v>
      </c>
      <c r="H122" s="498">
        <v>553461407</v>
      </c>
      <c r="I122" s="498">
        <v>0</v>
      </c>
      <c r="J122" s="710">
        <v>0</v>
      </c>
      <c r="K122" s="710">
        <v>0</v>
      </c>
      <c r="L122" s="510">
        <f>SUM(H122:K122)</f>
        <v>553461407</v>
      </c>
      <c r="N122" s="1468">
        <f>ROUND(SUMIF('1.0'!$D:$D,T_IS!D122,'1.0'!$V:$V),0)</f>
        <v>-553461407</v>
      </c>
      <c r="O122" s="509">
        <f>ROUND(SUMIF('2.0'!$D:$D,T_IS!D122,'2.0'!$V:$V),0)</f>
        <v>0</v>
      </c>
      <c r="P122" s="509">
        <f>ROUND(SUMIF('3.0'!$D:$D,T_IS!D122,'3.0'!$H:$H),0)</f>
        <v>0</v>
      </c>
      <c r="Q122" s="509">
        <f>ROUND(SUMIF('4.0'!$D:$D,T_IS!D122,'4.0'!$V:$V),0)</f>
        <v>0</v>
      </c>
      <c r="R122" s="509">
        <f>ROUND(SUMIF('5.0'!$D:$D,T_IS!D122,'5.0'!$V:$V),0)</f>
        <v>0</v>
      </c>
      <c r="S122" s="509">
        <f>ROUND(SUMIF('6.0'!$D:$D,T_IS!D122,'6.0'!$V:$V),0)</f>
        <v>0</v>
      </c>
      <c r="T122" s="509">
        <f>ROUND(SUMIF('7.0'!$D:$D,T_IS!D122,'7.0'!$V:$V),0)</f>
        <v>0</v>
      </c>
      <c r="U122" s="509">
        <f>ROUND(SUMIF('8.0'!$D:$D,T_IS!F122,'8.0'!$H:$H),0)</f>
        <v>0</v>
      </c>
      <c r="V122" s="1470">
        <f>SUM(N122:U122)</f>
        <v>-553461407</v>
      </c>
      <c r="X122" s="1616">
        <f>V122+L122</f>
        <v>0</v>
      </c>
      <c r="Z122" s="1616">
        <f t="shared" ref="Z122:Z123" si="105">X122-AN122</f>
        <v>0</v>
      </c>
      <c r="AA122" s="1616">
        <f t="shared" ref="AA122:AA123" si="106">AS122-AU122</f>
        <v>0</v>
      </c>
      <c r="AB122" s="1616">
        <f t="shared" ref="AB122:AB123" si="107">Z122-AA122</f>
        <v>0</v>
      </c>
      <c r="AD122" s="1616">
        <f t="shared" ref="AD122:AD123" si="108">X122-AN122</f>
        <v>0</v>
      </c>
      <c r="AE122" s="1616">
        <f t="shared" ref="AE122:AE123" si="109">AN122-AQ122</f>
        <v>0</v>
      </c>
      <c r="AF122" s="1616">
        <f t="shared" ref="AF122:AF123" si="110">AD122-AE122</f>
        <v>0</v>
      </c>
      <c r="AH122" s="1616">
        <f t="shared" ref="AH122:AH123" si="111">X122-AL122</f>
        <v>0</v>
      </c>
      <c r="AI122" s="1616">
        <f t="shared" ref="AI122:AI123" si="112">AL122-AM122</f>
        <v>0</v>
      </c>
      <c r="AJ122" s="1616">
        <f t="shared" ref="AJ122:AJ123" si="113">AH122-AI122</f>
        <v>0</v>
      </c>
      <c r="AL122" s="550">
        <v>0</v>
      </c>
      <c r="AM122" s="550">
        <v>0</v>
      </c>
      <c r="AN122" s="550">
        <v>0</v>
      </c>
      <c r="AO122" s="550">
        <v>0</v>
      </c>
      <c r="AP122" s="550">
        <v>0</v>
      </c>
      <c r="AQ122" s="550">
        <v>0</v>
      </c>
      <c r="AR122" s="550">
        <v>0</v>
      </c>
      <c r="AS122" s="550">
        <v>0</v>
      </c>
      <c r="AT122" s="550">
        <v>0</v>
      </c>
      <c r="AU122" s="550">
        <v>0</v>
      </c>
      <c r="AV122" s="550">
        <v>0</v>
      </c>
      <c r="AW122" s="1616">
        <v>0</v>
      </c>
      <c r="AX122" s="509">
        <v>0</v>
      </c>
      <c r="AY122" s="1616">
        <v>0</v>
      </c>
      <c r="AZ122" s="1617">
        <v>0</v>
      </c>
      <c r="BA122" s="1618">
        <v>0</v>
      </c>
    </row>
    <row r="123" spans="1:53" ht="18" customHeight="1">
      <c r="A123" s="509"/>
      <c r="D123" s="1593">
        <v>714000</v>
      </c>
      <c r="E123" s="1359" t="s">
        <v>1783</v>
      </c>
      <c r="G123" s="1359" t="s">
        <v>1696</v>
      </c>
      <c r="H123" s="498">
        <v>0</v>
      </c>
      <c r="I123" s="498">
        <v>0</v>
      </c>
      <c r="J123" s="710">
        <v>0</v>
      </c>
      <c r="K123" s="710">
        <v>0</v>
      </c>
      <c r="L123" s="510">
        <f>SUM(H123:K123)</f>
        <v>0</v>
      </c>
      <c r="N123" s="1468">
        <f>ROUND(SUMIF('1.0'!$D:$D,T_IS!D123,'1.0'!$V:$V),0)</f>
        <v>0</v>
      </c>
      <c r="O123" s="509">
        <f>ROUND(SUMIF('2.0'!$D:$D,T_IS!D123,'2.0'!$V:$V),0)</f>
        <v>0</v>
      </c>
      <c r="P123" s="509">
        <f>ROUND(SUMIF('3.0'!$D:$D,T_IS!D123,'3.0'!$H:$H),0)</f>
        <v>0</v>
      </c>
      <c r="Q123" s="509">
        <f>ROUND(SUMIF('4.0'!$D:$D,T_IS!D123,'4.0'!$V:$V),0)</f>
        <v>0</v>
      </c>
      <c r="R123" s="509">
        <f>ROUND(SUMIF('5.0'!$D:$D,T_IS!D123,'5.0'!$V:$V),0)</f>
        <v>0</v>
      </c>
      <c r="S123" s="509">
        <f>ROUND(SUMIF('6.0'!$D:$D,T_IS!D123,'6.0'!$V:$V),0)</f>
        <v>0</v>
      </c>
      <c r="T123" s="509">
        <f>ROUND(SUMIF('7.0'!$D:$D,T_IS!D123,'7.0'!$V:$V),0)</f>
        <v>0</v>
      </c>
      <c r="U123" s="509">
        <f>ROUND(SUMIF('8.0'!$D:$D,T_IS!F123,'8.0'!$H:$H),0)</f>
        <v>0</v>
      </c>
      <c r="V123" s="1470">
        <f>SUM(N123:U123)</f>
        <v>0</v>
      </c>
      <c r="X123" s="1616">
        <f>V123+L123</f>
        <v>0</v>
      </c>
      <c r="Z123" s="1616">
        <f t="shared" si="105"/>
        <v>0</v>
      </c>
      <c r="AA123" s="1616">
        <f t="shared" si="106"/>
        <v>0</v>
      </c>
      <c r="AB123" s="1616">
        <f t="shared" si="107"/>
        <v>0</v>
      </c>
      <c r="AD123" s="1616">
        <f t="shared" si="108"/>
        <v>0</v>
      </c>
      <c r="AE123" s="1616">
        <f t="shared" si="109"/>
        <v>0</v>
      </c>
      <c r="AF123" s="1616">
        <f t="shared" si="110"/>
        <v>0</v>
      </c>
      <c r="AH123" s="1616">
        <f t="shared" si="111"/>
        <v>0</v>
      </c>
      <c r="AI123" s="1616">
        <f t="shared" si="112"/>
        <v>0</v>
      </c>
      <c r="AJ123" s="1616">
        <f t="shared" si="113"/>
        <v>0</v>
      </c>
      <c r="AL123" s="550">
        <v>0</v>
      </c>
      <c r="AM123" s="550">
        <v>0</v>
      </c>
      <c r="AN123" s="550">
        <v>0</v>
      </c>
      <c r="AO123" s="550">
        <v>0</v>
      </c>
      <c r="AP123" s="550">
        <v>0</v>
      </c>
      <c r="AQ123" s="550">
        <v>0</v>
      </c>
      <c r="AR123" s="550">
        <v>0</v>
      </c>
      <c r="AS123" s="550">
        <v>0</v>
      </c>
      <c r="AT123" s="550">
        <v>0</v>
      </c>
      <c r="AU123" s="550">
        <v>0</v>
      </c>
      <c r="AV123" s="550">
        <v>0</v>
      </c>
      <c r="AW123" s="1616">
        <v>0</v>
      </c>
      <c r="AX123" s="509">
        <v>0</v>
      </c>
      <c r="AY123" s="1616">
        <v>0</v>
      </c>
      <c r="AZ123" s="1617">
        <v>0</v>
      </c>
      <c r="BA123" s="1618">
        <v>0</v>
      </c>
    </row>
    <row r="124" spans="1:53" ht="18" customHeight="1">
      <c r="A124" s="509"/>
      <c r="D124" s="1583"/>
      <c r="E124" s="1584"/>
      <c r="F124" s="1607"/>
      <c r="G124" s="1584" t="s">
        <v>379</v>
      </c>
      <c r="H124" s="1619">
        <f>H75+H76-H87+H100-H107+H117+H123-H122</f>
        <v>29481059137</v>
      </c>
      <c r="I124" s="503">
        <f>I75+I76-I87+I100-I107+I117+I123-I122</f>
        <v>-355394710</v>
      </c>
      <c r="J124" s="503">
        <f>J75+J76-J87+J100-J107+J117+J123-J122</f>
        <v>238446853</v>
      </c>
      <c r="K124" s="503">
        <f>K75+K76-K87+K100-K107+K117+K123-K122</f>
        <v>1409084281</v>
      </c>
      <c r="L124" s="504">
        <f>L75+L76-L87+L100-L107+L117+L123-L122</f>
        <v>30773195561</v>
      </c>
      <c r="N124" s="1620">
        <f t="shared" ref="N124:V124" si="114">N75+N76-N87+N100-N107+N117-N121</f>
        <v>553461407</v>
      </c>
      <c r="O124" s="503">
        <f t="shared" si="114"/>
        <v>0</v>
      </c>
      <c r="P124" s="503">
        <f t="shared" si="114"/>
        <v>-1549804203</v>
      </c>
      <c r="Q124" s="503">
        <f t="shared" si="114"/>
        <v>-165946831</v>
      </c>
      <c r="R124" s="503">
        <f t="shared" si="114"/>
        <v>-19842800</v>
      </c>
      <c r="S124" s="503">
        <f t="shared" si="114"/>
        <v>0</v>
      </c>
      <c r="T124" s="503">
        <f t="shared" si="114"/>
        <v>-206894832</v>
      </c>
      <c r="U124" s="503">
        <f t="shared" si="114"/>
        <v>0</v>
      </c>
      <c r="V124" s="1621">
        <f t="shared" si="114"/>
        <v>-1389027259</v>
      </c>
      <c r="X124" s="1622">
        <f>X75+X76-X87+X100-X107+X117-X121</f>
        <v>29384168302</v>
      </c>
      <c r="Z124" s="1622">
        <f>Z75+Z76-Z87+Z100-Z107+Z117-Z121</f>
        <v>-16659749013</v>
      </c>
      <c r="AA124" s="1622">
        <f>AA75+AA76-AA87+AA100-AA107+AA117-AA121</f>
        <v>-15186737113</v>
      </c>
      <c r="AB124" s="1622">
        <f>AB75+AB76-AB87+AB100-AB107+AB117-AB121</f>
        <v>-1473011900</v>
      </c>
      <c r="AD124" s="1622">
        <f>AD75+AD76-AD87+AD100-AD107+AD117-AD121</f>
        <v>-16659749013</v>
      </c>
      <c r="AE124" s="1622">
        <f>AE75+AE76-AE87+AE100-AE107+AE117-AE121</f>
        <v>9838882917</v>
      </c>
      <c r="AF124" s="1622">
        <f>AF75+AF76-AF87+AF100-AF107+AF117-AF121</f>
        <v>-26498631930</v>
      </c>
      <c r="AH124" s="1622">
        <f>AH75+AH76-AH87+AH100-AH107+AH117-AH121</f>
        <v>-15323165047</v>
      </c>
      <c r="AI124" s="1622">
        <f>AI75+AI76-AI87+AI100-AI107+AI117-AI121</f>
        <v>-1304906737</v>
      </c>
      <c r="AJ124" s="1622">
        <f>AJ75+AJ76-AJ87+AJ100-AJ107+AJ117-AJ121</f>
        <v>-14018258310</v>
      </c>
      <c r="AL124" s="1623">
        <v>44707333349</v>
      </c>
      <c r="AM124" s="1623">
        <v>46012240086</v>
      </c>
      <c r="AN124" s="1623">
        <v>46043917315</v>
      </c>
      <c r="AO124" s="1623">
        <v>36963282749</v>
      </c>
      <c r="AP124" s="1623">
        <v>36928215234</v>
      </c>
      <c r="AQ124" s="1623">
        <v>36205034398</v>
      </c>
      <c r="AR124" s="1623">
        <v>12563565105</v>
      </c>
      <c r="AS124" s="1623">
        <v>-15844876543</v>
      </c>
      <c r="AT124" s="1623">
        <v>166780455</v>
      </c>
      <c r="AU124" s="1623">
        <v>-658139430</v>
      </c>
      <c r="AV124" s="1623">
        <v>-14660494574</v>
      </c>
      <c r="AW124" s="1622">
        <f>AW75+AW76-AW87+AW100-AW107+AW117-AW121</f>
        <v>2292303761</v>
      </c>
      <c r="AX124" s="503">
        <f>AX75+AX76-AX87+AX100-AX107+AX117-AX121</f>
        <v>-25048195496</v>
      </c>
      <c r="AY124" s="1622">
        <f>AY75+AY76-AY87+AY100-AY107+AY117-AY121</f>
        <v>-9235216767</v>
      </c>
      <c r="AZ124" s="1622">
        <f>AZ75+AZ76-AZ87+AZ100-AZ107+AZ117-AZ121</f>
        <v>-4570284914</v>
      </c>
      <c r="BA124" s="1812">
        <f>BA75+BA76-BA87+BA100-BA107+BA117-BA121</f>
        <v>-86169462</v>
      </c>
    </row>
    <row r="125" spans="1:53" ht="18" customHeight="1">
      <c r="A125" s="509"/>
      <c r="D125" s="1588"/>
      <c r="E125" s="1589"/>
      <c r="F125" s="1627"/>
      <c r="G125" s="1589" t="s">
        <v>380</v>
      </c>
      <c r="H125" s="506">
        <f>H126</f>
        <v>144819225</v>
      </c>
      <c r="I125" s="506">
        <f>I126</f>
        <v>0</v>
      </c>
      <c r="J125" s="506">
        <f>J126</f>
        <v>0</v>
      </c>
      <c r="K125" s="506">
        <f>K126</f>
        <v>2851976</v>
      </c>
      <c r="L125" s="507">
        <f>L126</f>
        <v>147671201</v>
      </c>
      <c r="N125" s="1628">
        <f t="shared" ref="N125:V125" si="115">N126</f>
        <v>0</v>
      </c>
      <c r="O125" s="506">
        <f t="shared" si="115"/>
        <v>0</v>
      </c>
      <c r="P125" s="506">
        <f t="shared" si="115"/>
        <v>0</v>
      </c>
      <c r="Q125" s="506">
        <f t="shared" si="115"/>
        <v>0</v>
      </c>
      <c r="R125" s="506">
        <f t="shared" si="115"/>
        <v>0</v>
      </c>
      <c r="S125" s="506">
        <f t="shared" si="115"/>
        <v>0</v>
      </c>
      <c r="T125" s="506">
        <f t="shared" si="115"/>
        <v>0</v>
      </c>
      <c r="U125" s="506">
        <f t="shared" si="115"/>
        <v>0</v>
      </c>
      <c r="V125" s="1629">
        <f t="shared" si="115"/>
        <v>0</v>
      </c>
      <c r="X125" s="1630">
        <f>X126</f>
        <v>147671201</v>
      </c>
      <c r="Z125" s="1630">
        <f>Z126</f>
        <v>-167583707</v>
      </c>
      <c r="AA125" s="1630">
        <f>AA126</f>
        <v>-206380665</v>
      </c>
      <c r="AB125" s="1630">
        <f>AB126</f>
        <v>38796958</v>
      </c>
      <c r="AD125" s="1630">
        <f>AD126</f>
        <v>-167583707</v>
      </c>
      <c r="AE125" s="1630">
        <f>AE126</f>
        <v>9037085</v>
      </c>
      <c r="AF125" s="1630">
        <f>AF126</f>
        <v>-176620792</v>
      </c>
      <c r="AH125" s="1630">
        <f>AH126</f>
        <v>-167568627</v>
      </c>
      <c r="AI125" s="1630">
        <f>AI126</f>
        <v>-9193</v>
      </c>
      <c r="AJ125" s="1630">
        <f>AJ126</f>
        <v>-167559434</v>
      </c>
      <c r="AL125" s="1631">
        <v>315239828</v>
      </c>
      <c r="AM125" s="1631">
        <v>315249021</v>
      </c>
      <c r="AN125" s="1631">
        <v>315254908</v>
      </c>
      <c r="AO125" s="1631">
        <v>306159910</v>
      </c>
      <c r="AP125" s="1631">
        <v>306168030</v>
      </c>
      <c r="AQ125" s="1631">
        <v>306217823</v>
      </c>
      <c r="AR125" s="1631">
        <v>266200741</v>
      </c>
      <c r="AS125" s="1631">
        <v>258216482</v>
      </c>
      <c r="AT125" s="1631">
        <v>480535403</v>
      </c>
      <c r="AU125" s="1631">
        <v>464597147</v>
      </c>
      <c r="AV125" s="1631">
        <v>241042872</v>
      </c>
      <c r="AW125" s="1630">
        <f>AW126</f>
        <v>116907703</v>
      </c>
      <c r="AX125" s="506">
        <f>AX126</f>
        <v>-1980322895</v>
      </c>
      <c r="AY125" s="1630">
        <f>AY126</f>
        <v>-190300445</v>
      </c>
      <c r="AZ125" s="1630">
        <f>AZ126</f>
        <v>-126707914</v>
      </c>
      <c r="BA125" s="1813">
        <f>BA126</f>
        <v>-62271284</v>
      </c>
    </row>
    <row r="126" spans="1:53" ht="18" customHeight="1">
      <c r="A126" s="509"/>
      <c r="D126" s="1593">
        <v>811100</v>
      </c>
      <c r="E126" s="1359" t="s">
        <v>380</v>
      </c>
      <c r="F126" s="1361">
        <v>801</v>
      </c>
      <c r="G126" s="1359" t="s">
        <v>380</v>
      </c>
      <c r="H126" s="498">
        <v>144819225</v>
      </c>
      <c r="I126" s="498">
        <v>0</v>
      </c>
      <c r="J126" s="710">
        <v>0</v>
      </c>
      <c r="K126" s="710">
        <v>2851976</v>
      </c>
      <c r="L126" s="510">
        <f>SUM(H126:K126)</f>
        <v>147671201</v>
      </c>
      <c r="N126" s="1468">
        <f>ROUND(SUMIF('1.0'!$D:$D,T_IS!D126,'1.0'!$V:$V),0)</f>
        <v>0</v>
      </c>
      <c r="O126" s="509">
        <f>ROUND(SUMIF('2.0'!$D:$D,T_IS!D126,'2.0'!$V:$V),0)</f>
        <v>0</v>
      </c>
      <c r="P126" s="509">
        <f>ROUND(SUMIF('3.0'!$D:$D,T_IS!D126,'3.0'!$H:$H),0)</f>
        <v>0</v>
      </c>
      <c r="Q126" s="509">
        <f>ROUND(SUMIF('4.0'!$D:$D,T_IS!D126,'4.0'!$V:$V),0)</f>
        <v>0</v>
      </c>
      <c r="R126" s="509">
        <f>ROUND(SUMIF('5.0'!$D:$D,T_IS!D126,'5.0'!$V:$V),0)</f>
        <v>0</v>
      </c>
      <c r="S126" s="509">
        <f>ROUND(SUMIF('6.0'!$D:$D,T_IS!D126,'6.0'!$V:$V),0)</f>
        <v>0</v>
      </c>
      <c r="T126" s="509">
        <f>ROUND(SUMIF('7.0'!$D:$D,T_IS!D126,'7.0'!$V:$V),0)</f>
        <v>0</v>
      </c>
      <c r="U126" s="509">
        <f>ROUND(SUMIF('8.0'!$D:$D,T_IS!F126,'8.0'!$H:$H),0)</f>
        <v>0</v>
      </c>
      <c r="V126" s="1470">
        <f>SUM(N126:U126)</f>
        <v>0</v>
      </c>
      <c r="X126" s="1616">
        <f>V126+L126</f>
        <v>147671201</v>
      </c>
      <c r="Z126" s="1616">
        <f>X126-AN126</f>
        <v>-167583707</v>
      </c>
      <c r="AA126" s="1616">
        <f>AS126-AU126</f>
        <v>-206380665</v>
      </c>
      <c r="AB126" s="1616">
        <f>Z126-AA126</f>
        <v>38796958</v>
      </c>
      <c r="AD126" s="1616">
        <f>X126-AN126</f>
        <v>-167583707</v>
      </c>
      <c r="AE126" s="1616">
        <f>AN126-AQ126</f>
        <v>9037085</v>
      </c>
      <c r="AF126" s="1616">
        <f>AD126-AE126</f>
        <v>-176620792</v>
      </c>
      <c r="AH126" s="1616">
        <f>X126-AL126</f>
        <v>-167568627</v>
      </c>
      <c r="AI126" s="1616">
        <f>AL126-AM126</f>
        <v>-9193</v>
      </c>
      <c r="AJ126" s="1616">
        <f>AH126-AI126</f>
        <v>-167559434</v>
      </c>
      <c r="AL126" s="550">
        <v>315239828</v>
      </c>
      <c r="AM126" s="550">
        <v>315249021</v>
      </c>
      <c r="AN126" s="550">
        <v>315254908</v>
      </c>
      <c r="AO126" s="550">
        <v>306159910</v>
      </c>
      <c r="AP126" s="550">
        <v>306168030</v>
      </c>
      <c r="AQ126" s="550">
        <v>306217823</v>
      </c>
      <c r="AR126" s="550">
        <v>266200741</v>
      </c>
      <c r="AS126" s="550">
        <v>258216482</v>
      </c>
      <c r="AT126" s="550">
        <v>480535403</v>
      </c>
      <c r="AU126" s="550">
        <v>464597147</v>
      </c>
      <c r="AV126" s="550">
        <v>241042872</v>
      </c>
      <c r="AW126" s="1616">
        <v>116907703</v>
      </c>
      <c r="AX126" s="509">
        <v>-1980322895</v>
      </c>
      <c r="AY126" s="1616">
        <v>-190300445</v>
      </c>
      <c r="AZ126" s="1616">
        <v>-126707914</v>
      </c>
      <c r="BA126" s="1811">
        <v>-62271284</v>
      </c>
    </row>
    <row r="127" spans="1:53" ht="18" customHeight="1">
      <c r="A127" s="509"/>
      <c r="D127" s="1583"/>
      <c r="E127" s="1584"/>
      <c r="F127" s="1607"/>
      <c r="G127" s="1584" t="s">
        <v>2623</v>
      </c>
      <c r="H127" s="503">
        <f>H124-H125</f>
        <v>29336239912</v>
      </c>
      <c r="I127" s="503">
        <f>I124-I125</f>
        <v>-355394710</v>
      </c>
      <c r="J127" s="503">
        <f>J124-J125</f>
        <v>238446853</v>
      </c>
      <c r="K127" s="503">
        <f>K124-K125</f>
        <v>1406232305</v>
      </c>
      <c r="L127" s="504">
        <f>L124-L125</f>
        <v>30625524360</v>
      </c>
      <c r="N127" s="1620">
        <f t="shared" ref="N127:V127" si="116">N124-N125</f>
        <v>553461407</v>
      </c>
      <c r="O127" s="503">
        <f t="shared" si="116"/>
        <v>0</v>
      </c>
      <c r="P127" s="503">
        <f t="shared" si="116"/>
        <v>-1549804203</v>
      </c>
      <c r="Q127" s="503">
        <f t="shared" si="116"/>
        <v>-165946831</v>
      </c>
      <c r="R127" s="503">
        <f t="shared" si="116"/>
        <v>-19842800</v>
      </c>
      <c r="S127" s="503">
        <f t="shared" si="116"/>
        <v>0</v>
      </c>
      <c r="T127" s="503">
        <f t="shared" si="116"/>
        <v>-206894832</v>
      </c>
      <c r="U127" s="503">
        <f t="shared" si="116"/>
        <v>0</v>
      </c>
      <c r="V127" s="1621">
        <f t="shared" si="116"/>
        <v>-1389027259</v>
      </c>
      <c r="X127" s="1622">
        <f>X124-X125</f>
        <v>29236497101</v>
      </c>
      <c r="Z127" s="1622">
        <f>Z124-Z125</f>
        <v>-16492165306</v>
      </c>
      <c r="AA127" s="1622">
        <f>AA124-AA125</f>
        <v>-14980356448</v>
      </c>
      <c r="AB127" s="1622">
        <f>AB124-AB125</f>
        <v>-1511808858</v>
      </c>
      <c r="AD127" s="1622">
        <f>AD124-AD125</f>
        <v>-16492165306</v>
      </c>
      <c r="AE127" s="1622">
        <f>AE124-AE125</f>
        <v>9829845832</v>
      </c>
      <c r="AF127" s="1622">
        <f>AF124-AF125</f>
        <v>-26322011138</v>
      </c>
      <c r="AH127" s="1622">
        <f>AH124-AH125</f>
        <v>-15155596420</v>
      </c>
      <c r="AI127" s="1622">
        <f>AI124-AI125</f>
        <v>-1304897544</v>
      </c>
      <c r="AJ127" s="1622">
        <f>AJ124-AJ125</f>
        <v>-13850698876</v>
      </c>
      <c r="AL127" s="1623">
        <v>44392093521</v>
      </c>
      <c r="AM127" s="1623">
        <v>45696991065</v>
      </c>
      <c r="AN127" s="1623">
        <v>45728662407</v>
      </c>
      <c r="AO127" s="1623">
        <v>36657122839</v>
      </c>
      <c r="AP127" s="1623">
        <v>36622047204</v>
      </c>
      <c r="AQ127" s="1623">
        <v>35898816575</v>
      </c>
      <c r="AR127" s="1623">
        <v>12297364364</v>
      </c>
      <c r="AS127" s="1623">
        <v>-16103093025</v>
      </c>
      <c r="AT127" s="1623">
        <v>-313754948</v>
      </c>
      <c r="AU127" s="1623">
        <v>-1122736577</v>
      </c>
      <c r="AV127" s="1623">
        <v>-14901537446</v>
      </c>
      <c r="AW127" s="1622">
        <f>AW124-AW125</f>
        <v>2175396058</v>
      </c>
      <c r="AX127" s="503">
        <f>AX124-AX125</f>
        <v>-23067872601</v>
      </c>
      <c r="AY127" s="1622">
        <f>AY124-AY125</f>
        <v>-9044916322</v>
      </c>
      <c r="AZ127" s="1622">
        <f>AZ124-AZ125</f>
        <v>-4443577000</v>
      </c>
      <c r="BA127" s="1812">
        <f>BA124-BA125</f>
        <v>-23898178</v>
      </c>
    </row>
    <row r="128" spans="1:53" ht="18" customHeight="1">
      <c r="A128" s="509"/>
      <c r="D128" s="1593" t="s">
        <v>383</v>
      </c>
      <c r="E128" s="1359" t="s">
        <v>11</v>
      </c>
      <c r="G128" s="1359" t="s">
        <v>11</v>
      </c>
      <c r="H128" s="498">
        <f>H127</f>
        <v>29336239912</v>
      </c>
      <c r="I128" s="498">
        <f>I127</f>
        <v>-355394710</v>
      </c>
      <c r="J128" s="498">
        <f>J127</f>
        <v>238446853</v>
      </c>
      <c r="K128" s="498">
        <f>K127</f>
        <v>1406232305</v>
      </c>
      <c r="L128" s="510">
        <f>SUM(H128:K128)</f>
        <v>30625524360</v>
      </c>
      <c r="N128" s="1468">
        <f t="shared" ref="N128:U128" si="117">N127</f>
        <v>553461407</v>
      </c>
      <c r="O128" s="509">
        <f t="shared" si="117"/>
        <v>0</v>
      </c>
      <c r="P128" s="509">
        <f t="shared" si="117"/>
        <v>-1549804203</v>
      </c>
      <c r="Q128" s="509">
        <f t="shared" si="117"/>
        <v>-165946831</v>
      </c>
      <c r="R128" s="509">
        <f t="shared" si="117"/>
        <v>-19842800</v>
      </c>
      <c r="S128" s="509">
        <f t="shared" si="117"/>
        <v>0</v>
      </c>
      <c r="T128" s="509">
        <f t="shared" si="117"/>
        <v>-206894832</v>
      </c>
      <c r="U128" s="509">
        <f t="shared" si="117"/>
        <v>0</v>
      </c>
      <c r="V128" s="1470">
        <f>SUM(N128:U128)</f>
        <v>-1389027259</v>
      </c>
      <c r="X128" s="1616">
        <f>V128+L128</f>
        <v>29236497101</v>
      </c>
      <c r="Z128" s="1616">
        <f>Z127</f>
        <v>-16492165306</v>
      </c>
      <c r="AA128" s="1616">
        <f t="shared" ref="AA128:AB128" si="118">AA127</f>
        <v>-14980356448</v>
      </c>
      <c r="AB128" s="1616">
        <f t="shared" si="118"/>
        <v>-1511808858</v>
      </c>
      <c r="AD128" s="1616">
        <f>AD127</f>
        <v>-16492165306</v>
      </c>
      <c r="AE128" s="1616">
        <f t="shared" ref="AE128:AF128" si="119">AE127</f>
        <v>9829845832</v>
      </c>
      <c r="AF128" s="1616">
        <f t="shared" si="119"/>
        <v>-26322011138</v>
      </c>
      <c r="AH128" s="1616">
        <f>AH127</f>
        <v>-15155596420</v>
      </c>
      <c r="AI128" s="1616">
        <f t="shared" ref="AI128:AJ128" si="120">AI127</f>
        <v>-1304897544</v>
      </c>
      <c r="AJ128" s="1616">
        <f t="shared" si="120"/>
        <v>-13850698876</v>
      </c>
      <c r="AL128" s="550">
        <v>44392093521</v>
      </c>
      <c r="AM128" s="550">
        <v>45696991065</v>
      </c>
      <c r="AN128" s="550">
        <v>45728662407</v>
      </c>
      <c r="AO128" s="550">
        <v>36657122839</v>
      </c>
      <c r="AP128" s="550">
        <v>36622047204</v>
      </c>
      <c r="AQ128" s="550">
        <v>35898816575</v>
      </c>
      <c r="AR128" s="550">
        <v>12297364364</v>
      </c>
      <c r="AS128" s="550">
        <v>-16103093025</v>
      </c>
      <c r="AT128" s="550">
        <v>-313754948</v>
      </c>
      <c r="AU128" s="550">
        <v>-1122736577</v>
      </c>
      <c r="AV128" s="550">
        <f>AV127</f>
        <v>-14901537446</v>
      </c>
      <c r="AW128" s="1616">
        <f>AW127</f>
        <v>2175396058</v>
      </c>
      <c r="AX128" s="509">
        <f>AX127</f>
        <v>-23067872601</v>
      </c>
      <c r="AY128" s="1616">
        <f>AY127</f>
        <v>-9044916322</v>
      </c>
      <c r="AZ128" s="1616">
        <v>-4443577000</v>
      </c>
      <c r="BA128" s="1811">
        <v>-23898178</v>
      </c>
    </row>
    <row r="129" spans="1:53" ht="18" customHeight="1" thickBot="1">
      <c r="A129" s="509"/>
      <c r="D129" s="1646" t="s">
        <v>384</v>
      </c>
      <c r="E129" s="1556" t="s">
        <v>210</v>
      </c>
      <c r="F129" s="1595"/>
      <c r="G129" s="1556" t="s">
        <v>210</v>
      </c>
      <c r="H129" s="513">
        <v>0</v>
      </c>
      <c r="I129" s="513">
        <v>0</v>
      </c>
      <c r="J129" s="513">
        <v>0</v>
      </c>
      <c r="K129" s="513">
        <v>0</v>
      </c>
      <c r="L129" s="514">
        <f>SUM(H129:K129)</f>
        <v>0</v>
      </c>
      <c r="N129" s="1497">
        <f t="shared" ref="N129:U129" si="121">N127-N128</f>
        <v>0</v>
      </c>
      <c r="O129" s="1498">
        <f t="shared" si="121"/>
        <v>0</v>
      </c>
      <c r="P129" s="1498">
        <f t="shared" si="121"/>
        <v>0</v>
      </c>
      <c r="Q129" s="1498">
        <f t="shared" si="121"/>
        <v>0</v>
      </c>
      <c r="R129" s="1498">
        <f t="shared" si="121"/>
        <v>0</v>
      </c>
      <c r="S129" s="1498">
        <f t="shared" si="121"/>
        <v>0</v>
      </c>
      <c r="T129" s="1498">
        <f t="shared" si="121"/>
        <v>0</v>
      </c>
      <c r="U129" s="1498">
        <f t="shared" si="121"/>
        <v>0</v>
      </c>
      <c r="V129" s="1499">
        <f>SUM(N129:U129)</f>
        <v>0</v>
      </c>
      <c r="X129" s="1647">
        <f>X127-X128</f>
        <v>0</v>
      </c>
      <c r="Z129" s="1647">
        <f>AJ129-AT129</f>
        <v>0</v>
      </c>
      <c r="AA129" s="1647">
        <v>0</v>
      </c>
      <c r="AB129" s="1647">
        <f t="shared" ref="AB129" si="122">Z129-AA129</f>
        <v>0</v>
      </c>
      <c r="AD129" s="1647">
        <f>AJ129-AT129</f>
        <v>0</v>
      </c>
      <c r="AE129" s="1647">
        <v>0</v>
      </c>
      <c r="AF129" s="1647">
        <f t="shared" ref="AF129" si="123">AD129-AE129</f>
        <v>0</v>
      </c>
      <c r="AH129" s="1647">
        <f>X129-AP129</f>
        <v>0</v>
      </c>
      <c r="AI129" s="1647">
        <v>0</v>
      </c>
      <c r="AJ129" s="1647">
        <f t="shared" ref="AJ129" si="124">AH129-AI129</f>
        <v>0</v>
      </c>
      <c r="AL129" s="1463">
        <v>0</v>
      </c>
      <c r="AM129" s="1463">
        <v>0</v>
      </c>
      <c r="AN129" s="1463">
        <v>0</v>
      </c>
      <c r="AO129" s="1463">
        <v>0</v>
      </c>
      <c r="AP129" s="1463">
        <v>0</v>
      </c>
      <c r="AQ129" s="1463">
        <v>0</v>
      </c>
      <c r="AR129" s="1463">
        <v>0</v>
      </c>
      <c r="AS129" s="1463">
        <v>0</v>
      </c>
      <c r="AT129" s="1463">
        <v>0</v>
      </c>
      <c r="AU129" s="1463">
        <v>0</v>
      </c>
      <c r="AV129" s="1463">
        <v>0</v>
      </c>
      <c r="AW129" s="1647"/>
      <c r="AX129" s="513">
        <v>0</v>
      </c>
      <c r="AY129" s="1647">
        <v>0</v>
      </c>
      <c r="AZ129" s="1648">
        <v>0</v>
      </c>
      <c r="BA129" s="1649">
        <v>0</v>
      </c>
    </row>
    <row r="130" spans="1:53" s="1362" customFormat="1" ht="18" customHeight="1">
      <c r="F130" s="1574"/>
      <c r="H130" s="840" t="b">
        <f>H127-T_BS!H254=0</f>
        <v>1</v>
      </c>
      <c r="I130" s="1362" t="b">
        <f>I127=T_BS!I254</f>
        <v>1</v>
      </c>
      <c r="J130" s="1362" t="b">
        <f>J127=T_BS!J254</f>
        <v>1</v>
      </c>
      <c r="K130" s="840" t="b">
        <f>K127=T_BS!K254</f>
        <v>1</v>
      </c>
      <c r="L130" s="840"/>
      <c r="N130" s="840">
        <f>N128-T_BS!N254</f>
        <v>0</v>
      </c>
      <c r="O130" s="840">
        <f>O128-T_BS!O254</f>
        <v>0</v>
      </c>
      <c r="P130" s="840">
        <f>P128-T_BS!P254</f>
        <v>0</v>
      </c>
      <c r="Q130" s="840">
        <f>Q128-T_BS!Q254</f>
        <v>0</v>
      </c>
      <c r="R130" s="840">
        <f>R128-T_BS!R254</f>
        <v>0</v>
      </c>
      <c r="S130" s="840">
        <f>S128-T_BS!S254</f>
        <v>0</v>
      </c>
      <c r="T130" s="840">
        <f>T128-T_BS!T254</f>
        <v>0</v>
      </c>
      <c r="U130" s="840">
        <f>U128-T_BS!U254</f>
        <v>0</v>
      </c>
      <c r="V130" s="840"/>
      <c r="X130" s="840"/>
      <c r="Z130" s="840" t="b">
        <f>T_BS!X254-T_BS!AD254=Z128</f>
        <v>1</v>
      </c>
      <c r="AA130" s="840"/>
      <c r="AB130" s="840"/>
      <c r="AD130" s="840" t="b">
        <f>T_BS!X254-T_BS!AD254=AD128</f>
        <v>1</v>
      </c>
      <c r="AE130" s="840"/>
      <c r="AF130" s="840"/>
      <c r="AH130" s="840" t="b">
        <f>T_BS!X254-T_BS!AB254=AH128</f>
        <v>1</v>
      </c>
      <c r="AI130" s="840"/>
      <c r="AJ130" s="840"/>
      <c r="AL130" s="1371"/>
      <c r="AM130" s="1371"/>
      <c r="AN130" s="1371"/>
      <c r="AO130" s="1371"/>
      <c r="AP130" s="1371"/>
      <c r="AQ130" s="1371"/>
      <c r="AR130" s="1371"/>
      <c r="AS130" s="1371"/>
      <c r="AT130" s="1371"/>
      <c r="AU130" s="1371"/>
      <c r="AV130" s="1371"/>
      <c r="AW130" s="1371"/>
      <c r="AY130" s="540"/>
      <c r="AZ130" s="965"/>
      <c r="BA130" s="1371"/>
    </row>
    <row r="131" spans="1:53" ht="18" customHeight="1">
      <c r="L131" s="1650"/>
      <c r="N131" s="509"/>
      <c r="O131" s="509"/>
      <c r="R131" s="1651"/>
      <c r="T131" s="509"/>
      <c r="V131" s="509"/>
      <c r="X131" s="509"/>
      <c r="Z131" s="509"/>
      <c r="AA131" s="509"/>
      <c r="AB131" s="509"/>
      <c r="AD131" s="509"/>
      <c r="AE131" s="509"/>
      <c r="AF131" s="509"/>
      <c r="AH131" s="509"/>
      <c r="AI131" s="509"/>
      <c r="AJ131" s="509"/>
      <c r="AY131" s="498"/>
      <c r="AZ131" s="1371"/>
    </row>
    <row r="132" spans="1:53" ht="18" customHeight="1">
      <c r="H132" s="509"/>
      <c r="I132" s="509"/>
      <c r="L132" s="509"/>
      <c r="X132" s="509"/>
      <c r="Z132" s="509"/>
      <c r="AA132" s="509"/>
      <c r="AB132" s="509"/>
      <c r="AD132" s="509"/>
      <c r="AE132" s="509"/>
      <c r="AF132" s="509"/>
      <c r="AH132" s="509"/>
      <c r="AI132" s="509"/>
      <c r="AJ132" s="509"/>
      <c r="AY132" s="498"/>
    </row>
    <row r="134" spans="1:53" ht="18" customHeight="1">
      <c r="H134" s="1652"/>
      <c r="I134" s="1652"/>
    </row>
    <row r="135" spans="1:53" ht="18" customHeight="1">
      <c r="H135" s="509"/>
      <c r="I135" s="509"/>
      <c r="L135" s="509"/>
    </row>
    <row r="136" spans="1:53" ht="18" customHeight="1">
      <c r="L136" s="509"/>
    </row>
  </sheetData>
  <autoFilter ref="D5:L130" xr:uid="{00000000-0009-0000-0000-000007000000}"/>
  <phoneticPr fontId="22" type="noConversion"/>
  <pageMargins left="0.7" right="0.7" top="0.75" bottom="0.75" header="0.3" footer="0.3"/>
  <pageSetup orientation="portrait" r:id="rId1"/>
  <ignoredErrors>
    <ignoredError sqref="M107:X107 I117 I121 I124:I125 I127 L133:X133 M130:N130 Q130:T130 M131:O131 Q131:S131 H4 H75:H76 H87 H107:I107 H117 H121 M117:X117 L109:S116 U108:X116 M121:X121 M118:S120 U118:X120 M124:X125 M122:S123 U122:X123 M127:X129 M126:S126 U126:X126 L126 L127:L129 L122:L123 L124:L125 L118:L120 L121 L117 L131 L130 K130:K131 J117 J121 J125 J127:J131 J124 V130:X130 H6 H36:H37 H26 I26:L26 I36:L37 M108:S108 L108 L107 K87:L87 K107 L27:L35 L38:L40 L88:L99 L101:L105 V100:X103 V26:X30 U131:X131 L132:S132 U132:X132 AH117:AJ117 AH121:AJ121 AH124:AJ125 AH127:AJ129 AH131:AJ133 AI130:AJ130" formula="1"/>
    <ignoredError sqref="D12:G51 D107:G118 D52:F52 D53:G74 D86:G100 D102:G105 D128:G130 D127:F127 D76:G84 D75:F75 D120:G126 D119:E119 G11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>
    <tabColor theme="9" tint="0.79998168889431442"/>
  </sheetPr>
  <dimension ref="D2:AF39"/>
  <sheetViews>
    <sheetView showGridLines="0" zoomScale="80" zoomScaleNormal="80" workbookViewId="0">
      <pane xSplit="7" ySplit="5" topLeftCell="M6" activePane="bottomRight" state="frozen"/>
      <selection activeCell="I248" sqref="I248"/>
      <selection pane="topRight" activeCell="I248" sqref="I248"/>
      <selection pane="bottomLeft" activeCell="I248" sqref="I248"/>
      <selection pane="bottomRight" activeCell="Y24" sqref="Y24"/>
    </sheetView>
  </sheetViews>
  <sheetFormatPr defaultColWidth="8.75" defaultRowHeight="18" customHeight="1"/>
  <cols>
    <col min="1" max="3" width="2.375" style="1359" customWidth="1"/>
    <col min="4" max="4" width="12.625" style="1359" customWidth="1"/>
    <col min="5" max="5" width="8.625" style="1359" customWidth="1"/>
    <col min="6" max="6" width="10.625" style="1359" customWidth="1"/>
    <col min="7" max="7" width="18.625" style="1502" customWidth="1"/>
    <col min="8" max="9" width="18.625" style="1359" hidden="1" customWidth="1"/>
    <col min="10" max="10" width="16.625" style="1359" hidden="1" customWidth="1"/>
    <col min="11" max="11" width="16.625" style="1359" customWidth="1"/>
    <col min="12" max="12" width="18.625" style="1359" hidden="1" customWidth="1"/>
    <col min="13" max="13" width="16.625" style="1359" customWidth="1"/>
    <col min="14" max="14" width="18.625" style="1359" hidden="1" customWidth="1"/>
    <col min="15" max="15" width="16.625" style="1359" customWidth="1"/>
    <col min="16" max="16" width="18.625" style="1359" hidden="1" customWidth="1"/>
    <col min="17" max="17" width="16.625" style="1359" customWidth="1"/>
    <col min="18" max="18" width="18.625" style="1359" hidden="1" customWidth="1"/>
    <col min="19" max="19" width="16.625" style="1359" customWidth="1"/>
    <col min="20" max="20" width="16.625" style="1359" hidden="1" customWidth="1"/>
    <col min="21" max="21" width="16.625" style="1359" customWidth="1"/>
    <col min="22" max="22" width="16.625" style="1359" hidden="1" customWidth="1"/>
    <col min="23" max="23" width="16.625" style="1359" customWidth="1"/>
    <col min="24" max="24" width="16.625" style="1359" hidden="1" customWidth="1"/>
    <col min="25" max="26" width="16.625" style="1359" customWidth="1"/>
    <col min="27" max="27" width="29.625" style="1359" customWidth="1"/>
    <col min="28" max="28" width="14.375" style="1359" bestFit="1" customWidth="1"/>
    <col min="29" max="29" width="15.5" style="1359" bestFit="1" customWidth="1"/>
    <col min="30" max="30" width="8.5" style="1362" customWidth="1"/>
    <col min="31" max="31" width="16.625" style="1359" customWidth="1"/>
    <col min="32" max="39" width="20.375" style="1359" customWidth="1"/>
    <col min="40" max="16384" width="8.75" style="1359"/>
  </cols>
  <sheetData>
    <row r="2" spans="4:29" ht="18" customHeight="1">
      <c r="H2" s="509"/>
      <c r="I2" s="509"/>
      <c r="J2" s="509"/>
      <c r="K2" s="509"/>
      <c r="Y2" s="509"/>
    </row>
    <row r="4" spans="4:29" ht="18" customHeight="1" thickBot="1">
      <c r="H4" s="1507"/>
      <c r="I4" s="1574" t="b">
        <f>'BS(공)'!N38=I6</f>
        <v>1</v>
      </c>
      <c r="J4" s="1574" t="b">
        <f>'BS(공)'!L38=J6</f>
        <v>1</v>
      </c>
      <c r="K4" s="1574" t="b">
        <f>K6=T_BS!AM231</f>
        <v>1</v>
      </c>
      <c r="L4" s="1575"/>
      <c r="M4" s="1574" t="b">
        <f>M6=T_BS!AL231</f>
        <v>1</v>
      </c>
      <c r="N4" s="1575"/>
      <c r="O4" s="1574" t="b">
        <f>O6=T_BS!AK231</f>
        <v>1</v>
      </c>
      <c r="P4" s="1575"/>
      <c r="Q4" s="1574" t="b">
        <f>Q6=T_BS!AI231</f>
        <v>1</v>
      </c>
      <c r="R4" s="1575"/>
      <c r="S4" s="1574" t="b">
        <f>S6=T_BS!AH231</f>
        <v>1</v>
      </c>
      <c r="T4" s="1575"/>
      <c r="U4" s="1574" t="b">
        <f>U6=T_BS!AG231</f>
        <v>1</v>
      </c>
      <c r="V4" s="1575"/>
      <c r="W4" s="1574" t="b">
        <f>W6=T_BS!AD231</f>
        <v>1</v>
      </c>
      <c r="X4" s="1575"/>
      <c r="Y4" s="1574" t="b">
        <f>Y6=T_BS!X231</f>
        <v>1</v>
      </c>
      <c r="Z4" s="1575"/>
    </row>
    <row r="5" spans="4:29" ht="18" customHeight="1">
      <c r="D5" s="1512" t="s">
        <v>16</v>
      </c>
      <c r="E5" s="1513" t="s">
        <v>17</v>
      </c>
      <c r="F5" s="1513" t="s">
        <v>18</v>
      </c>
      <c r="G5" s="1513" t="s">
        <v>19</v>
      </c>
      <c r="H5" s="1513" t="s">
        <v>2593</v>
      </c>
      <c r="I5" s="1513" t="s">
        <v>2594</v>
      </c>
      <c r="J5" s="1513" t="s">
        <v>2595</v>
      </c>
      <c r="K5" s="1513" t="s">
        <v>2205</v>
      </c>
      <c r="L5" s="1513" t="s">
        <v>1630</v>
      </c>
      <c r="M5" s="1513" t="s">
        <v>2300</v>
      </c>
      <c r="N5" s="1513" t="s">
        <v>2301</v>
      </c>
      <c r="O5" s="1513" t="s">
        <v>2405</v>
      </c>
      <c r="P5" s="1513" t="s">
        <v>2301</v>
      </c>
      <c r="Q5" s="1513" t="s">
        <v>2363</v>
      </c>
      <c r="R5" s="1513" t="s">
        <v>2301</v>
      </c>
      <c r="S5" s="1513" t="s">
        <v>2574</v>
      </c>
      <c r="T5" s="1513" t="s">
        <v>1630</v>
      </c>
      <c r="U5" s="1513" t="s">
        <v>2812</v>
      </c>
      <c r="V5" s="1513" t="s">
        <v>1630</v>
      </c>
      <c r="W5" s="1513" t="s">
        <v>2886</v>
      </c>
      <c r="X5" s="1513" t="s">
        <v>1630</v>
      </c>
      <c r="Y5" s="1576" t="str">
        <f>T_IS!X5</f>
        <v>FY2022.Q4</v>
      </c>
      <c r="Z5" s="1513" t="s">
        <v>1630</v>
      </c>
      <c r="AA5" s="1513" t="s">
        <v>1456</v>
      </c>
      <c r="AB5" s="1513" t="s">
        <v>1457</v>
      </c>
      <c r="AC5" s="1577" t="s">
        <v>1634</v>
      </c>
    </row>
    <row r="6" spans="4:29" ht="18" customHeight="1">
      <c r="D6" s="1578"/>
      <c r="E6" s="1579"/>
      <c r="F6" s="1580"/>
      <c r="G6" s="1581" t="s">
        <v>14</v>
      </c>
      <c r="H6" s="500">
        <f t="shared" ref="H6:R6" si="0">SUM(H7,H30)</f>
        <v>159858811329</v>
      </c>
      <c r="I6" s="500">
        <f t="shared" si="0"/>
        <v>117917039839</v>
      </c>
      <c r="J6" s="500">
        <f t="shared" si="0"/>
        <v>95801398968</v>
      </c>
      <c r="K6" s="500">
        <f t="shared" si="0"/>
        <v>97962288029</v>
      </c>
      <c r="L6" s="500">
        <f t="shared" si="0"/>
        <v>2160889061</v>
      </c>
      <c r="M6" s="500">
        <f t="shared" si="0"/>
        <v>81128321240</v>
      </c>
      <c r="N6" s="500">
        <f t="shared" si="0"/>
        <v>-14673077728</v>
      </c>
      <c r="O6" s="500">
        <f t="shared" si="0"/>
        <v>95168013581</v>
      </c>
      <c r="P6" s="500">
        <f t="shared" si="0"/>
        <v>-633385387</v>
      </c>
      <c r="Q6" s="500">
        <f t="shared" si="0"/>
        <v>79639214477</v>
      </c>
      <c r="R6" s="500">
        <f t="shared" si="0"/>
        <v>-16162184491</v>
      </c>
      <c r="S6" s="500">
        <v>91716882595</v>
      </c>
      <c r="T6" s="500">
        <v>12077668118</v>
      </c>
      <c r="U6" s="500">
        <v>116259659086</v>
      </c>
      <c r="V6" s="500">
        <v>36620444609</v>
      </c>
      <c r="W6" s="500">
        <v>126285242180</v>
      </c>
      <c r="X6" s="500">
        <v>46646027703</v>
      </c>
      <c r="Y6" s="500">
        <f>SUM(Y7,Y30)</f>
        <v>170318758856</v>
      </c>
      <c r="Z6" s="500">
        <f>SUM(Z7,Z30)</f>
        <v>81298681379</v>
      </c>
      <c r="AA6" s="1582"/>
      <c r="AB6" s="500"/>
      <c r="AC6" s="501"/>
    </row>
    <row r="7" spans="4:29" ht="18" customHeight="1">
      <c r="D7" s="1583"/>
      <c r="E7" s="1584"/>
      <c r="F7" s="1585"/>
      <c r="G7" s="1586" t="s">
        <v>11</v>
      </c>
      <c r="H7" s="503">
        <f t="shared" ref="H7:Z7" si="1">SUM(H8,H11,H16,H26)</f>
        <v>159858811329</v>
      </c>
      <c r="I7" s="503">
        <f t="shared" si="1"/>
        <v>117917039839</v>
      </c>
      <c r="J7" s="503">
        <f t="shared" si="1"/>
        <v>95801398968</v>
      </c>
      <c r="K7" s="503">
        <f t="shared" si="1"/>
        <v>97962288029</v>
      </c>
      <c r="L7" s="503">
        <f t="shared" si="1"/>
        <v>2160889061</v>
      </c>
      <c r="M7" s="503">
        <f t="shared" si="1"/>
        <v>81128321240</v>
      </c>
      <c r="N7" s="503">
        <f>SUM(N8,N11,N16,N26)</f>
        <v>-14673077728</v>
      </c>
      <c r="O7" s="503">
        <f>SUM(O8,O11,O16,O26)</f>
        <v>95168013581</v>
      </c>
      <c r="P7" s="503">
        <f>SUM(P8,P11,P16,P26)</f>
        <v>-633385387</v>
      </c>
      <c r="Q7" s="503">
        <f>SUM(Q8,Q11,Q16,Q26)</f>
        <v>79639214477</v>
      </c>
      <c r="R7" s="503">
        <f>SUM(R8,R11,R16,R26)</f>
        <v>-16162184491</v>
      </c>
      <c r="S7" s="503">
        <v>91716882595</v>
      </c>
      <c r="T7" s="503">
        <v>12077668118</v>
      </c>
      <c r="U7" s="503">
        <v>116259659086</v>
      </c>
      <c r="V7" s="503">
        <v>36620444609</v>
      </c>
      <c r="W7" s="503">
        <v>126285242180</v>
      </c>
      <c r="X7" s="503">
        <v>46646027703</v>
      </c>
      <c r="Y7" s="503">
        <f t="shared" si="1"/>
        <v>170318758856</v>
      </c>
      <c r="Z7" s="503">
        <f t="shared" si="1"/>
        <v>81298681379</v>
      </c>
      <c r="AA7" s="1587"/>
      <c r="AB7" s="503"/>
      <c r="AC7" s="504"/>
    </row>
    <row r="8" spans="4:29" ht="18" customHeight="1">
      <c r="D8" s="1588"/>
      <c r="E8" s="1589"/>
      <c r="F8" s="1590"/>
      <c r="G8" s="1591" t="s">
        <v>10</v>
      </c>
      <c r="H8" s="506">
        <f t="shared" ref="H8:Z8" si="2">H9</f>
        <v>27779139500</v>
      </c>
      <c r="I8" s="506">
        <f t="shared" si="2"/>
        <v>28429923500</v>
      </c>
      <c r="J8" s="506">
        <f t="shared" si="2"/>
        <v>28429923500</v>
      </c>
      <c r="K8" s="506">
        <f t="shared" si="2"/>
        <v>28429923500</v>
      </c>
      <c r="L8" s="506">
        <f t="shared" si="2"/>
        <v>0</v>
      </c>
      <c r="M8" s="506">
        <f t="shared" si="2"/>
        <v>28429923500</v>
      </c>
      <c r="N8" s="506">
        <f t="shared" si="2"/>
        <v>0</v>
      </c>
      <c r="O8" s="506">
        <f t="shared" si="2"/>
        <v>28429923500</v>
      </c>
      <c r="P8" s="506">
        <f t="shared" si="2"/>
        <v>0</v>
      </c>
      <c r="Q8" s="506">
        <f t="shared" si="2"/>
        <v>28429923500</v>
      </c>
      <c r="R8" s="506">
        <f t="shared" si="2"/>
        <v>0</v>
      </c>
      <c r="S8" s="506">
        <v>28429923500</v>
      </c>
      <c r="T8" s="506">
        <v>0</v>
      </c>
      <c r="U8" s="506">
        <v>28429923500</v>
      </c>
      <c r="V8" s="506">
        <v>0</v>
      </c>
      <c r="W8" s="506">
        <v>28429923500</v>
      </c>
      <c r="X8" s="506">
        <v>0</v>
      </c>
      <c r="Y8" s="506">
        <f>Y9+Y10</f>
        <v>37810786500</v>
      </c>
      <c r="Z8" s="506">
        <f t="shared" si="2"/>
        <v>0</v>
      </c>
      <c r="AA8" s="1592"/>
      <c r="AB8" s="506"/>
      <c r="AC8" s="507"/>
    </row>
    <row r="9" spans="4:29" ht="18" customHeight="1">
      <c r="D9" s="1593">
        <v>310100</v>
      </c>
      <c r="F9" s="1361">
        <v>5101</v>
      </c>
      <c r="G9" s="1502" t="s">
        <v>190</v>
      </c>
      <c r="H9" s="509">
        <v>27779139500</v>
      </c>
      <c r="I9" s="498">
        <v>28429923500</v>
      </c>
      <c r="J9" s="498">
        <v>28429923500</v>
      </c>
      <c r="K9" s="509">
        <f>SUMIF(T_BS!$D:$D,T_CE!$D9,T_BS!$AM:$AM)</f>
        <v>28429923500</v>
      </c>
      <c r="L9" s="509">
        <f>K9-J9</f>
        <v>0</v>
      </c>
      <c r="M9" s="509">
        <f>SUMIF(T_BS!$D:$D,T_CE!$D9,T_BS!$AL:$AL)</f>
        <v>28429923500</v>
      </c>
      <c r="N9" s="509">
        <f>M9-J9</f>
        <v>0</v>
      </c>
      <c r="O9" s="509">
        <f>SUMIF(T_BS!$D:$D,T_CE!$D9,T_BS!$AK:$AK)</f>
        <v>28429923500</v>
      </c>
      <c r="P9" s="509">
        <f>O9-J9</f>
        <v>0</v>
      </c>
      <c r="Q9" s="509">
        <f>SUMIF(T_BS!$D:$D,T_CE!$D9,T_BS!$AI:$AI)</f>
        <v>28429923500</v>
      </c>
      <c r="R9" s="509">
        <f>Q9-J9</f>
        <v>0</v>
      </c>
      <c r="S9" s="509">
        <v>28429923500</v>
      </c>
      <c r="T9" s="509">
        <v>0</v>
      </c>
      <c r="U9" s="509">
        <v>28429923500</v>
      </c>
      <c r="V9" s="509">
        <v>0</v>
      </c>
      <c r="W9" s="509">
        <v>28429923500</v>
      </c>
      <c r="X9" s="509">
        <v>0</v>
      </c>
      <c r="Y9" s="509">
        <f>SUMIF(T_BS!$D:$D,T_CE!D9,T_BS!$X:$X)</f>
        <v>28429923500</v>
      </c>
      <c r="Z9" s="509">
        <f>Y9-Q9</f>
        <v>0</v>
      </c>
      <c r="AA9" s="563"/>
      <c r="AB9" s="509"/>
      <c r="AC9" s="510">
        <f>Z9-AB9</f>
        <v>0</v>
      </c>
    </row>
    <row r="10" spans="4:29" ht="18" customHeight="1">
      <c r="D10" s="2067">
        <v>310300</v>
      </c>
      <c r="E10" s="2068"/>
      <c r="F10" s="2069">
        <v>5102</v>
      </c>
      <c r="G10" s="2084" t="s">
        <v>2914</v>
      </c>
      <c r="H10" s="2062"/>
      <c r="I10" s="2061"/>
      <c r="J10" s="2061"/>
      <c r="K10" s="2062">
        <v>0</v>
      </c>
      <c r="L10" s="2062"/>
      <c r="M10" s="2062">
        <v>0</v>
      </c>
      <c r="N10" s="2062"/>
      <c r="O10" s="2062">
        <v>0</v>
      </c>
      <c r="P10" s="2062"/>
      <c r="Q10" s="2062">
        <v>0</v>
      </c>
      <c r="R10" s="2062"/>
      <c r="S10" s="2062">
        <v>0</v>
      </c>
      <c r="T10" s="2062"/>
      <c r="U10" s="2062">
        <v>0</v>
      </c>
      <c r="V10" s="2062"/>
      <c r="W10" s="2062">
        <v>0</v>
      </c>
      <c r="X10" s="2062"/>
      <c r="Y10" s="2062">
        <f>SUMIF(T_BS!$D:$D,T_CE!D10,T_BS!$X:$X)</f>
        <v>9380863000</v>
      </c>
      <c r="Z10" s="2062">
        <f>Y10-Q10</f>
        <v>9380863000</v>
      </c>
      <c r="AA10" s="2085"/>
      <c r="AB10" s="2062"/>
      <c r="AC10" s="2063"/>
    </row>
    <row r="11" spans="4:29" ht="18" customHeight="1">
      <c r="D11" s="1588"/>
      <c r="E11" s="1589"/>
      <c r="F11" s="1590"/>
      <c r="G11" s="1591" t="s">
        <v>12</v>
      </c>
      <c r="H11" s="506">
        <f t="shared" ref="H11:Z11" si="3">SUM(H12:H15)</f>
        <v>173855395328</v>
      </c>
      <c r="I11" s="506">
        <f t="shared" si="3"/>
        <v>178559577856</v>
      </c>
      <c r="J11" s="506">
        <f t="shared" si="3"/>
        <v>178559577856</v>
      </c>
      <c r="K11" s="506">
        <f t="shared" si="3"/>
        <v>178559577856</v>
      </c>
      <c r="L11" s="506">
        <f t="shared" si="3"/>
        <v>0</v>
      </c>
      <c r="M11" s="506">
        <f t="shared" si="3"/>
        <v>178605820232</v>
      </c>
      <c r="N11" s="506">
        <f>SUM(N12:N15)</f>
        <v>46242376</v>
      </c>
      <c r="O11" s="506">
        <f>SUM(O12:O15)</f>
        <v>178678131785</v>
      </c>
      <c r="P11" s="506">
        <f>SUM(P12:P15)</f>
        <v>118553929</v>
      </c>
      <c r="Q11" s="506">
        <f>SUM(Q12:Q15)</f>
        <v>178743993103</v>
      </c>
      <c r="R11" s="506">
        <f>SUM(R12:R15)</f>
        <v>184415247</v>
      </c>
      <c r="S11" s="506">
        <v>59989124475</v>
      </c>
      <c r="T11" s="506">
        <v>-118754868628</v>
      </c>
      <c r="U11" s="506">
        <v>60086299529</v>
      </c>
      <c r="V11" s="506">
        <v>-118657693574</v>
      </c>
      <c r="W11" s="506">
        <v>60141828383</v>
      </c>
      <c r="X11" s="506">
        <v>-118602164720</v>
      </c>
      <c r="Y11" s="506">
        <f t="shared" si="3"/>
        <v>110704679953</v>
      </c>
      <c r="Z11" s="506">
        <f t="shared" si="3"/>
        <v>-68039313150</v>
      </c>
      <c r="AA11" s="1592"/>
      <c r="AB11" s="506"/>
      <c r="AC11" s="507"/>
    </row>
    <row r="12" spans="4:29" ht="18" customHeight="1">
      <c r="D12" s="1593">
        <v>320100</v>
      </c>
      <c r="F12" s="1361">
        <v>5201</v>
      </c>
      <c r="G12" s="1502" t="s">
        <v>191</v>
      </c>
      <c r="H12" s="509">
        <v>172351901382</v>
      </c>
      <c r="I12" s="509">
        <v>177997002186</v>
      </c>
      <c r="J12" s="509">
        <v>177997002186</v>
      </c>
      <c r="K12" s="509">
        <f>SUMIF(T_BS!$D:$D,T_CE!$D12,T_BS!$AM:$AM)</f>
        <v>177997002186</v>
      </c>
      <c r="L12" s="509">
        <f>K12-J12</f>
        <v>0</v>
      </c>
      <c r="M12" s="509">
        <f>SUMIF(T_BS!$D:$D,T_CE!$D12,T_BS!$AL:$AL)</f>
        <v>177997002186</v>
      </c>
      <c r="N12" s="509">
        <f>M12-J12</f>
        <v>0</v>
      </c>
      <c r="O12" s="509">
        <f>SUMIF(T_BS!$D:$D,T_CE!$D12,T_BS!$AK:$AK)</f>
        <v>177997002186</v>
      </c>
      <c r="P12" s="509">
        <f>O12-J12</f>
        <v>0</v>
      </c>
      <c r="Q12" s="509">
        <f>SUMIF(T_BS!$D:$D,T_CE!$D12,T_BS!$AI:$AI)</f>
        <v>177997002186</v>
      </c>
      <c r="R12" s="509">
        <f>Q12-J12</f>
        <v>0</v>
      </c>
      <c r="S12" s="509">
        <v>59065212344</v>
      </c>
      <c r="T12" s="509">
        <v>-118931789842</v>
      </c>
      <c r="U12" s="509">
        <v>59065212344</v>
      </c>
      <c r="V12" s="509">
        <v>-118931789842</v>
      </c>
      <c r="W12" s="509">
        <v>59065212344</v>
      </c>
      <c r="X12" s="509">
        <v>-118931789842</v>
      </c>
      <c r="Y12" s="509">
        <f>SUMIF(T_BS!$D:$D,T_CE!D12,T_BS!$X:$X)</f>
        <v>59065212344</v>
      </c>
      <c r="Z12" s="509">
        <f t="shared" ref="Z12:Z25" si="4">Y12-Q12</f>
        <v>-118931789842</v>
      </c>
      <c r="AA12" s="563" t="s">
        <v>2767</v>
      </c>
      <c r="AB12" s="509"/>
      <c r="AC12" s="510">
        <f>Z12-AB12</f>
        <v>-118931789842</v>
      </c>
    </row>
    <row r="13" spans="4:29" ht="18" customHeight="1">
      <c r="D13" s="2067">
        <v>320101</v>
      </c>
      <c r="E13" s="2068"/>
      <c r="F13" s="2069">
        <v>5201</v>
      </c>
      <c r="G13" s="2084" t="s">
        <v>2915</v>
      </c>
      <c r="H13" s="2062"/>
      <c r="I13" s="2062"/>
      <c r="J13" s="2062"/>
      <c r="K13" s="2062">
        <v>0</v>
      </c>
      <c r="L13" s="2062"/>
      <c r="M13" s="2062">
        <v>0</v>
      </c>
      <c r="N13" s="2062"/>
      <c r="O13" s="2062">
        <v>0</v>
      </c>
      <c r="P13" s="2062"/>
      <c r="Q13" s="2062">
        <v>0</v>
      </c>
      <c r="R13" s="2062"/>
      <c r="S13" s="2062">
        <v>0</v>
      </c>
      <c r="T13" s="2062"/>
      <c r="U13" s="2062">
        <v>0</v>
      </c>
      <c r="V13" s="2062"/>
      <c r="W13" s="2062">
        <v>0</v>
      </c>
      <c r="X13" s="2062"/>
      <c r="Y13" s="2062">
        <f>SUMIF(T_BS!$D:$D,T_CE!D13,T_BS!$X:$X)</f>
        <v>50562851570</v>
      </c>
      <c r="Z13" s="2062">
        <f t="shared" si="4"/>
        <v>50562851570</v>
      </c>
      <c r="AA13" s="2085" t="s">
        <v>2921</v>
      </c>
      <c r="AB13" s="2062"/>
      <c r="AC13" s="2063"/>
    </row>
    <row r="14" spans="4:29" ht="18" customHeight="1">
      <c r="D14" s="1593">
        <v>320500</v>
      </c>
      <c r="F14" s="1361">
        <v>5203</v>
      </c>
      <c r="G14" s="1502" t="s">
        <v>192</v>
      </c>
      <c r="H14" s="509">
        <v>940918276</v>
      </c>
      <c r="I14" s="509">
        <v>0</v>
      </c>
      <c r="J14" s="509">
        <v>0</v>
      </c>
      <c r="K14" s="509">
        <f>SUMIF(T_BS!$D:$D,T_CE!$D14,T_BS!$AM:$AM)</f>
        <v>0</v>
      </c>
      <c r="L14" s="509">
        <f>K14-J14</f>
        <v>0</v>
      </c>
      <c r="M14" s="509">
        <f>SUMIF(T_BS!$D:$D,T_CE!$D14,T_BS!$AL:$AL)</f>
        <v>0</v>
      </c>
      <c r="N14" s="509">
        <f t="shared" ref="N14:N23" si="5">M14-J14</f>
        <v>0</v>
      </c>
      <c r="O14" s="509">
        <f>SUMIF(T_BS!$D:$D,T_CE!$D14,T_BS!$AK:$AK)</f>
        <v>0</v>
      </c>
      <c r="P14" s="509">
        <f>O14-J14</f>
        <v>0</v>
      </c>
      <c r="Q14" s="509">
        <f>SUMIF(T_BS!$D:$D,T_CE!$D14,T_BS!$AI:$AI)</f>
        <v>0</v>
      </c>
      <c r="R14" s="509">
        <f>Q14-J14</f>
        <v>0</v>
      </c>
      <c r="S14" s="509">
        <v>0</v>
      </c>
      <c r="T14" s="509">
        <v>0</v>
      </c>
      <c r="U14" s="509">
        <v>0</v>
      </c>
      <c r="V14" s="509">
        <v>0</v>
      </c>
      <c r="W14" s="509">
        <v>0</v>
      </c>
      <c r="X14" s="509">
        <v>0</v>
      </c>
      <c r="Y14" s="509">
        <f>SUMIF(T_BS!$D:$D,T_CE!D14,T_BS!$X:$X)</f>
        <v>0</v>
      </c>
      <c r="Z14" s="509">
        <f t="shared" si="4"/>
        <v>0</v>
      </c>
      <c r="AA14" s="563"/>
      <c r="AB14" s="509"/>
      <c r="AC14" s="510">
        <f>Z14-AB14</f>
        <v>0</v>
      </c>
    </row>
    <row r="15" spans="4:29" ht="18" customHeight="1">
      <c r="D15" s="1593">
        <v>320300</v>
      </c>
      <c r="F15" s="1361">
        <v>5202</v>
      </c>
      <c r="G15" s="1502" t="s">
        <v>193</v>
      </c>
      <c r="H15" s="509">
        <v>562575670</v>
      </c>
      <c r="I15" s="509">
        <v>562575670</v>
      </c>
      <c r="J15" s="509">
        <v>562575670</v>
      </c>
      <c r="K15" s="509">
        <f>SUMIF(T_BS!$D:$D,T_CE!$D15,T_BS!$AM:$AM)</f>
        <v>562575670</v>
      </c>
      <c r="L15" s="509">
        <f>K15-J15</f>
        <v>0</v>
      </c>
      <c r="M15" s="509">
        <f>SUMIF(T_BS!$D:$D,T_CE!$D15,T_BS!$AL:$AL)</f>
        <v>608818046</v>
      </c>
      <c r="N15" s="509">
        <f t="shared" si="5"/>
        <v>46242376</v>
      </c>
      <c r="O15" s="509">
        <f>SUMIF(T_BS!$D:$D,T_CE!$D15,T_BS!$AK:$AK)</f>
        <v>681129599</v>
      </c>
      <c r="P15" s="509">
        <f>O15-J15</f>
        <v>118553929</v>
      </c>
      <c r="Q15" s="509">
        <f>SUMIF(T_BS!$D:$D,T_CE!$D15,T_BS!$AI:$AI)</f>
        <v>746990917</v>
      </c>
      <c r="R15" s="509">
        <f>Q15-J15</f>
        <v>184415247</v>
      </c>
      <c r="S15" s="509">
        <v>923912131</v>
      </c>
      <c r="T15" s="509">
        <v>176921214</v>
      </c>
      <c r="U15" s="509">
        <v>1021087185</v>
      </c>
      <c r="V15" s="509">
        <v>274096268</v>
      </c>
      <c r="W15" s="509">
        <v>1076616039</v>
      </c>
      <c r="X15" s="509">
        <v>329625122</v>
      </c>
      <c r="Y15" s="509">
        <f>SUMIF(T_BS!$D:$D,T_CE!D15,T_BS!$X:$X)</f>
        <v>1076616039</v>
      </c>
      <c r="Z15" s="509">
        <f t="shared" si="4"/>
        <v>329625122</v>
      </c>
      <c r="AA15" s="563" t="s">
        <v>2771</v>
      </c>
      <c r="AB15" s="509"/>
      <c r="AC15" s="510">
        <f>Z15-AB15</f>
        <v>329625122</v>
      </c>
    </row>
    <row r="16" spans="4:29" ht="18" customHeight="1">
      <c r="D16" s="1588"/>
      <c r="E16" s="1589"/>
      <c r="F16" s="1590"/>
      <c r="G16" s="1591" t="s">
        <v>194</v>
      </c>
      <c r="H16" s="506">
        <f t="shared" ref="H16:Z16" si="6">SUM(H17:H25)</f>
        <v>-2776797396</v>
      </c>
      <c r="I16" s="506">
        <f t="shared" si="6"/>
        <v>-1301501750</v>
      </c>
      <c r="J16" s="506">
        <f t="shared" si="6"/>
        <v>-310683954</v>
      </c>
      <c r="K16" s="506">
        <f t="shared" si="6"/>
        <v>-325190951</v>
      </c>
      <c r="L16" s="506">
        <f t="shared" si="6"/>
        <v>-14506997</v>
      </c>
      <c r="M16" s="506">
        <f t="shared" si="6"/>
        <v>-375677574</v>
      </c>
      <c r="N16" s="506">
        <f>SUM(N17:N25)</f>
        <v>-64993620</v>
      </c>
      <c r="O16" s="506">
        <f>SUM(O17:O25)</f>
        <v>-187097655</v>
      </c>
      <c r="P16" s="506">
        <f>SUM(P17:P25)</f>
        <v>123586299</v>
      </c>
      <c r="Q16" s="506">
        <f>SUM(Q17:Q25)</f>
        <v>-315281392</v>
      </c>
      <c r="R16" s="506">
        <f>SUM(R17:R25)</f>
        <v>-4597438</v>
      </c>
      <c r="S16" s="506">
        <v>-711898852</v>
      </c>
      <c r="T16" s="506">
        <v>-396617460</v>
      </c>
      <c r="U16" s="506">
        <v>-1080384069</v>
      </c>
      <c r="V16" s="506">
        <v>-765102677</v>
      </c>
      <c r="W16" s="506">
        <v>-940175661</v>
      </c>
      <c r="X16" s="506">
        <v>-624894269</v>
      </c>
      <c r="Y16" s="506">
        <f t="shared" si="6"/>
        <v>-1109488934</v>
      </c>
      <c r="Z16" s="506">
        <f t="shared" si="6"/>
        <v>-794207542</v>
      </c>
      <c r="AA16" s="1592"/>
      <c r="AB16" s="506"/>
      <c r="AC16" s="507"/>
    </row>
    <row r="17" spans="4:32" ht="18" customHeight="1">
      <c r="D17" s="1593">
        <v>350300</v>
      </c>
      <c r="F17" s="1361">
        <v>5304</v>
      </c>
      <c r="G17" s="1502" t="s">
        <v>195</v>
      </c>
      <c r="H17" s="509">
        <v>-4240000</v>
      </c>
      <c r="I17" s="509">
        <v>-4240000</v>
      </c>
      <c r="J17" s="509">
        <v>-4240000</v>
      </c>
      <c r="K17" s="509">
        <f>SUMIF(T_BS!$D:$D,T_CE!$D17,T_BS!$AM:$AM)</f>
        <v>-4240000</v>
      </c>
      <c r="L17" s="509">
        <f t="shared" ref="L17:L29" si="7">K17-J17</f>
        <v>0</v>
      </c>
      <c r="M17" s="509">
        <f>SUMIF(T_BS!$D:$D,T_CE!$D17,T_BS!$AL:$AL)</f>
        <v>-4240000</v>
      </c>
      <c r="N17" s="509">
        <f t="shared" si="5"/>
        <v>0</v>
      </c>
      <c r="O17" s="509">
        <f>SUMIF(T_BS!$D:$D,T_CE!$D17,T_BS!$AK:$AK)</f>
        <v>-4240000</v>
      </c>
      <c r="P17" s="509">
        <f t="shared" ref="P17:P25" si="8">O17-J17</f>
        <v>0</v>
      </c>
      <c r="Q17" s="509">
        <f>SUMIF(T_BS!$D:$D,T_CE!$D17,T_BS!$AI:$AI)</f>
        <v>-4240000</v>
      </c>
      <c r="R17" s="509">
        <f t="shared" ref="R17:R25" si="9">Q17-J17</f>
        <v>0</v>
      </c>
      <c r="S17" s="509">
        <v>-4240000</v>
      </c>
      <c r="T17" s="509">
        <v>0</v>
      </c>
      <c r="U17" s="509">
        <v>-4240000</v>
      </c>
      <c r="V17" s="509">
        <v>0</v>
      </c>
      <c r="W17" s="509">
        <v>0</v>
      </c>
      <c r="X17" s="509">
        <v>4240000</v>
      </c>
      <c r="Y17" s="509">
        <f>SUMIF(T_BS!$D:$D,T_CE!D17,T_BS!$X:$X)</f>
        <v>0</v>
      </c>
      <c r="Z17" s="509">
        <f t="shared" si="4"/>
        <v>4240000</v>
      </c>
      <c r="AA17" s="563"/>
      <c r="AB17" s="509"/>
      <c r="AC17" s="510"/>
    </row>
    <row r="18" spans="4:32" ht="18" customHeight="1">
      <c r="D18" s="1670">
        <v>350350</v>
      </c>
      <c r="E18" s="1086"/>
      <c r="F18" s="1671">
        <v>5301</v>
      </c>
      <c r="G18" s="1842" t="s">
        <v>196</v>
      </c>
      <c r="H18" s="509">
        <v>-1292039719</v>
      </c>
      <c r="I18" s="509">
        <v>-1292039719</v>
      </c>
      <c r="J18" s="509">
        <v>-1292039719</v>
      </c>
      <c r="K18" s="509">
        <f>SUMIF(T_BS!$D:$D,T_CE!$D18,T_BS!$AM:$AM)</f>
        <v>-1292039719</v>
      </c>
      <c r="L18" s="509">
        <f t="shared" si="7"/>
        <v>0</v>
      </c>
      <c r="M18" s="509">
        <f>SUMIF(T_BS!$D:$D,T_CE!$D18,T_BS!$AL:$AL)</f>
        <v>-1292039719</v>
      </c>
      <c r="N18" s="509">
        <f t="shared" si="5"/>
        <v>0</v>
      </c>
      <c r="O18" s="509">
        <f>SUMIF(T_BS!$D:$D,T_CE!$D18,T_BS!$AK:$AK)</f>
        <v>-1292039719</v>
      </c>
      <c r="P18" s="509">
        <f t="shared" si="8"/>
        <v>0</v>
      </c>
      <c r="Q18" s="509">
        <f>SUMIF(T_BS!$D:$D,T_CE!$D18,T_BS!$AI:$AI)</f>
        <v>-1292039719</v>
      </c>
      <c r="R18" s="509">
        <f t="shared" si="9"/>
        <v>0</v>
      </c>
      <c r="S18" s="509">
        <v>-1292039719</v>
      </c>
      <c r="T18" s="509">
        <v>0</v>
      </c>
      <c r="U18" s="509">
        <v>-1292039719</v>
      </c>
      <c r="V18" s="509">
        <v>0</v>
      </c>
      <c r="W18" s="509">
        <v>-1293810742</v>
      </c>
      <c r="X18" s="509">
        <v>-1771023</v>
      </c>
      <c r="Y18" s="509">
        <f>SUMIF(T_BS!$D:$D,T_CE!D18,T_BS!$X:$X)</f>
        <v>-1293810742</v>
      </c>
      <c r="Z18" s="509">
        <f t="shared" si="4"/>
        <v>-1771023</v>
      </c>
      <c r="AA18" s="563"/>
      <c r="AB18" s="509"/>
      <c r="AC18" s="510"/>
    </row>
    <row r="19" spans="4:32" ht="18" customHeight="1">
      <c r="D19" s="1670" t="s">
        <v>1347</v>
      </c>
      <c r="E19" s="1086"/>
      <c r="F19" s="1671" t="s">
        <v>611</v>
      </c>
      <c r="G19" s="1842" t="s">
        <v>225</v>
      </c>
      <c r="H19" s="509">
        <v>0</v>
      </c>
      <c r="I19" s="509">
        <v>0</v>
      </c>
      <c r="J19" s="509">
        <v>0</v>
      </c>
      <c r="K19" s="509">
        <f>SUMIF(T_BS!$D:$D,T_CE!$D19,T_BS!$AM:$AM)</f>
        <v>0</v>
      </c>
      <c r="L19" s="509">
        <f t="shared" si="7"/>
        <v>0</v>
      </c>
      <c r="M19" s="509">
        <f>SUMIF(T_BS!$D:$D,T_CE!$D19,T_BS!$AL:$AL)</f>
        <v>0</v>
      </c>
      <c r="N19" s="509">
        <f t="shared" si="5"/>
        <v>0</v>
      </c>
      <c r="O19" s="509">
        <f>SUMIF(T_BS!$D:$D,T_CE!$D19,T_BS!$AK:$AK)</f>
        <v>0</v>
      </c>
      <c r="P19" s="509">
        <f t="shared" si="8"/>
        <v>0</v>
      </c>
      <c r="Q19" s="509">
        <f>SUMIF(T_BS!$D:$D,T_CE!$D19,T_BS!$AI:$AI)</f>
        <v>0</v>
      </c>
      <c r="R19" s="509">
        <f t="shared" si="9"/>
        <v>0</v>
      </c>
      <c r="S19" s="509">
        <v>0</v>
      </c>
      <c r="T19" s="509">
        <v>0</v>
      </c>
      <c r="U19" s="509">
        <v>0</v>
      </c>
      <c r="V19" s="509">
        <v>0</v>
      </c>
      <c r="W19" s="509">
        <v>0</v>
      </c>
      <c r="X19" s="509">
        <v>0</v>
      </c>
      <c r="Y19" s="509">
        <f>SUMIF(T_BS!$D:$D,T_CE!D19,T_BS!$X:$X)</f>
        <v>0</v>
      </c>
      <c r="Z19" s="509">
        <f t="shared" si="4"/>
        <v>0</v>
      </c>
      <c r="AA19" s="563"/>
      <c r="AB19" s="509"/>
      <c r="AC19" s="510"/>
    </row>
    <row r="20" spans="4:32" ht="18" customHeight="1">
      <c r="D20" s="1670">
        <v>350400</v>
      </c>
      <c r="E20" s="1086"/>
      <c r="F20" s="1671">
        <v>4664</v>
      </c>
      <c r="G20" s="1842" t="s">
        <v>197</v>
      </c>
      <c r="H20" s="509">
        <v>0</v>
      </c>
      <c r="I20" s="509">
        <v>674683389</v>
      </c>
      <c r="J20" s="509">
        <v>1298943576</v>
      </c>
      <c r="K20" s="509">
        <f>SUMIF(T_BS!$D:$D,T_CE!$D20,T_BS!$AM:$AM)</f>
        <v>1430524615</v>
      </c>
      <c r="L20" s="509">
        <f t="shared" si="7"/>
        <v>131581039</v>
      </c>
      <c r="M20" s="509">
        <f>SUMIF(T_BS!$D:$D,T_CE!$D20,T_BS!$AL:$AL)</f>
        <v>1445992555</v>
      </c>
      <c r="N20" s="509">
        <f t="shared" si="5"/>
        <v>147048979</v>
      </c>
      <c r="O20" s="509">
        <f>SUMIF(T_BS!$D:$D,T_CE!$D20,T_BS!$AK:$AK)</f>
        <v>1448605611</v>
      </c>
      <c r="P20" s="509">
        <f t="shared" si="8"/>
        <v>149662035</v>
      </c>
      <c r="Q20" s="509">
        <f>SUMIF(T_BS!$D:$D,T_CE!$D20,T_BS!$AI:$AI)</f>
        <v>1444251253</v>
      </c>
      <c r="R20" s="509">
        <f t="shared" si="9"/>
        <v>145307677</v>
      </c>
      <c r="S20" s="509">
        <v>1225924657</v>
      </c>
      <c r="T20" s="509">
        <v>-218326596</v>
      </c>
      <c r="U20" s="509">
        <v>1114512718</v>
      </c>
      <c r="V20" s="509">
        <v>-329738535</v>
      </c>
      <c r="W20" s="509">
        <v>1058492431</v>
      </c>
      <c r="X20" s="509">
        <v>-385758822</v>
      </c>
      <c r="Y20" s="509">
        <f>SUMIF(T_BS!$D:$D,T_CE!D20,T_BS!$X:$X)</f>
        <v>1083527473</v>
      </c>
      <c r="Z20" s="509">
        <f t="shared" si="4"/>
        <v>-360723780</v>
      </c>
      <c r="AA20" s="563" t="s">
        <v>1631</v>
      </c>
      <c r="AB20" s="509">
        <f>T_IS!L40</f>
        <v>-31098658</v>
      </c>
      <c r="AC20" s="510">
        <f t="shared" ref="AC20:AC25" si="10">Z20-AB20</f>
        <v>-329625122</v>
      </c>
    </row>
    <row r="21" spans="4:32" ht="18" customHeight="1">
      <c r="D21" s="1670">
        <v>350210</v>
      </c>
      <c r="E21" s="1086"/>
      <c r="F21" s="1671">
        <v>5304</v>
      </c>
      <c r="G21" s="1842" t="s">
        <v>198</v>
      </c>
      <c r="H21" s="509">
        <v>-2731869088</v>
      </c>
      <c r="I21" s="509">
        <v>-2731869088</v>
      </c>
      <c r="J21" s="509">
        <v>-2731869088</v>
      </c>
      <c r="K21" s="509">
        <f>SUMIF(T_BS!$D:$D,T_CE!$D21,T_BS!$AM:$AM)</f>
        <v>-2731869088</v>
      </c>
      <c r="L21" s="509">
        <f t="shared" si="7"/>
        <v>0</v>
      </c>
      <c r="M21" s="509">
        <f>SUMIF(T_BS!$D:$D,T_CE!$D21,T_BS!$AL:$AL)</f>
        <v>-2731869088</v>
      </c>
      <c r="N21" s="509">
        <f t="shared" si="5"/>
        <v>0</v>
      </c>
      <c r="O21" s="509">
        <f>SUMIF(T_BS!$D:$D,T_CE!$D21,T_BS!$AK:$AK)</f>
        <v>-2731869088</v>
      </c>
      <c r="P21" s="509">
        <f t="shared" si="8"/>
        <v>0</v>
      </c>
      <c r="Q21" s="509">
        <f>SUMIF(T_BS!$D:$D,T_CE!$D21,T_BS!$AI:$AI)</f>
        <v>-2731869088</v>
      </c>
      <c r="R21" s="509">
        <f t="shared" si="9"/>
        <v>0</v>
      </c>
      <c r="S21" s="509">
        <v>-2731869088</v>
      </c>
      <c r="T21" s="509">
        <v>0</v>
      </c>
      <c r="U21" s="509">
        <v>-2731869088</v>
      </c>
      <c r="V21" s="509">
        <v>0</v>
      </c>
      <c r="W21" s="509">
        <v>-2731869088</v>
      </c>
      <c r="X21" s="509">
        <v>0</v>
      </c>
      <c r="Y21" s="509">
        <f>SUMIF(T_BS!$D:$D,T_CE!D21,T_BS!$X:$X)</f>
        <v>-2731869088</v>
      </c>
      <c r="Z21" s="509">
        <f t="shared" si="4"/>
        <v>0</v>
      </c>
      <c r="AA21" s="563"/>
      <c r="AB21" s="509"/>
      <c r="AC21" s="510">
        <f t="shared" si="10"/>
        <v>0</v>
      </c>
    </row>
    <row r="22" spans="4:32" ht="18" customHeight="1">
      <c r="D22" s="1675" t="s">
        <v>1350</v>
      </c>
      <c r="E22" s="1271"/>
      <c r="F22" s="1674">
        <v>5305</v>
      </c>
      <c r="G22" s="1534" t="s">
        <v>200</v>
      </c>
      <c r="H22" s="509">
        <v>0</v>
      </c>
      <c r="I22" s="509">
        <v>0</v>
      </c>
      <c r="J22" s="509">
        <v>0</v>
      </c>
      <c r="K22" s="509">
        <f>SUMIF(T_BS!$D:$D,T_CE!$D22,T_BS!$AM:$AM)</f>
        <v>0</v>
      </c>
      <c r="L22" s="509">
        <f t="shared" si="7"/>
        <v>0</v>
      </c>
      <c r="M22" s="509">
        <f>SUMIF(T_BS!$D:$D,T_CE!$D22,T_BS!$AL:$AL)</f>
        <v>0</v>
      </c>
      <c r="N22" s="509">
        <f t="shared" si="5"/>
        <v>0</v>
      </c>
      <c r="O22" s="509">
        <f>SUMIF(T_BS!$D:$D,T_CE!$D22,T_BS!$AK:$AK)</f>
        <v>0</v>
      </c>
      <c r="P22" s="509">
        <f t="shared" si="8"/>
        <v>0</v>
      </c>
      <c r="Q22" s="509">
        <f>SUMIF(T_BS!$D:$D,T_CE!$D22,T_BS!$AI:$AI)</f>
        <v>0</v>
      </c>
      <c r="R22" s="509">
        <f t="shared" si="9"/>
        <v>0</v>
      </c>
      <c r="S22" s="509">
        <v>0</v>
      </c>
      <c r="T22" s="509">
        <v>0</v>
      </c>
      <c r="U22" s="509">
        <v>2520421</v>
      </c>
      <c r="V22" s="509">
        <v>2520421</v>
      </c>
      <c r="W22" s="509">
        <v>7009247</v>
      </c>
      <c r="X22" s="509">
        <v>7009247</v>
      </c>
      <c r="Y22" s="509">
        <f>SUMIF(T_BS!$D:$D,T_CE!D22,T_BS!$X:$X)</f>
        <v>0</v>
      </c>
      <c r="Z22" s="509">
        <f t="shared" si="4"/>
        <v>0</v>
      </c>
      <c r="AA22" s="563" t="s">
        <v>2769</v>
      </c>
      <c r="AB22" s="509">
        <f>'IS(공)'!H26</f>
        <v>0</v>
      </c>
      <c r="AC22" s="510">
        <f t="shared" si="10"/>
        <v>0</v>
      </c>
    </row>
    <row r="23" spans="4:32" ht="18" customHeight="1">
      <c r="D23" s="1670" t="s">
        <v>1351</v>
      </c>
      <c r="E23" s="1086"/>
      <c r="F23" s="1671" t="s">
        <v>611</v>
      </c>
      <c r="G23" s="1842" t="s">
        <v>202</v>
      </c>
      <c r="H23" s="509">
        <v>0</v>
      </c>
      <c r="I23" s="509">
        <v>0</v>
      </c>
      <c r="J23" s="509">
        <v>0</v>
      </c>
      <c r="K23" s="509">
        <f>SUMIF(T_BS!$D:$D,T_CE!$D23,T_BS!$AM:$AM)</f>
        <v>0</v>
      </c>
      <c r="L23" s="509">
        <f t="shared" si="7"/>
        <v>0</v>
      </c>
      <c r="M23" s="509">
        <f>SUMIF(T_BS!$D:$D,T_CE!$D23,T_BS!$AL:$AL)</f>
        <v>0</v>
      </c>
      <c r="N23" s="509">
        <f t="shared" si="5"/>
        <v>0</v>
      </c>
      <c r="O23" s="509">
        <f>SUMIF(T_BS!$D:$D,T_CE!$D23,T_BS!$AK:$AK)</f>
        <v>0</v>
      </c>
      <c r="P23" s="509">
        <f t="shared" si="8"/>
        <v>0</v>
      </c>
      <c r="Q23" s="509">
        <f>SUMIF(T_BS!$D:$D,T_CE!$D23,T_BS!$AI:$AI)</f>
        <v>0</v>
      </c>
      <c r="R23" s="509">
        <f t="shared" si="9"/>
        <v>0</v>
      </c>
      <c r="S23" s="509">
        <v>0</v>
      </c>
      <c r="T23" s="509">
        <v>0</v>
      </c>
      <c r="U23" s="509">
        <v>0</v>
      </c>
      <c r="V23" s="509">
        <v>0</v>
      </c>
      <c r="W23" s="509">
        <v>0</v>
      </c>
      <c r="X23" s="509">
        <v>0</v>
      </c>
      <c r="Y23" s="509">
        <f>SUMIF(T_BS!$D:$D,T_CE!D23,T_BS!$X:$X)</f>
        <v>0</v>
      </c>
      <c r="Z23" s="509">
        <f t="shared" si="4"/>
        <v>0</v>
      </c>
      <c r="AA23" s="563"/>
      <c r="AB23" s="509"/>
      <c r="AC23" s="510">
        <f t="shared" si="10"/>
        <v>0</v>
      </c>
    </row>
    <row r="24" spans="4:32" ht="18" customHeight="1">
      <c r="D24" s="1670" t="s">
        <v>1352</v>
      </c>
      <c r="E24" s="1086"/>
      <c r="F24" s="1671">
        <v>5307</v>
      </c>
      <c r="G24" s="1842" t="s">
        <v>1348</v>
      </c>
      <c r="H24" s="509">
        <v>1251351411</v>
      </c>
      <c r="I24" s="509">
        <v>2051963668</v>
      </c>
      <c r="J24" s="509">
        <v>2418521277</v>
      </c>
      <c r="K24" s="509">
        <f>SUMIF(T_BS!$D:$D,T_CE!$D24,T_BS!$AM:$AM)</f>
        <v>2272433241</v>
      </c>
      <c r="L24" s="509">
        <f t="shared" si="7"/>
        <v>-146088036</v>
      </c>
      <c r="M24" s="509">
        <f>SUMIF(T_BS!$D:$D,T_CE!$D24,T_BS!$AL:$AL)</f>
        <v>2206478678</v>
      </c>
      <c r="N24" s="509">
        <f>M24-J24</f>
        <v>-212042599</v>
      </c>
      <c r="O24" s="509">
        <f>SUMIF(T_BS!$D:$D,T_CE!$D24,T_BS!$AK:$AK)</f>
        <v>2392445541</v>
      </c>
      <c r="P24" s="509">
        <f t="shared" si="8"/>
        <v>-26075736</v>
      </c>
      <c r="Q24" s="509">
        <f>SUMIF(T_BS!$D:$D,T_CE!$D24,T_BS!$AI:$AI)</f>
        <v>2268616162</v>
      </c>
      <c r="R24" s="509">
        <f t="shared" si="9"/>
        <v>-149905115</v>
      </c>
      <c r="S24" s="509">
        <v>2090325298</v>
      </c>
      <c r="T24" s="509">
        <v>-178290864</v>
      </c>
      <c r="U24" s="509">
        <v>1830731599</v>
      </c>
      <c r="V24" s="509">
        <v>-437884563</v>
      </c>
      <c r="W24" s="509">
        <v>2020002491</v>
      </c>
      <c r="X24" s="509">
        <v>-248613671</v>
      </c>
      <c r="Y24" s="509">
        <f>SUMIF(T_BS!$D:$D,T_CE!D24,T_BS!$X:$X)</f>
        <v>1832663423</v>
      </c>
      <c r="Z24" s="509">
        <f t="shared" si="4"/>
        <v>-435952739</v>
      </c>
      <c r="AA24" s="563" t="s">
        <v>1632</v>
      </c>
      <c r="AB24" s="509">
        <f>Z24</f>
        <v>-435952739</v>
      </c>
      <c r="AC24" s="510">
        <f t="shared" si="10"/>
        <v>0</v>
      </c>
    </row>
    <row r="25" spans="4:32" ht="18" customHeight="1">
      <c r="D25" s="1670" t="s">
        <v>1353</v>
      </c>
      <c r="E25" s="1086"/>
      <c r="F25" s="1843" t="s">
        <v>2770</v>
      </c>
      <c r="G25" s="1842" t="s">
        <v>1349</v>
      </c>
      <c r="H25" s="509">
        <v>0</v>
      </c>
      <c r="I25" s="509">
        <v>0</v>
      </c>
      <c r="J25" s="509">
        <v>0</v>
      </c>
      <c r="K25" s="509">
        <f>SUMIF(T_BS!$D:$D,T_CE!$D25,T_BS!$AM:$AM)</f>
        <v>0</v>
      </c>
      <c r="L25" s="509">
        <f t="shared" si="7"/>
        <v>0</v>
      </c>
      <c r="M25" s="509">
        <f>SUMIF(T_BS!$D:$D,T_CE!$D25,T_BS!$AL:$AL)</f>
        <v>0</v>
      </c>
      <c r="N25" s="509">
        <f>M25-J25</f>
        <v>0</v>
      </c>
      <c r="O25" s="509">
        <f>SUMIF(T_BS!$D:$D,T_CE!$D25,T_BS!$AK:$AK)</f>
        <v>0</v>
      </c>
      <c r="P25" s="509">
        <f t="shared" si="8"/>
        <v>0</v>
      </c>
      <c r="Q25" s="509">
        <f>SUMIF(T_BS!$D:$D,T_CE!$D25,T_BS!$AI:$AI)</f>
        <v>0</v>
      </c>
      <c r="R25" s="509">
        <f t="shared" si="9"/>
        <v>0</v>
      </c>
      <c r="S25" s="509">
        <v>0</v>
      </c>
      <c r="T25" s="509">
        <v>0</v>
      </c>
      <c r="U25" s="509">
        <v>0</v>
      </c>
      <c r="V25" s="509">
        <v>0</v>
      </c>
      <c r="W25" s="509">
        <v>0</v>
      </c>
      <c r="X25" s="509">
        <v>0</v>
      </c>
      <c r="Y25" s="509">
        <f>SUMIF(T_BS!$D:$D,T_CE!D25,T_BS!$X:$X)</f>
        <v>0</v>
      </c>
      <c r="Z25" s="509">
        <f t="shared" si="4"/>
        <v>0</v>
      </c>
      <c r="AA25" s="563"/>
      <c r="AB25" s="509"/>
      <c r="AC25" s="510">
        <f t="shared" si="10"/>
        <v>0</v>
      </c>
    </row>
    <row r="26" spans="4:32" ht="18" customHeight="1">
      <c r="D26" s="1588"/>
      <c r="E26" s="1589"/>
      <c r="F26" s="1590"/>
      <c r="G26" s="1591" t="s">
        <v>13</v>
      </c>
      <c r="H26" s="506">
        <f t="shared" ref="H26:Z26" si="11">SUM(H27:H29)</f>
        <v>-38998926103</v>
      </c>
      <c r="I26" s="506">
        <f t="shared" si="11"/>
        <v>-87770959767</v>
      </c>
      <c r="J26" s="506">
        <f t="shared" si="11"/>
        <v>-110877418434</v>
      </c>
      <c r="K26" s="506">
        <f t="shared" si="11"/>
        <v>-108702022376</v>
      </c>
      <c r="L26" s="506">
        <f t="shared" si="11"/>
        <v>2175396058</v>
      </c>
      <c r="M26" s="506">
        <f t="shared" si="11"/>
        <v>-125531744918</v>
      </c>
      <c r="N26" s="506">
        <f>SUM(N27:N29)</f>
        <v>-14654326484</v>
      </c>
      <c r="O26" s="506">
        <f>SUM(O27:O29)</f>
        <v>-111752944049</v>
      </c>
      <c r="P26" s="506">
        <f>SUM(P27:P29)</f>
        <v>-875525615</v>
      </c>
      <c r="Q26" s="506">
        <f>SUM(Q27:Q29)</f>
        <v>-127219420734</v>
      </c>
      <c r="R26" s="506">
        <f>SUM(R27:R29)</f>
        <v>-16342002300</v>
      </c>
      <c r="S26" s="506">
        <v>4009733472</v>
      </c>
      <c r="T26" s="506">
        <v>131229154206</v>
      </c>
      <c r="U26" s="506">
        <v>28823820126</v>
      </c>
      <c r="V26" s="506">
        <v>156043240860</v>
      </c>
      <c r="W26" s="506">
        <v>38653665958</v>
      </c>
      <c r="X26" s="506">
        <v>165873086692</v>
      </c>
      <c r="Y26" s="506">
        <f t="shared" si="11"/>
        <v>22912781337</v>
      </c>
      <c r="Z26" s="506">
        <f t="shared" si="11"/>
        <v>150132202071</v>
      </c>
      <c r="AA26" s="1592"/>
      <c r="AB26" s="506"/>
      <c r="AC26" s="507"/>
      <c r="AE26" s="1874" t="s">
        <v>2808</v>
      </c>
    </row>
    <row r="27" spans="4:32" ht="18" customHeight="1">
      <c r="D27" s="1633">
        <v>350951</v>
      </c>
      <c r="F27" s="1361">
        <v>5401</v>
      </c>
      <c r="G27" s="1502" t="s">
        <v>205</v>
      </c>
      <c r="H27" s="509">
        <v>525952518</v>
      </c>
      <c r="I27" s="509">
        <v>-240559000</v>
      </c>
      <c r="J27" s="509">
        <v>-279145066</v>
      </c>
      <c r="K27" s="509">
        <f>SUMIF(T_BS!$D:$D,T_CE!$D27,T_BS!$AM:$AM)</f>
        <v>-279145066</v>
      </c>
      <c r="L27" s="509">
        <f t="shared" si="7"/>
        <v>0</v>
      </c>
      <c r="M27" s="509">
        <f>SUMIF(T_BS!$D:$D,T_CE!$D27,T_BS!$AL:$AL)</f>
        <v>-31934104</v>
      </c>
      <c r="N27" s="509">
        <f>M27-J27</f>
        <v>247210962</v>
      </c>
      <c r="O27" s="509">
        <f>SUMIF(T_BS!$D:$D,T_CE!$D27,T_BS!$AK:$AK)</f>
        <v>-31934104</v>
      </c>
      <c r="P27" s="509">
        <f>O27-J27</f>
        <v>247210962</v>
      </c>
      <c r="Q27" s="509">
        <f>SUMIF(T_BS!$D:$D,T_CE!$D27,T_BS!$AI:$AI)</f>
        <v>-518054341</v>
      </c>
      <c r="R27" s="509">
        <f>Q27-J27</f>
        <v>-238909275</v>
      </c>
      <c r="S27" s="509">
        <v>622390102</v>
      </c>
      <c r="T27" s="509">
        <v>1140444443</v>
      </c>
      <c r="U27" s="509">
        <v>1835024545</v>
      </c>
      <c r="V27" s="509">
        <v>1212634443</v>
      </c>
      <c r="W27" s="509">
        <v>1835024545</v>
      </c>
      <c r="X27" s="509">
        <v>1212634443</v>
      </c>
      <c r="Y27" s="509">
        <f>SUMIF(T_BS!$D:$D,T_CE!D27,T_BS!$X:$X)</f>
        <v>2586305230</v>
      </c>
      <c r="Z27" s="509">
        <f>Y27-Q27+AF27</f>
        <v>1963915128</v>
      </c>
      <c r="AA27" s="563" t="s">
        <v>527</v>
      </c>
      <c r="AB27" s="509">
        <f>Z27</f>
        <v>1963915128</v>
      </c>
      <c r="AC27" s="510">
        <f>Z27-AB27</f>
        <v>0</v>
      </c>
      <c r="AE27" s="1875" t="s">
        <v>2772</v>
      </c>
      <c r="AF27" s="1883">
        <v>-1140444443</v>
      </c>
    </row>
    <row r="28" spans="4:32" ht="18" customHeight="1" thickBot="1">
      <c r="D28" s="1633" t="s">
        <v>1354</v>
      </c>
      <c r="F28" s="1361">
        <v>5402</v>
      </c>
      <c r="G28" s="1502" t="s">
        <v>207</v>
      </c>
      <c r="H28" s="509">
        <v>-39524878621</v>
      </c>
      <c r="I28" s="509">
        <v>-87530400767</v>
      </c>
      <c r="J28" s="509">
        <v>-87530400767</v>
      </c>
      <c r="K28" s="509">
        <f>SUMIF(T_BS!$D:$D,T_CE!$D28,T_BS!$AM:$AM)</f>
        <v>-110598273368</v>
      </c>
      <c r="L28" s="509">
        <f t="shared" si="7"/>
        <v>-23067872601</v>
      </c>
      <c r="M28" s="509">
        <f>SUMIF(T_BS!$D:$D,T_CE!$D28,T_BS!$AL:$AL)</f>
        <v>-110598273368</v>
      </c>
      <c r="N28" s="509">
        <f>M28-J28</f>
        <v>-23067872601</v>
      </c>
      <c r="O28" s="509">
        <f>SUMIF(T_BS!$D:$D,T_CE!$D28,T_BS!$AK:$AK)</f>
        <v>-110598273368</v>
      </c>
      <c r="P28" s="509">
        <f>O28-J28</f>
        <v>-23067872601</v>
      </c>
      <c r="Q28" s="509">
        <f>SUMIF(T_BS!$D:$D,T_CE!$D28,T_BS!$AI:$AI)</f>
        <v>-110598273368</v>
      </c>
      <c r="R28" s="509">
        <f>Q28-J28</f>
        <v>-23067872601</v>
      </c>
      <c r="S28" s="509">
        <v>-8910020994</v>
      </c>
      <c r="T28" s="509">
        <v>101688252374</v>
      </c>
      <c r="U28" s="509">
        <v>-8910020994</v>
      </c>
      <c r="V28" s="509">
        <v>118931789842</v>
      </c>
      <c r="W28" s="509">
        <v>-8910020994</v>
      </c>
      <c r="X28" s="509">
        <v>118931789842</v>
      </c>
      <c r="Y28" s="509">
        <f>SUMIF(T_BS!$D:$D,T_CE!D28,T_BS!$X:$X)</f>
        <v>-8910020994</v>
      </c>
      <c r="Z28" s="509">
        <f>Y28-Q29-Q28-AF27</f>
        <v>118931789842</v>
      </c>
      <c r="AA28" s="563" t="s">
        <v>2768</v>
      </c>
      <c r="AB28" s="509">
        <f>-AF29</f>
        <v>118931789842</v>
      </c>
      <c r="AC28" s="510">
        <f t="shared" ref="AC28:AC29" si="12">Z28-AB28</f>
        <v>0</v>
      </c>
      <c r="AE28" s="1876" t="s">
        <v>2773</v>
      </c>
      <c r="AF28" s="1884">
        <v>-117791345399</v>
      </c>
    </row>
    <row r="29" spans="4:32" ht="18" customHeight="1" thickTop="1">
      <c r="D29" s="1633" t="s">
        <v>1355</v>
      </c>
      <c r="F29" s="1361" t="s">
        <v>611</v>
      </c>
      <c r="G29" s="1502" t="s">
        <v>209</v>
      </c>
      <c r="H29" s="509">
        <v>0</v>
      </c>
      <c r="I29" s="509"/>
      <c r="J29" s="509">
        <v>-23067872601</v>
      </c>
      <c r="K29" s="509">
        <f>SUMIF(T_BS!$D:$D,T_CE!$D29,T_BS!$AM:$AM)</f>
        <v>2175396058</v>
      </c>
      <c r="L29" s="509">
        <f t="shared" si="7"/>
        <v>25243268659</v>
      </c>
      <c r="M29" s="509">
        <f>SUMIF(T_BS!$D:$D,T_CE!$D29,T_BS!$AL:$AL)</f>
        <v>-14901537446</v>
      </c>
      <c r="N29" s="509">
        <f>M29-J29</f>
        <v>8166335155</v>
      </c>
      <c r="O29" s="509">
        <f>SUMIF(T_BS!$D:$D,T_CE!$D29,T_BS!$AK:$AK)</f>
        <v>-1122736577</v>
      </c>
      <c r="P29" s="509">
        <f>O29-J29</f>
        <v>21945136024</v>
      </c>
      <c r="Q29" s="509">
        <f>SUMIF(T_BS!$D:$D,T_CE!$D29,T_BS!$AI:$AI)</f>
        <v>-16103093025</v>
      </c>
      <c r="R29" s="509">
        <f>Q29-J29</f>
        <v>6964779576</v>
      </c>
      <c r="S29" s="509">
        <v>12297364364</v>
      </c>
      <c r="T29" s="509">
        <v>28400457389</v>
      </c>
      <c r="U29" s="509">
        <v>35898816575</v>
      </c>
      <c r="V29" s="509">
        <v>35898816575</v>
      </c>
      <c r="W29" s="509">
        <v>45728662407</v>
      </c>
      <c r="X29" s="509">
        <v>45728662407</v>
      </c>
      <c r="Y29" s="509">
        <f>SUMIF(T_BS!$D:$D,T_CE!D29,T_BS!$X:$X)</f>
        <v>29236497101</v>
      </c>
      <c r="Z29" s="509">
        <f>Y29</f>
        <v>29236497101</v>
      </c>
      <c r="AA29" s="563" t="s">
        <v>1633</v>
      </c>
      <c r="AB29" s="509">
        <f>T_IS!X127</f>
        <v>29236497101</v>
      </c>
      <c r="AC29" s="510">
        <f t="shared" si="12"/>
        <v>0</v>
      </c>
      <c r="AD29" s="1362" t="b">
        <f>AC29+AC28=0</f>
        <v>1</v>
      </c>
      <c r="AE29" s="1877" t="s">
        <v>2774</v>
      </c>
      <c r="AF29" s="1885">
        <f>AF27+AF28</f>
        <v>-118931789842</v>
      </c>
    </row>
    <row r="30" spans="4:32" ht="18" customHeight="1">
      <c r="D30" s="1583"/>
      <c r="E30" s="1584"/>
      <c r="F30" s="1585"/>
      <c r="G30" s="1586" t="s">
        <v>210</v>
      </c>
      <c r="H30" s="503">
        <f>H31</f>
        <v>0</v>
      </c>
      <c r="I30" s="503"/>
      <c r="J30" s="503"/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3"/>
      <c r="Y30" s="503"/>
      <c r="Z30" s="503"/>
      <c r="AA30" s="1587"/>
      <c r="AB30" s="503"/>
      <c r="AC30" s="504"/>
    </row>
    <row r="31" spans="4:32" ht="18" customHeight="1" thickBot="1">
      <c r="D31" s="1841" t="s">
        <v>492</v>
      </c>
      <c r="E31" s="1594"/>
      <c r="F31" s="1595"/>
      <c r="G31" s="1596" t="s">
        <v>210</v>
      </c>
      <c r="H31" s="513">
        <v>0</v>
      </c>
      <c r="I31" s="513"/>
      <c r="J31" s="513"/>
      <c r="K31" s="513"/>
      <c r="L31" s="513"/>
      <c r="M31" s="513"/>
      <c r="N31" s="513"/>
      <c r="O31" s="513"/>
      <c r="P31" s="513"/>
      <c r="Q31" s="513"/>
      <c r="R31" s="513"/>
      <c r="S31" s="513"/>
      <c r="T31" s="513"/>
      <c r="U31" s="513"/>
      <c r="V31" s="513"/>
      <c r="W31" s="513"/>
      <c r="X31" s="513"/>
      <c r="Y31" s="513"/>
      <c r="Z31" s="513"/>
      <c r="AA31" s="1597"/>
      <c r="AB31" s="513"/>
      <c r="AC31" s="514"/>
    </row>
    <row r="33" spans="7:28" ht="18" customHeight="1">
      <c r="G33" s="1508" t="s">
        <v>14</v>
      </c>
      <c r="K33" s="1362" t="b">
        <f>T_BS!AM231=K6</f>
        <v>1</v>
      </c>
      <c r="L33" s="1362" t="b">
        <f>L29+L28=T_IS!AW128</f>
        <v>1</v>
      </c>
      <c r="M33" s="1362" t="b">
        <f>T_BS!AL231=M6</f>
        <v>1</v>
      </c>
      <c r="N33" s="1362" t="b">
        <f>N29+N28=T_IS!AV128</f>
        <v>1</v>
      </c>
      <c r="O33" s="1362" t="b">
        <f>T_BS!AK231=O6</f>
        <v>1</v>
      </c>
      <c r="P33" s="1359" t="b">
        <f>P29+P28=T_IS!AU128</f>
        <v>1</v>
      </c>
      <c r="Q33" s="1362" t="b">
        <f>T_BS!AI231=Q6</f>
        <v>1</v>
      </c>
      <c r="R33" s="1362" t="b">
        <f>R29+R28=T_IS!AS128</f>
        <v>1</v>
      </c>
      <c r="S33" s="1362" t="b">
        <f>T_BS!AH231=S6</f>
        <v>1</v>
      </c>
      <c r="T33" s="1362"/>
      <c r="U33" s="1362" t="b">
        <f>T_BS!AG231=U6</f>
        <v>1</v>
      </c>
      <c r="V33" s="1362"/>
      <c r="W33" s="1362" t="b">
        <f>T_BS!AD231=W6</f>
        <v>1</v>
      </c>
      <c r="X33" s="1362"/>
      <c r="Y33" s="1362" t="b">
        <f>T_BS!X231=Y6</f>
        <v>1</v>
      </c>
      <c r="Z33" s="840" t="b">
        <f>Z28+Z29-AB28=T_BS!X254</f>
        <v>1</v>
      </c>
      <c r="AA33" s="509"/>
      <c r="AB33" s="509"/>
    </row>
    <row r="34" spans="7:28" ht="18" customHeight="1">
      <c r="G34" s="1508" t="s">
        <v>11</v>
      </c>
      <c r="K34" s="1362" t="b">
        <f>T_BS!AM232=K7</f>
        <v>1</v>
      </c>
      <c r="L34" s="1362"/>
      <c r="M34" s="1362" t="b">
        <f>T_BS!AL232=M7</f>
        <v>1</v>
      </c>
      <c r="N34" s="1362"/>
      <c r="O34" s="1362" t="b">
        <f>T_BS!AK232=O7</f>
        <v>1</v>
      </c>
      <c r="Q34" s="1362" t="b">
        <f>T_BS!AI232=Q7</f>
        <v>1</v>
      </c>
      <c r="R34" s="1362"/>
      <c r="S34" s="1362" t="b">
        <f>T_BS!AH232=S7</f>
        <v>1</v>
      </c>
      <c r="T34" s="1362"/>
      <c r="U34" s="1362" t="b">
        <f>T_BS!AG232=U7</f>
        <v>1</v>
      </c>
      <c r="V34" s="1362"/>
      <c r="W34" s="1362" t="b">
        <f>T_BS!AD232=W7</f>
        <v>1</v>
      </c>
      <c r="X34" s="1362"/>
      <c r="Y34" s="1362" t="b">
        <f>T_BS!X232=Y7</f>
        <v>1</v>
      </c>
      <c r="Z34" s="1598"/>
      <c r="AA34" s="509"/>
      <c r="AB34" s="509"/>
    </row>
    <row r="35" spans="7:28" ht="18" customHeight="1">
      <c r="G35" s="1508" t="s">
        <v>10</v>
      </c>
      <c r="K35" s="1362" t="b">
        <f>T_BS!AM233=K8</f>
        <v>1</v>
      </c>
      <c r="L35" s="1362"/>
      <c r="M35" s="1362" t="b">
        <f>T_BS!AL233=M8</f>
        <v>1</v>
      </c>
      <c r="N35" s="1362"/>
      <c r="O35" s="1362" t="b">
        <f>T_BS!AK233=O8</f>
        <v>1</v>
      </c>
      <c r="Q35" s="1362" t="b">
        <f>T_BS!AI233=Q8</f>
        <v>1</v>
      </c>
      <c r="R35" s="1362"/>
      <c r="S35" s="1362" t="b">
        <f>T_BS!AH233=S8</f>
        <v>1</v>
      </c>
      <c r="T35" s="1362"/>
      <c r="U35" s="1362" t="b">
        <f>T_BS!AG233=U8</f>
        <v>1</v>
      </c>
      <c r="V35" s="1362"/>
      <c r="W35" s="1362" t="b">
        <f>T_BS!AD233=W8</f>
        <v>1</v>
      </c>
      <c r="X35" s="1362"/>
      <c r="Y35" s="1362" t="b">
        <f>T_BS!X233=Y8</f>
        <v>1</v>
      </c>
      <c r="Z35" s="1598"/>
    </row>
    <row r="36" spans="7:28" ht="18" customHeight="1">
      <c r="G36" s="1508" t="s">
        <v>12</v>
      </c>
      <c r="K36" s="1362" t="b">
        <f>T_BS!AM236=K11</f>
        <v>1</v>
      </c>
      <c r="L36" s="1362"/>
      <c r="M36" s="1362" t="b">
        <f>T_BS!AL236=M11</f>
        <v>1</v>
      </c>
      <c r="N36" s="1362"/>
      <c r="O36" s="1362" t="b">
        <f>T_BS!AK236=O11</f>
        <v>1</v>
      </c>
      <c r="Q36" s="1362" t="b">
        <f>T_BS!AI236=Q11</f>
        <v>1</v>
      </c>
      <c r="R36" s="1362"/>
      <c r="S36" s="1362" t="b">
        <f>T_BS!AH236=S11</f>
        <v>1</v>
      </c>
      <c r="T36" s="1362"/>
      <c r="U36" s="1362" t="b">
        <f>T_BS!AG236=U11</f>
        <v>1</v>
      </c>
      <c r="V36" s="1362"/>
      <c r="W36" s="1362" t="b">
        <f>T_BS!AD236=W11</f>
        <v>1</v>
      </c>
      <c r="X36" s="1362"/>
      <c r="Y36" s="1362" t="b">
        <f>T_BS!X236=Y11</f>
        <v>1</v>
      </c>
      <c r="Z36" s="1362"/>
    </row>
    <row r="37" spans="7:28" ht="18" customHeight="1">
      <c r="G37" s="1508" t="s">
        <v>194</v>
      </c>
      <c r="K37" s="1362" t="b">
        <f>T_BS!AM241=K16</f>
        <v>1</v>
      </c>
      <c r="L37" s="1362"/>
      <c r="M37" s="1362" t="b">
        <f>T_BS!AL241=M16</f>
        <v>1</v>
      </c>
      <c r="N37" s="1362"/>
      <c r="O37" s="1362" t="b">
        <f>T_BS!AK241=O16</f>
        <v>1</v>
      </c>
      <c r="Q37" s="1362" t="b">
        <f>T_BS!AI241=Q16</f>
        <v>1</v>
      </c>
      <c r="R37" s="1362"/>
      <c r="S37" s="1362" t="b">
        <f>T_BS!AH241=S16</f>
        <v>1</v>
      </c>
      <c r="T37" s="1362"/>
      <c r="U37" s="1362" t="b">
        <f>T_BS!AG241=U16</f>
        <v>1</v>
      </c>
      <c r="V37" s="1362"/>
      <c r="W37" s="1362" t="b">
        <f>T_BS!AD241=W16</f>
        <v>1</v>
      </c>
      <c r="X37" s="1362"/>
      <c r="Y37" s="1362" t="b">
        <f>T_BS!X241=Y16</f>
        <v>1</v>
      </c>
      <c r="Z37" s="1362"/>
      <c r="AA37" s="509"/>
    </row>
    <row r="38" spans="7:28" ht="18" customHeight="1">
      <c r="G38" s="1508" t="s">
        <v>13</v>
      </c>
      <c r="K38" s="1362" t="b">
        <f>T_BS!AM251=K26</f>
        <v>1</v>
      </c>
      <c r="L38" s="1362"/>
      <c r="M38" s="1362" t="b">
        <f>T_BS!AL251=M26</f>
        <v>1</v>
      </c>
      <c r="N38" s="1362"/>
      <c r="O38" s="1362" t="b">
        <f>T_BS!AK251=O26</f>
        <v>1</v>
      </c>
      <c r="Q38" s="1362" t="b">
        <f>T_BS!AI251=Q26</f>
        <v>1</v>
      </c>
      <c r="R38" s="1362"/>
      <c r="S38" s="1362" t="b">
        <f>T_BS!AH251=S26</f>
        <v>1</v>
      </c>
      <c r="T38" s="1362"/>
      <c r="U38" s="1362" t="b">
        <f>T_BS!AG251=U26</f>
        <v>1</v>
      </c>
      <c r="V38" s="1362"/>
      <c r="W38" s="1362" t="b">
        <f>T_BS!AD251=W26</f>
        <v>1</v>
      </c>
      <c r="X38" s="1362"/>
      <c r="Y38" s="1362" t="b">
        <f>T_BS!X251=Y26</f>
        <v>1</v>
      </c>
      <c r="Z38" s="1362"/>
    </row>
    <row r="39" spans="7:28" ht="18" customHeight="1">
      <c r="G39" s="1508" t="s">
        <v>210</v>
      </c>
      <c r="K39" s="1362" t="b">
        <f>T_BS!AM255=K30</f>
        <v>1</v>
      </c>
      <c r="L39" s="1362"/>
      <c r="M39" s="1362" t="b">
        <f>T_BS!AL255=M30</f>
        <v>1</v>
      </c>
      <c r="N39" s="1362"/>
      <c r="O39" s="1362" t="b">
        <f>T_BS!AK255=O30</f>
        <v>1</v>
      </c>
      <c r="Q39" s="1362" t="b">
        <f>T_BS!AI255=Q30</f>
        <v>1</v>
      </c>
      <c r="R39" s="1362"/>
      <c r="S39" s="1362" t="b">
        <f>T_BS!AH255=S30</f>
        <v>1</v>
      </c>
      <c r="T39" s="1362"/>
      <c r="U39" s="1362" t="b">
        <f>T_BS!AG255=U30</f>
        <v>1</v>
      </c>
      <c r="V39" s="1362"/>
      <c r="W39" s="1362" t="b">
        <f>T_BS!AD255=W30</f>
        <v>1</v>
      </c>
      <c r="X39" s="1362"/>
      <c r="Y39" s="1362" t="b">
        <f>T_BS!X255=Y30</f>
        <v>1</v>
      </c>
      <c r="Z39" s="1362"/>
    </row>
  </sheetData>
  <phoneticPr fontId="22" type="noConversion"/>
  <pageMargins left="0.7" right="0.7" top="0.75" bottom="0.75" header="0.3" footer="0.3"/>
  <pageSetup paperSize="9" orientation="portrait" r:id="rId1"/>
  <ignoredErrors>
    <ignoredError sqref="L11 L26 Z11:AB11 Z26:AB26 Z16:AB16 N14:N15 N17:N23 Y14:Y23 Y34:Y39 AA14:AB14 AA17:AB21 AA30:AB31 AB27 Y29 AA29 Y32:Z32 N26:R26 N16:R16 N11:R11 N32:R32 AA23:AB23 AB12 AB15 Y9 AA25:AB25 AA24 Y25:Y26 Y11:Y12 N12" formula="1"/>
    <ignoredError sqref="D19:F21 D33:F34 D23:F24 D22:E22 D26:F32 D25:E2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0.79998168889431442"/>
  </sheetPr>
  <dimension ref="C1:AD381"/>
  <sheetViews>
    <sheetView showGridLines="0" zoomScale="80" zoomScaleNormal="80" workbookViewId="0">
      <pane xSplit="7" ySplit="6" topLeftCell="H143" activePane="bottomRight" state="frozen"/>
      <selection activeCell="I248" sqref="I248"/>
      <selection pane="topRight" activeCell="I248" sqref="I248"/>
      <selection pane="bottomLeft" activeCell="I248" sqref="I248"/>
      <selection pane="bottomRight" activeCell="G170" sqref="G170"/>
    </sheetView>
  </sheetViews>
  <sheetFormatPr defaultColWidth="8.75" defaultRowHeight="18" customHeight="1" outlineLevelCol="1"/>
  <cols>
    <col min="1" max="3" width="2.375" style="1359" customWidth="1"/>
    <col min="4" max="5" width="19.875" style="1359" customWidth="1"/>
    <col min="6" max="6" width="31.875" style="1502" bestFit="1" customWidth="1"/>
    <col min="7" max="7" width="47.875" style="1359" customWidth="1"/>
    <col min="8" max="9" width="19.25" style="1356" customWidth="1" outlineLevel="1"/>
    <col min="10" max="11" width="19.375" style="1356" customWidth="1" outlineLevel="1"/>
    <col min="12" max="12" width="19.375" style="1356" customWidth="1"/>
    <col min="13" max="13" width="3.125" style="1359" customWidth="1"/>
    <col min="14" max="19" width="19.375" style="1356" hidden="1" customWidth="1" outlineLevel="1"/>
    <col min="20" max="20" width="2.25" style="1359" customWidth="1" collapsed="1"/>
    <col min="21" max="21" width="22.5" style="1356" bestFit="1" customWidth="1"/>
    <col min="22" max="22" width="5.625" style="1359" customWidth="1"/>
    <col min="23" max="23" width="13.75" style="1359" customWidth="1"/>
    <col min="24" max="24" width="12.375" style="1359" bestFit="1" customWidth="1"/>
    <col min="25" max="25" width="13.375" style="1359" bestFit="1" customWidth="1"/>
    <col min="26" max="26" width="10.875" style="1359" bestFit="1" customWidth="1"/>
    <col min="27" max="16384" width="8.75" style="1359"/>
  </cols>
  <sheetData>
    <row r="1" spans="3:26" s="1361" customFormat="1" ht="18" customHeight="1">
      <c r="H1" s="562" t="s">
        <v>2878</v>
      </c>
      <c r="I1" s="562" t="s">
        <v>2878</v>
      </c>
      <c r="J1" s="562" t="s">
        <v>2878</v>
      </c>
      <c r="K1" s="562" t="s">
        <v>2878</v>
      </c>
      <c r="L1" s="562"/>
      <c r="N1" s="562"/>
      <c r="O1" s="562"/>
      <c r="P1" s="562"/>
      <c r="Q1" s="562"/>
      <c r="R1" s="562"/>
      <c r="S1" s="562"/>
      <c r="U1" s="562"/>
    </row>
    <row r="2" spans="3:26" s="1362" customFormat="1" ht="18" customHeight="1">
      <c r="F2" s="1503"/>
      <c r="H2" s="1504"/>
      <c r="I2" s="1504"/>
      <c r="J2" s="1505"/>
      <c r="K2" s="1504"/>
      <c r="L2" s="1504"/>
      <c r="N2" s="1504"/>
      <c r="O2" s="1504"/>
      <c r="P2" s="1504"/>
      <c r="Q2" s="1504"/>
      <c r="R2" s="1504"/>
      <c r="S2" s="1504"/>
      <c r="U2" s="1504"/>
    </row>
    <row r="3" spans="3:26" ht="18" customHeight="1">
      <c r="D3" s="1506"/>
      <c r="J3" s="926"/>
      <c r="O3" s="1356">
        <f>O4-O9</f>
        <v>0</v>
      </c>
      <c r="P3" s="1356">
        <f>P4-P9</f>
        <v>-5946668</v>
      </c>
      <c r="R3" s="1356">
        <f>R4-R9</f>
        <v>0</v>
      </c>
      <c r="S3" s="1356">
        <f>S4-S9</f>
        <v>527671939</v>
      </c>
    </row>
    <row r="4" spans="3:26" s="1507" customFormat="1" ht="18" customHeight="1">
      <c r="F4" s="1508"/>
      <c r="H4" s="935">
        <f>H9-T_IS!H127</f>
        <v>16111132521</v>
      </c>
      <c r="I4" s="935">
        <f>I9-T_IS!I127</f>
        <v>423806414</v>
      </c>
      <c r="J4" s="935">
        <f>J9-T_IS!J127</f>
        <v>-10425927</v>
      </c>
      <c r="K4" s="935">
        <f>K9-T_IS!K127</f>
        <v>-24050614</v>
      </c>
      <c r="L4" s="935"/>
      <c r="N4" s="935"/>
      <c r="O4" s="936">
        <f>T_IS!Q124</f>
        <v>-165946831</v>
      </c>
      <c r="P4" s="936">
        <f>T_IS!P124</f>
        <v>-1549804203</v>
      </c>
      <c r="Q4" s="936"/>
      <c r="R4" s="936">
        <f>T_IS!T127</f>
        <v>-206894832</v>
      </c>
      <c r="S4" s="936">
        <f>T_IS!V124</f>
        <v>-1389027259</v>
      </c>
      <c r="U4" s="935"/>
    </row>
    <row r="5" spans="3:26" ht="18" customHeight="1" thickBot="1">
      <c r="H5" s="926">
        <f>H355-H352-H349</f>
        <v>0</v>
      </c>
      <c r="I5" s="1356">
        <f>I355-I352-I349</f>
        <v>0</v>
      </c>
      <c r="J5" s="926">
        <f>J355-J352-J349</f>
        <v>0</v>
      </c>
      <c r="K5" s="1356">
        <f t="shared" ref="K5:S5" si="0">K355-K352-K349</f>
        <v>0</v>
      </c>
      <c r="L5" s="1356">
        <f>L355-L352-L349</f>
        <v>0</v>
      </c>
      <c r="N5" s="1356">
        <f>N355-N352-N349</f>
        <v>5488882859</v>
      </c>
      <c r="O5" s="1356">
        <f t="shared" si="0"/>
        <v>0</v>
      </c>
      <c r="P5" s="1509">
        <f t="shared" si="0"/>
        <v>0</v>
      </c>
      <c r="Q5" s="1356">
        <f t="shared" si="0"/>
        <v>0</v>
      </c>
      <c r="R5" s="1356">
        <f t="shared" si="0"/>
        <v>0</v>
      </c>
      <c r="S5" s="1356">
        <f t="shared" si="0"/>
        <v>5488882859</v>
      </c>
      <c r="U5" s="1510">
        <f>U355-U352-U349</f>
        <v>5488882859</v>
      </c>
    </row>
    <row r="6" spans="3:26" s="1511" customFormat="1" ht="38.1" customHeight="1">
      <c r="D6" s="1512" t="s">
        <v>1361</v>
      </c>
      <c r="E6" s="1513" t="s">
        <v>1362</v>
      </c>
      <c r="F6" s="1513" t="s">
        <v>17</v>
      </c>
      <c r="G6" s="1513" t="s">
        <v>691</v>
      </c>
      <c r="H6" s="516" t="s">
        <v>15</v>
      </c>
      <c r="I6" s="516" t="s">
        <v>2189</v>
      </c>
      <c r="J6" s="516" t="s">
        <v>217</v>
      </c>
      <c r="K6" s="516" t="s">
        <v>215</v>
      </c>
      <c r="L6" s="1514" t="s">
        <v>227</v>
      </c>
      <c r="M6" s="1515"/>
      <c r="N6" s="1516" t="s">
        <v>1447</v>
      </c>
      <c r="O6" s="1517" t="s">
        <v>1448</v>
      </c>
      <c r="P6" s="1517" t="s">
        <v>1449</v>
      </c>
      <c r="Q6" s="1517" t="s">
        <v>1450</v>
      </c>
      <c r="R6" s="1517" t="s">
        <v>1451</v>
      </c>
      <c r="S6" s="1518" t="s">
        <v>1462</v>
      </c>
      <c r="U6" s="1519" t="s">
        <v>1463</v>
      </c>
    </row>
    <row r="7" spans="3:26" ht="18" customHeight="1">
      <c r="C7" s="1359">
        <v>1</v>
      </c>
      <c r="D7" s="1520" t="s">
        <v>692</v>
      </c>
      <c r="E7" s="1521" t="s">
        <v>692</v>
      </c>
      <c r="F7" s="1522"/>
      <c r="G7" s="1521" t="s">
        <v>693</v>
      </c>
      <c r="H7" s="1823">
        <f>SUM(H8,H10,H75,H127,H177)</f>
        <v>10227486497</v>
      </c>
      <c r="I7" s="1823">
        <f>SUM(I8,I10,I75,I127,I177)</f>
        <v>415982576</v>
      </c>
      <c r="J7" s="1823">
        <f>SUM(J8,J10,J75,J127,J177)</f>
        <v>210069630</v>
      </c>
      <c r="K7" s="1823">
        <f>SUM(K8,K10,K75,K127,K177)</f>
        <v>41575283</v>
      </c>
      <c r="L7" s="1524">
        <f>SUM(L8,L10,L75,L127,L177)</f>
        <v>10895113986</v>
      </c>
      <c r="N7" s="1525">
        <f t="shared" ref="N7:S7" si="1">SUM(N8,N10,N75,N127,N177)</f>
        <v>0</v>
      </c>
      <c r="O7" s="1523">
        <f t="shared" si="1"/>
        <v>0</v>
      </c>
      <c r="P7" s="1523">
        <f t="shared" si="1"/>
        <v>0</v>
      </c>
      <c r="Q7" s="1523">
        <f t="shared" si="1"/>
        <v>0</v>
      </c>
      <c r="R7" s="1523">
        <f t="shared" si="1"/>
        <v>216671</v>
      </c>
      <c r="S7" s="1524">
        <f t="shared" si="1"/>
        <v>216671</v>
      </c>
      <c r="U7" s="1526">
        <f>SUM(U8,U10,U75,U127,U177)</f>
        <v>10895330657</v>
      </c>
    </row>
    <row r="8" spans="3:26" ht="18" customHeight="1">
      <c r="C8" s="1359">
        <v>1</v>
      </c>
      <c r="D8" s="1520" t="s">
        <v>694</v>
      </c>
      <c r="E8" s="1521" t="s">
        <v>694</v>
      </c>
      <c r="F8" s="1522"/>
      <c r="G8" s="1521" t="s">
        <v>209</v>
      </c>
      <c r="H8" s="1823">
        <f>H9</f>
        <v>45447372433</v>
      </c>
      <c r="I8" s="1823">
        <f>I9</f>
        <v>68411704</v>
      </c>
      <c r="J8" s="1823">
        <f>J9</f>
        <v>228020926</v>
      </c>
      <c r="K8" s="1823">
        <f>K9</f>
        <v>1382181691</v>
      </c>
      <c r="L8" s="1524">
        <f>L9</f>
        <v>47125986754</v>
      </c>
      <c r="N8" s="1525">
        <f t="shared" ref="N8:S8" si="2">N9</f>
        <v>0</v>
      </c>
      <c r="O8" s="1523">
        <f t="shared" si="2"/>
        <v>-165946831</v>
      </c>
      <c r="P8" s="1523">
        <f t="shared" si="2"/>
        <v>-1543857535</v>
      </c>
      <c r="Q8" s="1523">
        <f t="shared" si="2"/>
        <v>0</v>
      </c>
      <c r="R8" s="1523">
        <f t="shared" si="2"/>
        <v>-206894832</v>
      </c>
      <c r="S8" s="1524">
        <f t="shared" si="2"/>
        <v>-1916699198</v>
      </c>
      <c r="U8" s="1526">
        <f>U9</f>
        <v>45209287556</v>
      </c>
    </row>
    <row r="9" spans="3:26" ht="18" customHeight="1">
      <c r="C9" s="1359">
        <v>1</v>
      </c>
      <c r="D9" s="1527" t="s">
        <v>695</v>
      </c>
      <c r="E9" s="1501" t="s">
        <v>695</v>
      </c>
      <c r="F9" s="1528" t="s">
        <v>2537</v>
      </c>
      <c r="G9" s="1501" t="s">
        <v>696</v>
      </c>
      <c r="H9" s="1824">
        <v>45447372433</v>
      </c>
      <c r="I9" s="1825">
        <v>68411704</v>
      </c>
      <c r="J9" s="1825">
        <v>228020926</v>
      </c>
      <c r="K9" s="1826">
        <v>1382181691</v>
      </c>
      <c r="L9" s="1530">
        <f>SUM(H9:K9)</f>
        <v>47125986754</v>
      </c>
      <c r="N9" s="1531">
        <f>SUMIF('CF.2'!$H$5:$H$25,'CF.1'!E9,'CF.2'!$J$5:$J$25)-SUMIF('CF.2'!$K$5:$K$25,'CF.1'!E9,'CF.2'!$M$5:$M$25)</f>
        <v>0</v>
      </c>
      <c r="O9" s="1529">
        <f>SUMIF('CF.2'!$H$31:$H$60,'CF.1'!E9,'CF.2'!$J$31:$J$60)+SUMIF('CF.2'!$K$31:$K$60,'CF.1'!E9,'CF.2'!$M$31:$M$60)+'CF.2'!M56</f>
        <v>-165946831</v>
      </c>
      <c r="P9" s="1529">
        <f>SUMIF('CF.2'!$H$65:$H$108,'CF.1'!E9,'CF.2'!$J$65:$J$108)+SUMIF('CF.2'!$K$65:$K$108,'CF.1'!E9,'CF.2'!$M$65:$M$108)</f>
        <v>-1543857535</v>
      </c>
      <c r="Q9" s="1529">
        <f>SUMIF('CF.2'!$H$112:$H$118,'CF.1'!E9,'CF.2'!$J$112:$J$118)+SUMIF('CF.2'!$K$112:$K$118,'CF.1'!E9,'CF.2'!$M$112:$M$118)</f>
        <v>0</v>
      </c>
      <c r="R9" s="1529">
        <f>SUMIF('CF.2'!$H$123:$H$134,'CF.1'!E9,'CF.2'!$J$123:$J$134)+SUMIF('CF.2'!$K$123:$K$134,'CF.1'!E9,'CF.2'!$M$123:$M$134)</f>
        <v>-206894832</v>
      </c>
      <c r="S9" s="1530">
        <f>SUM(N9:R9)</f>
        <v>-1916699198</v>
      </c>
      <c r="U9" s="1532">
        <f>ROUND(S9+L9,0)</f>
        <v>45209287556</v>
      </c>
      <c r="W9" s="509" t="b">
        <f>U9=T_IS!X128</f>
        <v>0</v>
      </c>
    </row>
    <row r="10" spans="3:26" ht="18" customHeight="1">
      <c r="C10" s="1359">
        <v>1</v>
      </c>
      <c r="D10" s="1520" t="s">
        <v>697</v>
      </c>
      <c r="E10" s="1521" t="s">
        <v>697</v>
      </c>
      <c r="F10" s="1522"/>
      <c r="G10" s="1521" t="s">
        <v>698</v>
      </c>
      <c r="H10" s="1823">
        <f>SUM(H11:H74)</f>
        <v>10321201569</v>
      </c>
      <c r="I10" s="1823">
        <f>SUM(I11:I74)</f>
        <v>222205934</v>
      </c>
      <c r="J10" s="1823">
        <f>SUM(J11:J74)</f>
        <v>12953686</v>
      </c>
      <c r="K10" s="1823">
        <f>SUM(K11:K74)</f>
        <v>782762270</v>
      </c>
      <c r="L10" s="1524">
        <f>SUM(L11:L74)</f>
        <v>11339123459</v>
      </c>
      <c r="N10" s="1525">
        <f t="shared" ref="N10:S10" si="3">SUM(N11:N74)</f>
        <v>0</v>
      </c>
      <c r="O10" s="1523">
        <f t="shared" si="3"/>
        <v>0</v>
      </c>
      <c r="P10" s="1523">
        <f t="shared" si="3"/>
        <v>-46841095</v>
      </c>
      <c r="Q10" s="1523">
        <f t="shared" si="3"/>
        <v>0</v>
      </c>
      <c r="R10" s="1523">
        <f t="shared" si="3"/>
        <v>201245779</v>
      </c>
      <c r="S10" s="1524">
        <f t="shared" si="3"/>
        <v>154404684</v>
      </c>
      <c r="U10" s="1526">
        <f>SUM(U11:U74)</f>
        <v>11493528143</v>
      </c>
      <c r="V10" s="1359" t="b">
        <f>U10=SUM(U11:U74)</f>
        <v>1</v>
      </c>
    </row>
    <row r="11" spans="3:26" ht="18" customHeight="1">
      <c r="C11" s="1359">
        <v>1</v>
      </c>
      <c r="D11" s="1533" t="s">
        <v>699</v>
      </c>
      <c r="E11" s="1271" t="s">
        <v>699</v>
      </c>
      <c r="F11" s="1534" t="s">
        <v>488</v>
      </c>
      <c r="G11" s="1271" t="s">
        <v>488</v>
      </c>
      <c r="H11" s="1824">
        <v>1042539478</v>
      </c>
      <c r="I11" s="1824">
        <v>2991059</v>
      </c>
      <c r="J11" s="1827">
        <v>1678630</v>
      </c>
      <c r="K11" s="1827">
        <v>7140567</v>
      </c>
      <c r="L11" s="1536">
        <f t="shared" ref="L11:L42" si="4">SUM(H11:K11)</f>
        <v>1054349734</v>
      </c>
      <c r="M11" s="1086"/>
      <c r="N11" s="1531">
        <f>SUMIF('CF.2'!$H$5:$H$25,'CF.1'!E11,'CF.2'!$J$5:$J$25)-SUMIF('CF.2'!$K$5:$K$25,'CF.1'!E11,'CF.2'!$M$5:$M$25)</f>
        <v>0</v>
      </c>
      <c r="O11" s="1529">
        <f>SUMIF('CF.2'!$H$31:$H$60,'CF.1'!E11,'CF.2'!$J$31:$J$60)+SUMIF('CF.2'!$K$31:$K$60,'CF.1'!E11,'CF.2'!$M$31:$M$60)</f>
        <v>0</v>
      </c>
      <c r="P11" s="1529">
        <f>SUMIF('CF.2'!$H$65:$H$108,'CF.1'!E11,'CF.2'!$J$65:$J$108)+SUMIF('CF.2'!$K$65:$K$108,'CF.1'!E11,'CF.2'!$M$65:$M$108)</f>
        <v>0</v>
      </c>
      <c r="Q11" s="1529">
        <f>SUMIF('CF.2'!$H$112:$H$118,'CF.1'!E11,'CF.2'!$J$112:$J$118)+SUMIF('CF.2'!$K$112:$K$118,'CF.1'!E11,'CF.2'!$M$112:$M$118)</f>
        <v>0</v>
      </c>
      <c r="R11" s="1529">
        <f>SUMIF('CF.2'!$H$123:$H$134,'CF.1'!E11,'CF.2'!$J$123:$J$134)+SUMIF('CF.2'!$K$123:$K$134,'CF.1'!E11,'CF.2'!$M$123:$M$134)</f>
        <v>0</v>
      </c>
      <c r="S11" s="1530">
        <f t="shared" ref="S11:S42" si="5">SUM(N11:R11)</f>
        <v>0</v>
      </c>
      <c r="T11" s="1086"/>
      <c r="U11" s="1537">
        <f t="shared" ref="U11:U42" si="6">ROUND(S11+L11,0)</f>
        <v>1054349734</v>
      </c>
      <c r="X11" s="965"/>
      <c r="Y11" s="1357"/>
    </row>
    <row r="12" spans="3:26" ht="18" customHeight="1">
      <c r="C12" s="1359">
        <v>1</v>
      </c>
      <c r="D12" s="1538" t="s">
        <v>2560</v>
      </c>
      <c r="E12" s="1265" t="s">
        <v>2560</v>
      </c>
      <c r="F12" s="1539" t="s">
        <v>2558</v>
      </c>
      <c r="G12" s="1265" t="s">
        <v>2558</v>
      </c>
      <c r="H12" s="1824">
        <v>1697078028</v>
      </c>
      <c r="I12" s="1824">
        <v>145405314</v>
      </c>
      <c r="J12" s="1827">
        <v>10902363</v>
      </c>
      <c r="K12" s="1827">
        <v>273632326</v>
      </c>
      <c r="L12" s="1536">
        <f t="shared" si="4"/>
        <v>2127018031</v>
      </c>
      <c r="M12" s="1086"/>
      <c r="N12" s="1531">
        <f>SUMIF('CF.2'!$H$5:$H$25,'CF.1'!E12,'CF.2'!$J$5:$J$25)-SUMIF('CF.2'!$K$5:$K$25,'CF.1'!E12,'CF.2'!$M$5:$M$25)</f>
        <v>0</v>
      </c>
      <c r="O12" s="1529">
        <f>SUMIF('CF.2'!$H$31:$H$60,'CF.1'!E12,'CF.2'!$J$31:$J$60)+SUMIF('CF.2'!$K$31:$K$60,'CF.1'!E12,'CF.2'!$M$31:$M$60)</f>
        <v>0</v>
      </c>
      <c r="P12" s="1529">
        <f>SUMIF('CF.2'!$H$65:$H$108,'CF.1'!E12,'CF.2'!$J$65:$J$108)+SUMIF('CF.2'!$K$65:$K$108,'CF.1'!E12,'CF.2'!$M$65:$M$108)</f>
        <v>0</v>
      </c>
      <c r="Q12" s="1529">
        <f>SUMIF('CF.2'!$H$112:$H$118,'CF.1'!E12,'CF.2'!$J$112:$J$118)+SUMIF('CF.2'!$K$112:$K$118,'CF.1'!E12,'CF.2'!$M$112:$M$118)</f>
        <v>0</v>
      </c>
      <c r="R12" s="1529">
        <f>SUMIF('CF.2'!$H$123:$H$134,'CF.1'!E12,'CF.2'!$J$123:$J$134)+SUMIF('CF.2'!$K$123:$K$134,'CF.1'!E12,'CF.2'!$M$123:$M$134)</f>
        <v>0</v>
      </c>
      <c r="S12" s="1530">
        <f t="shared" si="5"/>
        <v>0</v>
      </c>
      <c r="T12" s="1086"/>
      <c r="U12" s="1537">
        <f t="shared" si="6"/>
        <v>2127018031</v>
      </c>
      <c r="X12" s="1538"/>
    </row>
    <row r="13" spans="3:26" ht="18" customHeight="1">
      <c r="C13" s="1359">
        <v>1</v>
      </c>
      <c r="D13" s="1533" t="s">
        <v>700</v>
      </c>
      <c r="E13" s="1271" t="s">
        <v>700</v>
      </c>
      <c r="F13" s="1534" t="s">
        <v>386</v>
      </c>
      <c r="G13" s="1271" t="s">
        <v>488</v>
      </c>
      <c r="H13" s="1824">
        <v>2701781024</v>
      </c>
      <c r="I13" s="1824">
        <v>1339272</v>
      </c>
      <c r="J13" s="1827">
        <v>0</v>
      </c>
      <c r="K13" s="1827">
        <v>11118204</v>
      </c>
      <c r="L13" s="1536">
        <f t="shared" si="4"/>
        <v>2714238500</v>
      </c>
      <c r="M13" s="1086"/>
      <c r="N13" s="1531">
        <f>SUMIF('CF.2'!$H$5:$H$25,'CF.1'!E13,'CF.2'!$J$5:$J$25)-SUMIF('CF.2'!$K$5:$K$25,'CF.1'!E13,'CF.2'!$M$5:$M$25)</f>
        <v>0</v>
      </c>
      <c r="O13" s="1529">
        <f>SUMIF('CF.2'!$H$31:$H$60,'CF.1'!E13,'CF.2'!$J$31:$J$60)+SUMIF('CF.2'!$K$31:$K$60,'CF.1'!E13,'CF.2'!$M$31:$M$60)</f>
        <v>0</v>
      </c>
      <c r="P13" s="1529">
        <f>SUMIF('CF.2'!$H$65:$H$108,'CF.1'!E13,'CF.2'!$J$65:$J$108)+SUMIF('CF.2'!$K$65:$K$108,'CF.1'!E13,'CF.2'!$M$65:$M$108)</f>
        <v>0</v>
      </c>
      <c r="Q13" s="1529">
        <f>SUMIF('CF.2'!$H$112:$H$118,'CF.1'!E13,'CF.2'!$J$112:$J$118)+SUMIF('CF.2'!$K$112:$K$118,'CF.1'!E13,'CF.2'!$M$112:$M$118)</f>
        <v>0</v>
      </c>
      <c r="R13" s="1529">
        <f>SUMIF('CF.2'!$H$123:$H$134,'CF.1'!E13,'CF.2'!$J$123:$J$134)+SUMIF('CF.2'!$K$123:$K$134,'CF.1'!E13,'CF.2'!$M$123:$M$134)</f>
        <v>0</v>
      </c>
      <c r="S13" s="1530">
        <f t="shared" si="5"/>
        <v>0</v>
      </c>
      <c r="T13" s="1086"/>
      <c r="U13" s="1537">
        <f t="shared" si="6"/>
        <v>2714238500</v>
      </c>
      <c r="W13" s="925" t="b">
        <f>U13=T_IS!X53</f>
        <v>0</v>
      </c>
      <c r="X13" s="1086"/>
      <c r="Y13" s="1086"/>
      <c r="Z13" s="1086"/>
    </row>
    <row r="14" spans="3:26" ht="18" customHeight="1">
      <c r="C14" s="1359">
        <v>1</v>
      </c>
      <c r="D14" s="1533" t="s">
        <v>701</v>
      </c>
      <c r="E14" s="1271" t="s">
        <v>701</v>
      </c>
      <c r="F14" s="1534" t="s">
        <v>262</v>
      </c>
      <c r="G14" s="1271" t="s">
        <v>262</v>
      </c>
      <c r="H14" s="1824">
        <v>1398686825</v>
      </c>
      <c r="I14" s="1824">
        <v>16934328</v>
      </c>
      <c r="J14" s="1827">
        <v>0</v>
      </c>
      <c r="K14" s="1827">
        <v>22493696</v>
      </c>
      <c r="L14" s="1536">
        <f t="shared" si="4"/>
        <v>1438114849</v>
      </c>
      <c r="M14" s="1086"/>
      <c r="N14" s="1531">
        <f>SUMIF('CF.2'!$H$5:$H$25,'CF.1'!E14,'CF.2'!$J$5:$J$25)-SUMIF('CF.2'!$K$5:$K$25,'CF.1'!E14,'CF.2'!$M$5:$M$25)</f>
        <v>0</v>
      </c>
      <c r="O14" s="1529">
        <f>SUMIF('CF.2'!$H$31:$H$60,'CF.1'!E14,'CF.2'!$J$31:$J$60)+SUMIF('CF.2'!$K$31:$K$60,'CF.1'!E14,'CF.2'!$M$31:$M$60)</f>
        <v>0</v>
      </c>
      <c r="P14" s="1529">
        <f>SUMIF('CF.2'!$H$65:$H$108,'CF.1'!E14,'CF.2'!$J$65:$J$108)+SUMIF('CF.2'!$K$65:$K$108,'CF.1'!E14,'CF.2'!$M$65:$M$108)</f>
        <v>0</v>
      </c>
      <c r="Q14" s="1529">
        <f>SUMIF('CF.2'!$H$112:$H$118,'CF.1'!E14,'CF.2'!$J$112:$J$118)+SUMIF('CF.2'!$K$112:$K$118,'CF.1'!E14,'CF.2'!$M$112:$M$118)</f>
        <v>0</v>
      </c>
      <c r="R14" s="1529">
        <f>SUMIF('CF.2'!$H$123:$H$134,'CF.1'!E14,'CF.2'!$J$123:$J$134)+SUMIF('CF.2'!$K$123:$K$134,'CF.1'!E14,'CF.2'!$M$123:$M$134)</f>
        <v>0</v>
      </c>
      <c r="S14" s="1530">
        <f t="shared" si="5"/>
        <v>0</v>
      </c>
      <c r="T14" s="1086"/>
      <c r="U14" s="1537">
        <f t="shared" si="6"/>
        <v>1438114849</v>
      </c>
      <c r="W14" s="1359" t="b">
        <f>U14=T_IS!X39</f>
        <v>0</v>
      </c>
      <c r="X14" s="1086"/>
      <c r="Y14" s="1086"/>
      <c r="Z14" s="1086"/>
    </row>
    <row r="15" spans="3:26" ht="18" customHeight="1">
      <c r="C15" s="1359">
        <v>1</v>
      </c>
      <c r="D15" s="1533" t="s">
        <v>702</v>
      </c>
      <c r="E15" s="1271" t="s">
        <v>702</v>
      </c>
      <c r="F15" s="1534" t="s">
        <v>1416</v>
      </c>
      <c r="G15" s="1271" t="s">
        <v>302</v>
      </c>
      <c r="H15" s="1824">
        <v>11147782</v>
      </c>
      <c r="I15" s="1824">
        <v>0</v>
      </c>
      <c r="J15" s="1827">
        <v>0</v>
      </c>
      <c r="K15" s="1827">
        <v>0</v>
      </c>
      <c r="L15" s="1536">
        <f t="shared" si="4"/>
        <v>11147782</v>
      </c>
      <c r="M15" s="1086"/>
      <c r="N15" s="1531">
        <f>SUMIF('CF.2'!$H$5:$H$25,'CF.1'!E15,'CF.2'!$J$5:$J$25)-SUMIF('CF.2'!$K$5:$K$25,'CF.1'!E15,'CF.2'!$M$5:$M$25)</f>
        <v>0</v>
      </c>
      <c r="O15" s="1529">
        <f>SUMIF('CF.2'!$H$31:$H$60,'CF.1'!E15,'CF.2'!$J$31:$J$60)+SUMIF('CF.2'!$K$31:$K$60,'CF.1'!E15,'CF.2'!$M$31:$M$60)</f>
        <v>0</v>
      </c>
      <c r="P15" s="1529">
        <f>SUMIF('CF.2'!$H$65:$H$108,'CF.1'!E15,'CF.2'!$J$65:$J$108)+SUMIF('CF.2'!$K$65:$K$108,'CF.1'!E15,'CF.2'!$M$65:$M$108)</f>
        <v>0</v>
      </c>
      <c r="Q15" s="1529">
        <f>SUMIF('CF.2'!$H$112:$H$118,'CF.1'!E15,'CF.2'!$J$112:$J$118)+SUMIF('CF.2'!$K$112:$K$118,'CF.1'!E15,'CF.2'!$M$112:$M$118)</f>
        <v>0</v>
      </c>
      <c r="R15" s="1529">
        <f>SUMIF('CF.2'!$H$123:$H$134,'CF.1'!E15,'CF.2'!$J$123:$J$134)+SUMIF('CF.2'!$K$123:$K$134,'CF.1'!E15,'CF.2'!$M$123:$M$134)</f>
        <v>0</v>
      </c>
      <c r="S15" s="1530">
        <f t="shared" si="5"/>
        <v>0</v>
      </c>
      <c r="T15" s="1086"/>
      <c r="U15" s="1537">
        <f t="shared" si="6"/>
        <v>11147782</v>
      </c>
      <c r="W15" s="1359" t="b">
        <f>U15=T_IS!X69</f>
        <v>0</v>
      </c>
    </row>
    <row r="16" spans="3:26" ht="18" customHeight="1">
      <c r="C16" s="1359">
        <v>1</v>
      </c>
      <c r="D16" s="1533" t="s">
        <v>703</v>
      </c>
      <c r="E16" s="1271" t="s">
        <v>703</v>
      </c>
      <c r="F16" s="1534" t="s">
        <v>683</v>
      </c>
      <c r="G16" s="1271" t="s">
        <v>683</v>
      </c>
      <c r="H16" s="1824">
        <v>103356804</v>
      </c>
      <c r="I16" s="1824">
        <v>0</v>
      </c>
      <c r="J16" s="1827">
        <v>0</v>
      </c>
      <c r="K16" s="1827">
        <v>0</v>
      </c>
      <c r="L16" s="1536">
        <f t="shared" si="4"/>
        <v>103356804</v>
      </c>
      <c r="M16" s="1086"/>
      <c r="N16" s="1531">
        <f>SUMIF('CF.2'!$H$5:$H$25,'CF.1'!E16,'CF.2'!$J$5:$J$25)-SUMIF('CF.2'!$K$5:$K$25,'CF.1'!E16,'CF.2'!$M$5:$M$25)</f>
        <v>0</v>
      </c>
      <c r="O16" s="1529">
        <f>SUMIF('CF.2'!$H$31:$H$60,'CF.1'!E16,'CF.2'!$J$31:$J$60)+SUMIF('CF.2'!$K$31:$K$60,'CF.1'!E16,'CF.2'!$M$31:$M$60)</f>
        <v>0</v>
      </c>
      <c r="P16" s="1529">
        <f>SUMIF('CF.2'!$H$65:$H$108,'CF.1'!E16,'CF.2'!$J$65:$J$108)+SUMIF('CF.2'!$K$65:$K$108,'CF.1'!E16,'CF.2'!$M$65:$M$108)</f>
        <v>0</v>
      </c>
      <c r="Q16" s="1529">
        <f>SUMIF('CF.2'!$H$112:$H$118,'CF.1'!E16,'CF.2'!$J$112:$J$118)+SUMIF('CF.2'!$K$112:$K$118,'CF.1'!E16,'CF.2'!$M$112:$M$118)</f>
        <v>0</v>
      </c>
      <c r="R16" s="1529">
        <f>SUMIF('CF.2'!$H$123:$H$134,'CF.1'!E16,'CF.2'!$J$123:$J$134)+SUMIF('CF.2'!$K$123:$K$134,'CF.1'!E16,'CF.2'!$M$123:$M$134)</f>
        <v>0</v>
      </c>
      <c r="S16" s="1530">
        <f t="shared" si="5"/>
        <v>0</v>
      </c>
      <c r="T16" s="1086"/>
      <c r="U16" s="1537">
        <f t="shared" si="6"/>
        <v>103356804</v>
      </c>
      <c r="W16" s="1359" t="b">
        <f>T_IS!X95+T_IS!X96=U16</f>
        <v>0</v>
      </c>
    </row>
    <row r="17" spans="3:23" ht="18" customHeight="1">
      <c r="C17" s="1359">
        <v>1</v>
      </c>
      <c r="D17" s="1527" t="s">
        <v>704</v>
      </c>
      <c r="E17" s="1501" t="s">
        <v>704</v>
      </c>
      <c r="F17" s="1528" t="s">
        <v>2562</v>
      </c>
      <c r="G17" s="1501" t="s">
        <v>705</v>
      </c>
      <c r="H17" s="1825">
        <v>0</v>
      </c>
      <c r="I17" s="1826">
        <v>0</v>
      </c>
      <c r="J17" s="1826">
        <v>0</v>
      </c>
      <c r="K17" s="1826">
        <v>0</v>
      </c>
      <c r="L17" s="1530">
        <f t="shared" si="4"/>
        <v>0</v>
      </c>
      <c r="N17" s="1531">
        <f>SUMIF('CF.2'!$H$5:$H$25,'CF.1'!E17,'CF.2'!$J$5:$J$25)-SUMIF('CF.2'!$K$5:$K$25,'CF.1'!E17,'CF.2'!$M$5:$M$25)</f>
        <v>0</v>
      </c>
      <c r="O17" s="1529">
        <f>SUMIF('CF.2'!$H$31:$H$60,'CF.1'!E17,'CF.2'!$J$31:$J$60)+SUMIF('CF.2'!$K$31:$K$60,'CF.1'!E17,'CF.2'!$M$31:$M$60)</f>
        <v>0</v>
      </c>
      <c r="P17" s="1529">
        <f>SUMIF('CF.2'!$H$65:$H$108,'CF.1'!E17,'CF.2'!$J$65:$J$108)+SUMIF('CF.2'!$K$65:$K$108,'CF.1'!E17,'CF.2'!$M$65:$M$108)</f>
        <v>0</v>
      </c>
      <c r="Q17" s="1529">
        <f>SUMIF('CF.2'!$H$112:$H$118,'CF.1'!E17,'CF.2'!$J$112:$J$118)+SUMIF('CF.2'!$K$112:$K$118,'CF.1'!E17,'CF.2'!$M$112:$M$118)</f>
        <v>0</v>
      </c>
      <c r="R17" s="1529">
        <f>SUMIF('CF.2'!$H$123:$H$134,'CF.1'!E17,'CF.2'!$J$123:$J$134)+SUMIF('CF.2'!$K$123:$K$134,'CF.1'!E17,'CF.2'!$M$123:$M$134)</f>
        <v>0</v>
      </c>
      <c r="S17" s="1530">
        <f t="shared" si="5"/>
        <v>0</v>
      </c>
      <c r="U17" s="1532">
        <f t="shared" si="6"/>
        <v>0</v>
      </c>
    </row>
    <row r="18" spans="3:23" ht="18" customHeight="1">
      <c r="C18" s="1359">
        <v>1</v>
      </c>
      <c r="D18" s="1533" t="s">
        <v>788</v>
      </c>
      <c r="E18" s="1271" t="s">
        <v>2557</v>
      </c>
      <c r="F18" s="1534" t="s">
        <v>1420</v>
      </c>
      <c r="G18" s="1539" t="s">
        <v>789</v>
      </c>
      <c r="H18" s="1824">
        <v>2394018200</v>
      </c>
      <c r="I18" s="1824">
        <v>0</v>
      </c>
      <c r="J18" s="1827">
        <v>0</v>
      </c>
      <c r="K18" s="1827">
        <v>0</v>
      </c>
      <c r="L18" s="1536">
        <f t="shared" si="4"/>
        <v>2394018200</v>
      </c>
      <c r="M18" s="1086"/>
      <c r="N18" s="1531">
        <f>SUMIF('CF.2'!$H$5:$H$25,'CF.1'!E18,'CF.2'!$J$5:$J$25)-SUMIF('CF.2'!$K$5:$K$25,'CF.1'!E18,'CF.2'!$M$5:$M$25)</f>
        <v>0</v>
      </c>
      <c r="O18" s="1529">
        <f>SUMIF('CF.2'!$H$31:$H$60,'CF.1'!E18,'CF.2'!$J$31:$J$60)+SUMIF('CF.2'!$K$31:$K$60,'CF.1'!E18,'CF.2'!$M$31:$M$60)</f>
        <v>0</v>
      </c>
      <c r="P18" s="1529">
        <f>SUMIF('CF.2'!$H$65:$H$108,'CF.1'!E18,'CF.2'!$J$65:$J$108)+SUMIF('CF.2'!$K$65:$K$108,'CF.1'!E18,'CF.2'!$M$65:$M$108)</f>
        <v>0</v>
      </c>
      <c r="Q18" s="1529">
        <f>SUMIF('CF.2'!$H$112:$H$118,'CF.1'!E18,'CF.2'!$J$112:$J$118)+SUMIF('CF.2'!$K$112:$K$118,'CF.1'!E18,'CF.2'!$M$112:$M$118)</f>
        <v>0</v>
      </c>
      <c r="R18" s="1529">
        <f>SUMIF('CF.2'!$H$123:$H$134,'CF.1'!E18,'CF.2'!$J$123:$J$134)+SUMIF('CF.2'!$K$123:$K$134,'CF.1'!E18,'CF.2'!$M$123:$M$134)</f>
        <v>0</v>
      </c>
      <c r="S18" s="1530">
        <f t="shared" si="5"/>
        <v>0</v>
      </c>
      <c r="T18" s="1086"/>
      <c r="U18" s="1537">
        <f t="shared" si="6"/>
        <v>2394018200</v>
      </c>
      <c r="W18" s="1359" t="b">
        <f>U18=T_IS!X97</f>
        <v>0</v>
      </c>
    </row>
    <row r="19" spans="3:23" ht="18" customHeight="1">
      <c r="C19" s="1359">
        <v>1</v>
      </c>
      <c r="D19" s="1527" t="s">
        <v>708</v>
      </c>
      <c r="E19" s="1501" t="s">
        <v>708</v>
      </c>
      <c r="F19" s="1528" t="s">
        <v>611</v>
      </c>
      <c r="G19" s="1501" t="s">
        <v>709</v>
      </c>
      <c r="H19" s="1825">
        <v>0</v>
      </c>
      <c r="I19" s="1826">
        <v>0</v>
      </c>
      <c r="J19" s="1826">
        <v>0</v>
      </c>
      <c r="K19" s="1826">
        <v>0</v>
      </c>
      <c r="L19" s="1530">
        <f t="shared" si="4"/>
        <v>0</v>
      </c>
      <c r="N19" s="1531">
        <f>SUMIF('CF.2'!$H$5:$H$25,'CF.1'!E19,'CF.2'!$J$5:$J$25)-SUMIF('CF.2'!$K$5:$K$25,'CF.1'!E19,'CF.2'!$M$5:$M$25)</f>
        <v>0</v>
      </c>
      <c r="O19" s="1529">
        <f>SUMIF('CF.2'!$H$31:$H$60,'CF.1'!E19,'CF.2'!$J$31:$J$60)+SUMIF('CF.2'!$K$31:$K$60,'CF.1'!E19,'CF.2'!$M$31:$M$60)</f>
        <v>0</v>
      </c>
      <c r="P19" s="1529">
        <f>SUMIF('CF.2'!$H$65:$H$108,'CF.1'!E19,'CF.2'!$J$65:$J$108)+SUMIF('CF.2'!$K$65:$K$108,'CF.1'!E19,'CF.2'!$M$65:$M$108)</f>
        <v>0</v>
      </c>
      <c r="Q19" s="1529">
        <f>SUMIF('CF.2'!$H$112:$H$118,'CF.1'!E19,'CF.2'!$J$112:$J$118)+SUMIF('CF.2'!$K$112:$K$118,'CF.1'!E19,'CF.2'!$M$112:$M$118)</f>
        <v>0</v>
      </c>
      <c r="R19" s="1529">
        <f>SUMIF('CF.2'!$H$123:$H$134,'CF.1'!E19,'CF.2'!$J$123:$J$134)+SUMIF('CF.2'!$K$123:$K$134,'CF.1'!E19,'CF.2'!$M$123:$M$134)</f>
        <v>0</v>
      </c>
      <c r="S19" s="1530">
        <f t="shared" si="5"/>
        <v>0</v>
      </c>
      <c r="U19" s="1532">
        <f t="shared" si="6"/>
        <v>0</v>
      </c>
    </row>
    <row r="20" spans="3:23" ht="18" customHeight="1">
      <c r="C20" s="1359">
        <v>1</v>
      </c>
      <c r="D20" s="1527" t="s">
        <v>710</v>
      </c>
      <c r="E20" s="1501" t="s">
        <v>710</v>
      </c>
      <c r="F20" s="1528" t="s">
        <v>611</v>
      </c>
      <c r="G20" s="1501" t="s">
        <v>711</v>
      </c>
      <c r="H20" s="1825">
        <v>0</v>
      </c>
      <c r="I20" s="1826">
        <v>0</v>
      </c>
      <c r="J20" s="1826">
        <v>0</v>
      </c>
      <c r="K20" s="1826">
        <v>0</v>
      </c>
      <c r="L20" s="1530">
        <f t="shared" si="4"/>
        <v>0</v>
      </c>
      <c r="N20" s="1531">
        <f>SUMIF('CF.2'!$H$5:$H$25,'CF.1'!E20,'CF.2'!$J$5:$J$25)-SUMIF('CF.2'!$K$5:$K$25,'CF.1'!E20,'CF.2'!$M$5:$M$25)</f>
        <v>0</v>
      </c>
      <c r="O20" s="1529">
        <f>SUMIF('CF.2'!$H$31:$H$60,'CF.1'!E20,'CF.2'!$J$31:$J$60)+SUMIF('CF.2'!$K$31:$K$60,'CF.1'!E20,'CF.2'!$M$31:$M$60)</f>
        <v>0</v>
      </c>
      <c r="P20" s="1529">
        <f>SUMIF('CF.2'!$H$65:$H$108,'CF.1'!E20,'CF.2'!$J$65:$J$108)+SUMIF('CF.2'!$K$65:$K$108,'CF.1'!E20,'CF.2'!$M$65:$M$108)</f>
        <v>0</v>
      </c>
      <c r="Q20" s="1529">
        <f>SUMIF('CF.2'!$H$112:$H$118,'CF.1'!E20,'CF.2'!$J$112:$J$118)+SUMIF('CF.2'!$K$112:$K$118,'CF.1'!E20,'CF.2'!$M$112:$M$118)</f>
        <v>0</v>
      </c>
      <c r="R20" s="1529">
        <f>SUMIF('CF.2'!$H$123:$H$134,'CF.1'!E20,'CF.2'!$J$123:$J$134)+SUMIF('CF.2'!$K$123:$K$134,'CF.1'!E20,'CF.2'!$M$123:$M$134)</f>
        <v>0</v>
      </c>
      <c r="S20" s="1530">
        <f t="shared" si="5"/>
        <v>0</v>
      </c>
      <c r="U20" s="1532">
        <f t="shared" si="6"/>
        <v>0</v>
      </c>
    </row>
    <row r="21" spans="3:23" ht="18" customHeight="1">
      <c r="C21" s="1359">
        <v>1</v>
      </c>
      <c r="D21" s="1527" t="s">
        <v>712</v>
      </c>
      <c r="E21" s="1501" t="s">
        <v>712</v>
      </c>
      <c r="F21" s="1528" t="s">
        <v>1731</v>
      </c>
      <c r="G21" s="1501" t="s">
        <v>713</v>
      </c>
      <c r="H21" s="1825">
        <v>0</v>
      </c>
      <c r="I21" s="1826">
        <v>0</v>
      </c>
      <c r="J21" s="1826">
        <v>0</v>
      </c>
      <c r="K21" s="1826">
        <v>0</v>
      </c>
      <c r="L21" s="1530">
        <f t="shared" si="4"/>
        <v>0</v>
      </c>
      <c r="N21" s="1531">
        <f>SUMIF('CF.2'!$H$5:$H$25,'CF.1'!E21,'CF.2'!$J$5:$J$25)-SUMIF('CF.2'!$K$5:$K$25,'CF.1'!E21,'CF.2'!$M$5:$M$25)</f>
        <v>0</v>
      </c>
      <c r="O21" s="1529">
        <v>0</v>
      </c>
      <c r="P21" s="1529">
        <f>SUMIF('CF.2'!$H$65:$H$108,'CF.1'!E21,'CF.2'!$J$65:$J$108)+SUMIF('CF.2'!$K$65:$K$108,'CF.1'!E21,'CF.2'!$M$65:$M$108)</f>
        <v>0</v>
      </c>
      <c r="Q21" s="1529">
        <f>SUMIF('CF.2'!$H$112:$H$118,'CF.1'!E21,'CF.2'!$J$112:$J$118)+SUMIF('CF.2'!$K$112:$K$118,'CF.1'!E21,'CF.2'!$M$112:$M$118)</f>
        <v>0</v>
      </c>
      <c r="R21" s="1529">
        <f>SUMIF('CF.2'!$H$123:$H$134,'CF.1'!E21,'CF.2'!$J$123:$J$134)+SUMIF('CF.2'!$K$123:$K$134,'CF.1'!E21,'CF.2'!$M$123:$M$134)</f>
        <v>0</v>
      </c>
      <c r="S21" s="1530">
        <f t="shared" si="5"/>
        <v>0</v>
      </c>
      <c r="U21" s="1532">
        <f t="shared" si="6"/>
        <v>0</v>
      </c>
    </row>
    <row r="22" spans="3:23" ht="18" customHeight="1">
      <c r="C22" s="1359">
        <v>1</v>
      </c>
      <c r="D22" s="1527" t="s">
        <v>714</v>
      </c>
      <c r="E22" s="1501" t="s">
        <v>714</v>
      </c>
      <c r="F22" s="1528" t="s">
        <v>715</v>
      </c>
      <c r="G22" s="1501" t="s">
        <v>715</v>
      </c>
      <c r="H22" s="1825">
        <v>0</v>
      </c>
      <c r="I22" s="1826">
        <v>0</v>
      </c>
      <c r="J22" s="1826">
        <v>0</v>
      </c>
      <c r="K22" s="1826">
        <v>0</v>
      </c>
      <c r="L22" s="1530">
        <f t="shared" si="4"/>
        <v>0</v>
      </c>
      <c r="N22" s="1531">
        <f>SUMIF('CF.2'!$H$5:$H$25,'CF.1'!E22,'CF.2'!$J$5:$J$25)-SUMIF('CF.2'!$K$5:$K$25,'CF.1'!E22,'CF.2'!$M$5:$M$25)</f>
        <v>0</v>
      </c>
      <c r="O22" s="1529">
        <f>SUMIF('CF.2'!$H$31:$H$60,'CF.1'!E22,'CF.2'!$J$31:$J$60)+SUMIF('CF.2'!$K$31:$K$60,'CF.1'!E22,'CF.2'!$M$31:$M$60)</f>
        <v>0</v>
      </c>
      <c r="P22" s="1529">
        <f>SUMIF('CF.2'!$H$65:$H$108,'CF.1'!E22,'CF.2'!$J$65:$J$108)+SUMIF('CF.2'!$K$65:$K$108,'CF.1'!E22,'CF.2'!$M$65:$M$108)</f>
        <v>0</v>
      </c>
      <c r="Q22" s="1529">
        <f>SUMIF('CF.2'!$H$112:$H$118,'CF.1'!E22,'CF.2'!$J$112:$J$118)+SUMIF('CF.2'!$K$112:$K$118,'CF.1'!E22,'CF.2'!$M$112:$M$118)</f>
        <v>0</v>
      </c>
      <c r="R22" s="1529">
        <f>SUMIF('CF.2'!$H$123:$H$134,'CF.1'!E22,'CF.2'!$J$123:$J$134)+SUMIF('CF.2'!$K$123:$K$134,'CF.1'!E22,'CF.2'!$M$123:$M$134)</f>
        <v>201029108</v>
      </c>
      <c r="S22" s="1530">
        <f t="shared" si="5"/>
        <v>201029108</v>
      </c>
      <c r="U22" s="1532">
        <f t="shared" si="6"/>
        <v>201029108</v>
      </c>
      <c r="W22" s="1359" t="b">
        <f>U22=-T_IS!X118</f>
        <v>1</v>
      </c>
    </row>
    <row r="23" spans="3:23" ht="18" customHeight="1">
      <c r="C23" s="1359">
        <v>1</v>
      </c>
      <c r="D23" s="1527" t="s">
        <v>716</v>
      </c>
      <c r="E23" s="1501" t="s">
        <v>716</v>
      </c>
      <c r="F23" s="1528" t="s">
        <v>377</v>
      </c>
      <c r="G23" s="1501" t="s">
        <v>717</v>
      </c>
      <c r="H23" s="1825">
        <v>0</v>
      </c>
      <c r="I23" s="1825">
        <v>0</v>
      </c>
      <c r="J23" s="1826">
        <v>0</v>
      </c>
      <c r="K23" s="1826">
        <v>0</v>
      </c>
      <c r="L23" s="1530">
        <f t="shared" si="4"/>
        <v>0</v>
      </c>
      <c r="N23" s="1531">
        <f>SUMIF('CF.2'!$H$5:$H$25,'CF.1'!E23,'CF.2'!$J$5:$J$25)-SUMIF('CF.2'!$K$5:$K$25,'CF.1'!E23,'CF.2'!$M$5:$M$25)</f>
        <v>0</v>
      </c>
      <c r="O23" s="1529">
        <f>SUMIF('CF.2'!$H$31:$H$60,'CF.1'!E23,'CF.2'!$J$31:$J$60)+SUMIF('CF.2'!$K$31:$K$60,'CF.1'!E23,'CF.2'!$M$31:$M$60)</f>
        <v>0</v>
      </c>
      <c r="P23" s="1529">
        <f>SUMIF('CF.2'!$H$65:$H$108,'CF.1'!E23,'CF.2'!$J$65:$J$108)+SUMIF('CF.2'!$K$65:$K$108,'CF.1'!E23,'CF.2'!$M$65:$M$108)</f>
        <v>0</v>
      </c>
      <c r="Q23" s="1529">
        <f>SUMIF('CF.2'!$H$112:$H$118,'CF.1'!E23,'CF.2'!$J$112:$J$118)+SUMIF('CF.2'!$K$112:$K$118,'CF.1'!E23,'CF.2'!$M$112:$M$118)</f>
        <v>0</v>
      </c>
      <c r="R23" s="1529">
        <f>SUMIF('CF.2'!$H$123:$H$134,'CF.1'!E23,'CF.2'!$J$123:$J$134)+SUMIF('CF.2'!$K$123:$K$134,'CF.1'!E23,'CF.2'!$M$123:$M$134)</f>
        <v>0</v>
      </c>
      <c r="S23" s="1530">
        <f t="shared" si="5"/>
        <v>0</v>
      </c>
      <c r="U23" s="1532">
        <f t="shared" si="6"/>
        <v>0</v>
      </c>
    </row>
    <row r="24" spans="3:23" ht="18" customHeight="1">
      <c r="C24" s="1359">
        <v>1</v>
      </c>
      <c r="D24" s="1527" t="s">
        <v>718</v>
      </c>
      <c r="E24" s="1501" t="s">
        <v>718</v>
      </c>
      <c r="F24" s="1528" t="s">
        <v>611</v>
      </c>
      <c r="G24" s="1501" t="s">
        <v>719</v>
      </c>
      <c r="H24" s="1825">
        <v>0</v>
      </c>
      <c r="I24" s="1826">
        <v>0</v>
      </c>
      <c r="J24" s="1826">
        <v>0</v>
      </c>
      <c r="K24" s="1826">
        <v>0</v>
      </c>
      <c r="L24" s="1530">
        <f t="shared" si="4"/>
        <v>0</v>
      </c>
      <c r="N24" s="1531">
        <f>SUMIF('CF.2'!$H$5:$H$25,'CF.1'!E24,'CF.2'!$J$5:$J$25)-SUMIF('CF.2'!$K$5:$K$25,'CF.1'!E24,'CF.2'!$M$5:$M$25)</f>
        <v>0</v>
      </c>
      <c r="O24" s="1529">
        <f>SUMIF('CF.2'!$H$31:$H$60,'CF.1'!E24,'CF.2'!$J$31:$J$60)+SUMIF('CF.2'!$K$31:$K$60,'CF.1'!E24,'CF.2'!$M$31:$M$60)</f>
        <v>0</v>
      </c>
      <c r="P24" s="1529">
        <f>SUMIF('CF.2'!$H$65:$H$108,'CF.1'!E24,'CF.2'!$J$65:$J$108)+SUMIF('CF.2'!$K$65:$K$108,'CF.1'!E24,'CF.2'!$M$65:$M$108)</f>
        <v>0</v>
      </c>
      <c r="Q24" s="1529">
        <f>SUMIF('CF.2'!$H$112:$H$118,'CF.1'!E24,'CF.2'!$J$112:$J$118)+SUMIF('CF.2'!$K$112:$K$118,'CF.1'!E24,'CF.2'!$M$112:$M$118)</f>
        <v>0</v>
      </c>
      <c r="R24" s="1529">
        <f>SUMIF('CF.2'!$H$123:$H$134,'CF.1'!E24,'CF.2'!$J$123:$J$134)+SUMIF('CF.2'!$K$123:$K$134,'CF.1'!E24,'CF.2'!$M$123:$M$134)</f>
        <v>0</v>
      </c>
      <c r="S24" s="1530">
        <f t="shared" si="5"/>
        <v>0</v>
      </c>
      <c r="U24" s="1532">
        <f t="shared" si="6"/>
        <v>0</v>
      </c>
    </row>
    <row r="25" spans="3:23" ht="18" customHeight="1">
      <c r="C25" s="1359">
        <v>1</v>
      </c>
      <c r="D25" s="1527" t="s">
        <v>720</v>
      </c>
      <c r="E25" s="1501" t="s">
        <v>720</v>
      </c>
      <c r="F25" s="1528" t="s">
        <v>611</v>
      </c>
      <c r="G25" s="1501" t="s">
        <v>721</v>
      </c>
      <c r="H25" s="1825">
        <v>0</v>
      </c>
      <c r="I25" s="1826">
        <v>0</v>
      </c>
      <c r="J25" s="1826">
        <v>0</v>
      </c>
      <c r="K25" s="1826">
        <v>0</v>
      </c>
      <c r="L25" s="1530">
        <f t="shared" si="4"/>
        <v>0</v>
      </c>
      <c r="N25" s="1531">
        <f>SUMIF('CF.2'!$H$5:$H$25,'CF.1'!E25,'CF.2'!$J$5:$J$25)-SUMIF('CF.2'!$K$5:$K$25,'CF.1'!E25,'CF.2'!$M$5:$M$25)</f>
        <v>0</v>
      </c>
      <c r="O25" s="1529">
        <f>SUMIF('CF.2'!$H$31:$H$60,'CF.1'!E25,'CF.2'!$J$31:$J$60)+SUMIF('CF.2'!$K$31:$K$60,'CF.1'!E25,'CF.2'!$M$31:$M$60)</f>
        <v>0</v>
      </c>
      <c r="P25" s="1529">
        <f>SUMIF('CF.2'!$H$65:$H$108,'CF.1'!E25,'CF.2'!$J$65:$J$108)+SUMIF('CF.2'!$K$65:$K$108,'CF.1'!E25,'CF.2'!$M$65:$M$108)</f>
        <v>0</v>
      </c>
      <c r="Q25" s="1529">
        <f>SUMIF('CF.2'!$H$112:$H$118,'CF.1'!E25,'CF.2'!$J$112:$J$118)+SUMIF('CF.2'!$K$112:$K$118,'CF.1'!E25,'CF.2'!$M$112:$M$118)</f>
        <v>0</v>
      </c>
      <c r="R25" s="1529">
        <f>SUMIF('CF.2'!$H$123:$H$134,'CF.1'!E25,'CF.2'!$J$123:$J$134)+SUMIF('CF.2'!$K$123:$K$134,'CF.1'!E25,'CF.2'!$M$123:$M$134)</f>
        <v>0</v>
      </c>
      <c r="S25" s="1530">
        <f t="shared" si="5"/>
        <v>0</v>
      </c>
      <c r="U25" s="1532">
        <f t="shared" si="6"/>
        <v>0</v>
      </c>
    </row>
    <row r="26" spans="3:23" ht="18" customHeight="1">
      <c r="C26" s="1359">
        <v>1</v>
      </c>
      <c r="D26" s="1527" t="s">
        <v>722</v>
      </c>
      <c r="E26" s="1501" t="s">
        <v>722</v>
      </c>
      <c r="F26" s="1528" t="s">
        <v>611</v>
      </c>
      <c r="G26" s="1501" t="s">
        <v>723</v>
      </c>
      <c r="H26" s="1825">
        <v>0</v>
      </c>
      <c r="I26" s="1826">
        <v>0</v>
      </c>
      <c r="J26" s="1826">
        <v>0</v>
      </c>
      <c r="K26" s="1826">
        <v>0</v>
      </c>
      <c r="L26" s="1530">
        <f t="shared" si="4"/>
        <v>0</v>
      </c>
      <c r="N26" s="1531">
        <f>SUMIF('CF.2'!$H$5:$H$25,'CF.1'!E26,'CF.2'!$J$5:$J$25)-SUMIF('CF.2'!$K$5:$K$25,'CF.1'!E26,'CF.2'!$M$5:$M$25)</f>
        <v>0</v>
      </c>
      <c r="O26" s="1529">
        <f>SUMIF('CF.2'!$H$31:$H$60,'CF.1'!E26,'CF.2'!$J$31:$J$60)+SUMIF('CF.2'!$K$31:$K$60,'CF.1'!E26,'CF.2'!$M$31:$M$60)</f>
        <v>0</v>
      </c>
      <c r="P26" s="1529">
        <f>SUMIF('CF.2'!$H$65:$H$108,'CF.1'!E26,'CF.2'!$J$65:$J$108)+SUMIF('CF.2'!$K$65:$K$108,'CF.1'!E26,'CF.2'!$M$65:$M$108)</f>
        <v>0</v>
      </c>
      <c r="Q26" s="1529">
        <f>SUMIF('CF.2'!$H$112:$H$118,'CF.1'!E26,'CF.2'!$J$112:$J$118)+SUMIF('CF.2'!$K$112:$K$118,'CF.1'!E26,'CF.2'!$M$112:$M$118)</f>
        <v>0</v>
      </c>
      <c r="R26" s="1529">
        <f>SUMIF('CF.2'!$H$123:$H$134,'CF.1'!E26,'CF.2'!$J$123:$J$134)+SUMIF('CF.2'!$K$123:$K$134,'CF.1'!E26,'CF.2'!$M$123:$M$134)</f>
        <v>0</v>
      </c>
      <c r="S26" s="1530">
        <f t="shared" si="5"/>
        <v>0</v>
      </c>
      <c r="U26" s="1532">
        <f t="shared" si="6"/>
        <v>0</v>
      </c>
    </row>
    <row r="27" spans="3:23" ht="18" customHeight="1">
      <c r="C27" s="1359">
        <v>1</v>
      </c>
      <c r="D27" s="1527" t="s">
        <v>724</v>
      </c>
      <c r="E27" s="1501" t="s">
        <v>724</v>
      </c>
      <c r="F27" s="1528" t="s">
        <v>611</v>
      </c>
      <c r="G27" s="1501" t="s">
        <v>725</v>
      </c>
      <c r="H27" s="1825">
        <v>0</v>
      </c>
      <c r="I27" s="1826">
        <v>0</v>
      </c>
      <c r="J27" s="1826">
        <v>0</v>
      </c>
      <c r="K27" s="1826">
        <v>0</v>
      </c>
      <c r="L27" s="1530">
        <f t="shared" si="4"/>
        <v>0</v>
      </c>
      <c r="N27" s="1531">
        <f>SUMIF('CF.2'!$H$5:$H$25,'CF.1'!E27,'CF.2'!$J$5:$J$25)-SUMIF('CF.2'!$K$5:$K$25,'CF.1'!E27,'CF.2'!$M$5:$M$25)</f>
        <v>0</v>
      </c>
      <c r="O27" s="1529">
        <f>SUMIF('CF.2'!$H$31:$H$60,'CF.1'!E27,'CF.2'!$J$31:$J$60)+SUMIF('CF.2'!$K$31:$K$60,'CF.1'!E27,'CF.2'!$M$31:$M$60)</f>
        <v>0</v>
      </c>
      <c r="P27" s="1529">
        <f>SUMIF('CF.2'!$H$65:$H$108,'CF.1'!E27,'CF.2'!$J$65:$J$108)+SUMIF('CF.2'!$K$65:$K$108,'CF.1'!E27,'CF.2'!$M$65:$M$108)</f>
        <v>0</v>
      </c>
      <c r="Q27" s="1529">
        <f>SUMIF('CF.2'!$H$112:$H$118,'CF.1'!E27,'CF.2'!$J$112:$J$118)+SUMIF('CF.2'!$K$112:$K$118,'CF.1'!E27,'CF.2'!$M$112:$M$118)</f>
        <v>0</v>
      </c>
      <c r="R27" s="1529">
        <f>SUMIF('CF.2'!$H$123:$H$134,'CF.1'!E27,'CF.2'!$J$123:$J$134)+SUMIF('CF.2'!$K$123:$K$134,'CF.1'!E27,'CF.2'!$M$123:$M$134)</f>
        <v>0</v>
      </c>
      <c r="S27" s="1530">
        <f t="shared" si="5"/>
        <v>0</v>
      </c>
      <c r="U27" s="1532">
        <f t="shared" si="6"/>
        <v>0</v>
      </c>
    </row>
    <row r="28" spans="3:23" ht="18" customHeight="1">
      <c r="C28" s="1359">
        <v>1</v>
      </c>
      <c r="D28" s="1527" t="s">
        <v>726</v>
      </c>
      <c r="E28" s="1501" t="s">
        <v>726</v>
      </c>
      <c r="F28" s="1528" t="s">
        <v>611</v>
      </c>
      <c r="G28" s="1501" t="s">
        <v>727</v>
      </c>
      <c r="H28" s="1825">
        <v>0</v>
      </c>
      <c r="I28" s="1826">
        <v>0</v>
      </c>
      <c r="J28" s="1826">
        <v>0</v>
      </c>
      <c r="K28" s="1826">
        <v>0</v>
      </c>
      <c r="L28" s="1530">
        <f t="shared" si="4"/>
        <v>0</v>
      </c>
      <c r="N28" s="1531">
        <f>SUMIF('CF.2'!$H$5:$H$25,'CF.1'!E28,'CF.2'!$J$5:$J$25)-SUMIF('CF.2'!$K$5:$K$25,'CF.1'!E28,'CF.2'!$M$5:$M$25)</f>
        <v>0</v>
      </c>
      <c r="O28" s="1529">
        <f>SUMIF('CF.2'!$H$31:$H$60,'CF.1'!E28,'CF.2'!$J$31:$J$60)+SUMIF('CF.2'!$K$31:$K$60,'CF.1'!E28,'CF.2'!$M$31:$M$60)</f>
        <v>0</v>
      </c>
      <c r="P28" s="1529">
        <f>SUMIF('CF.2'!$H$65:$H$108,'CF.1'!E28,'CF.2'!$J$65:$J$108)+SUMIF('CF.2'!$K$65:$K$108,'CF.1'!E28,'CF.2'!$M$65:$M$108)</f>
        <v>0</v>
      </c>
      <c r="Q28" s="1529">
        <f>SUMIF('CF.2'!$H$112:$H$118,'CF.1'!E28,'CF.2'!$J$112:$J$118)+SUMIF('CF.2'!$K$112:$K$118,'CF.1'!E28,'CF.2'!$M$112:$M$118)</f>
        <v>0</v>
      </c>
      <c r="R28" s="1529">
        <f>SUMIF('CF.2'!$H$123:$H$134,'CF.1'!E28,'CF.2'!$J$123:$J$134)+SUMIF('CF.2'!$K$123:$K$134,'CF.1'!E28,'CF.2'!$M$123:$M$134)</f>
        <v>0</v>
      </c>
      <c r="S28" s="1530">
        <f t="shared" si="5"/>
        <v>0</v>
      </c>
      <c r="U28" s="1532">
        <f t="shared" si="6"/>
        <v>0</v>
      </c>
    </row>
    <row r="29" spans="3:23" ht="18" customHeight="1">
      <c r="C29" s="1359">
        <v>1</v>
      </c>
      <c r="D29" s="1527" t="s">
        <v>728</v>
      </c>
      <c r="E29" s="1501" t="s">
        <v>728</v>
      </c>
      <c r="F29" s="1528" t="s">
        <v>611</v>
      </c>
      <c r="G29" s="1501" t="s">
        <v>729</v>
      </c>
      <c r="H29" s="1825">
        <v>0</v>
      </c>
      <c r="I29" s="1826">
        <v>0</v>
      </c>
      <c r="J29" s="1826">
        <v>0</v>
      </c>
      <c r="K29" s="1826">
        <v>0</v>
      </c>
      <c r="L29" s="1530">
        <f t="shared" si="4"/>
        <v>0</v>
      </c>
      <c r="N29" s="1531">
        <f>SUMIF('CF.2'!$H$5:$H$25,'CF.1'!E29,'CF.2'!$J$5:$J$25)-SUMIF('CF.2'!$K$5:$K$25,'CF.1'!E29,'CF.2'!$M$5:$M$25)</f>
        <v>0</v>
      </c>
      <c r="O29" s="1529">
        <f>SUMIF('CF.2'!$H$31:$H$60,'CF.1'!E29,'CF.2'!$J$31:$J$60)+SUMIF('CF.2'!$K$31:$K$60,'CF.1'!E29,'CF.2'!$M$31:$M$60)</f>
        <v>0</v>
      </c>
      <c r="P29" s="1529">
        <f>SUMIF('CF.2'!$H$65:$H$108,'CF.1'!E29,'CF.2'!$J$65:$J$108)+SUMIF('CF.2'!$K$65:$K$108,'CF.1'!E29,'CF.2'!$M$65:$M$108)</f>
        <v>0</v>
      </c>
      <c r="Q29" s="1529">
        <f>SUMIF('CF.2'!$H$112:$H$118,'CF.1'!E29,'CF.2'!$J$112:$J$118)+SUMIF('CF.2'!$K$112:$K$118,'CF.1'!E29,'CF.2'!$M$112:$M$118)</f>
        <v>0</v>
      </c>
      <c r="R29" s="1529">
        <f>SUMIF('CF.2'!$H$123:$H$134,'CF.1'!E29,'CF.2'!$J$123:$J$134)+SUMIF('CF.2'!$K$123:$K$134,'CF.1'!E29,'CF.2'!$M$123:$M$134)</f>
        <v>0</v>
      </c>
      <c r="S29" s="1530">
        <f t="shared" si="5"/>
        <v>0</v>
      </c>
      <c r="U29" s="1532">
        <f t="shared" si="6"/>
        <v>0</v>
      </c>
    </row>
    <row r="30" spans="3:23" ht="18" customHeight="1">
      <c r="C30" s="1359">
        <v>1</v>
      </c>
      <c r="D30" s="1527" t="s">
        <v>730</v>
      </c>
      <c r="E30" s="1501" t="s">
        <v>730</v>
      </c>
      <c r="F30" s="1528" t="s">
        <v>687</v>
      </c>
      <c r="G30" s="1501" t="s">
        <v>687</v>
      </c>
      <c r="H30" s="1825">
        <v>0</v>
      </c>
      <c r="I30" s="1826">
        <v>0</v>
      </c>
      <c r="J30" s="1826">
        <v>0</v>
      </c>
      <c r="K30" s="1826">
        <v>0</v>
      </c>
      <c r="L30" s="1530">
        <f t="shared" si="4"/>
        <v>0</v>
      </c>
      <c r="N30" s="1531">
        <f>SUMIF('CF.2'!$H$5:$H$25,'CF.1'!E30,'CF.2'!$J$5:$J$25)-SUMIF('CF.2'!$K$5:$K$25,'CF.1'!E30,'CF.2'!$M$5:$M$25)</f>
        <v>0</v>
      </c>
      <c r="O30" s="1529">
        <f>SUMIF('CF.2'!$H$31:$H$60,'CF.1'!E30,'CF.2'!$J$31:$J$60)+SUMIF('CF.2'!$K$31:$K$60,'CF.1'!E30,'CF.2'!$M$31:$M$60)</f>
        <v>0</v>
      </c>
      <c r="P30" s="1529">
        <f>SUMIF('CF.2'!$H$65:$H$108,'CF.1'!E30,'CF.2'!$J$65:$J$108)+SUMIF('CF.2'!$K$65:$K$108,'CF.1'!E30,'CF.2'!$M$65:$M$108)</f>
        <v>0</v>
      </c>
      <c r="Q30" s="1529">
        <f>SUMIF('CF.2'!$H$112:$H$118,'CF.1'!E30,'CF.2'!$J$112:$J$118)+SUMIF('CF.2'!$K$112:$K$118,'CF.1'!E30,'CF.2'!$M$112:$M$118)</f>
        <v>0</v>
      </c>
      <c r="R30" s="1529">
        <f>SUMIF('CF.2'!$H$123:$H$134,'CF.1'!E30,'CF.2'!$J$123:$J$134)+SUMIF('CF.2'!$K$123:$K$134,'CF.1'!E30,'CF.2'!$M$123:$M$134)</f>
        <v>0</v>
      </c>
      <c r="S30" s="1530">
        <f t="shared" si="5"/>
        <v>0</v>
      </c>
      <c r="U30" s="1532">
        <f t="shared" si="6"/>
        <v>0</v>
      </c>
    </row>
    <row r="31" spans="3:23" ht="18" customHeight="1">
      <c r="C31" s="1359">
        <v>1</v>
      </c>
      <c r="D31" s="1527" t="s">
        <v>731</v>
      </c>
      <c r="E31" s="1501" t="s">
        <v>731</v>
      </c>
      <c r="F31" s="1528" t="s">
        <v>732</v>
      </c>
      <c r="G31" s="1501" t="s">
        <v>732</v>
      </c>
      <c r="H31" s="1825">
        <v>62881122</v>
      </c>
      <c r="I31" s="1826">
        <v>0</v>
      </c>
      <c r="J31" s="1826">
        <v>0</v>
      </c>
      <c r="K31" s="1826">
        <v>0</v>
      </c>
      <c r="L31" s="1530">
        <f t="shared" si="4"/>
        <v>62881122</v>
      </c>
      <c r="N31" s="1531">
        <f>SUMIF('CF.2'!$H$5:$H$25,'CF.1'!E31,'CF.2'!$J$5:$J$25)-SUMIF('CF.2'!$K$5:$K$25,'CF.1'!E31,'CF.2'!$M$5:$M$25)</f>
        <v>0</v>
      </c>
      <c r="O31" s="1529">
        <f>SUMIF('CF.2'!$H$31:$H$60,'CF.1'!E31,'CF.2'!$J$31:$J$60)+SUMIF('CF.2'!$K$31:$K$60,'CF.1'!E31,'CF.2'!$M$31:$M$60)</f>
        <v>0</v>
      </c>
      <c r="P31" s="1529">
        <f>SUMIF('CF.2'!$H$65:$H$108,'CF.1'!E31,'CF.2'!$J$65:$J$108)+SUMIF('CF.2'!$K$65:$K$108,'CF.1'!E31,'CF.2'!$M$65:$M$108)</f>
        <v>0</v>
      </c>
      <c r="Q31" s="1529">
        <f>SUMIF('CF.2'!$H$112:$H$118,'CF.1'!E31,'CF.2'!$J$112:$J$118)+SUMIF('CF.2'!$K$112:$K$118,'CF.1'!E31,'CF.2'!$M$112:$M$118)</f>
        <v>0</v>
      </c>
      <c r="R31" s="1529">
        <f>SUMIF('CF.2'!$H$123:$H$134,'CF.1'!E31,'CF.2'!$J$123:$J$134)+SUMIF('CF.2'!$K$123:$K$134,'CF.1'!E31,'CF.2'!$M$123:$M$134)</f>
        <v>0</v>
      </c>
      <c r="S31" s="1530">
        <f t="shared" si="5"/>
        <v>0</v>
      </c>
      <c r="U31" s="1532">
        <f t="shared" si="6"/>
        <v>62881122</v>
      </c>
    </row>
    <row r="32" spans="3:23" ht="18" customHeight="1">
      <c r="C32" s="1359">
        <v>1</v>
      </c>
      <c r="D32" s="1527" t="s">
        <v>733</v>
      </c>
      <c r="E32" s="1501" t="s">
        <v>733</v>
      </c>
      <c r="F32" s="1528" t="s">
        <v>734</v>
      </c>
      <c r="G32" s="1501" t="s">
        <v>734</v>
      </c>
      <c r="H32" s="1825">
        <v>0</v>
      </c>
      <c r="I32" s="1826">
        <v>0</v>
      </c>
      <c r="J32" s="1826">
        <v>0</v>
      </c>
      <c r="K32" s="1826">
        <v>0</v>
      </c>
      <c r="L32" s="1530">
        <f t="shared" si="4"/>
        <v>0</v>
      </c>
      <c r="N32" s="1531">
        <f>SUMIF('CF.2'!$H$5:$H$25,'CF.1'!E32,'CF.2'!$J$5:$J$25)-SUMIF('CF.2'!$K$5:$K$25,'CF.1'!E32,'CF.2'!$M$5:$M$25)</f>
        <v>0</v>
      </c>
      <c r="O32" s="1529">
        <f>SUMIF('CF.2'!$H$31:$H$60,'CF.1'!E32,'CF.2'!$J$31:$J$60)+SUMIF('CF.2'!$K$31:$K$60,'CF.1'!E32,'CF.2'!$M$31:$M$60)</f>
        <v>0</v>
      </c>
      <c r="P32" s="1529">
        <f>SUMIF('CF.2'!$H$65:$H$108,'CF.1'!E32,'CF.2'!$J$65:$J$108)+SUMIF('CF.2'!$K$65:$K$108,'CF.1'!E32,'CF.2'!$M$65:$M$108)</f>
        <v>0</v>
      </c>
      <c r="Q32" s="1529">
        <f>SUMIF('CF.2'!$H$112:$H$118,'CF.1'!E32,'CF.2'!$J$112:$J$118)+SUMIF('CF.2'!$K$112:$K$118,'CF.1'!E32,'CF.2'!$M$112:$M$118)</f>
        <v>0</v>
      </c>
      <c r="R32" s="1529">
        <f>SUMIF('CF.2'!$H$123:$H$134,'CF.1'!E32,'CF.2'!$J$123:$J$134)+SUMIF('CF.2'!$K$123:$K$134,'CF.1'!E32,'CF.2'!$M$123:$M$134)</f>
        <v>216671</v>
      </c>
      <c r="S32" s="1530">
        <f t="shared" si="5"/>
        <v>216671</v>
      </c>
      <c r="U32" s="1532">
        <f t="shared" si="6"/>
        <v>216671</v>
      </c>
      <c r="W32" s="509" t="b">
        <f>T_IS!X110='CF.1'!U32</f>
        <v>0</v>
      </c>
    </row>
    <row r="33" spans="3:23" ht="18" customHeight="1">
      <c r="C33" s="1359">
        <v>1</v>
      </c>
      <c r="D33" s="1527" t="s">
        <v>735</v>
      </c>
      <c r="E33" s="1501" t="s">
        <v>735</v>
      </c>
      <c r="F33" s="1528" t="s">
        <v>481</v>
      </c>
      <c r="G33" s="1501" t="s">
        <v>481</v>
      </c>
      <c r="H33" s="1825">
        <v>0</v>
      </c>
      <c r="I33" s="1826">
        <v>0</v>
      </c>
      <c r="J33" s="1826">
        <v>0</v>
      </c>
      <c r="K33" s="1826">
        <v>0</v>
      </c>
      <c r="L33" s="1530">
        <f t="shared" si="4"/>
        <v>0</v>
      </c>
      <c r="N33" s="1531">
        <f>SUMIF('CF.2'!$H$5:$H$25,'CF.1'!E33,'CF.2'!$J$5:$J$25)-SUMIF('CF.2'!$K$5:$K$25,'CF.1'!E33,'CF.2'!$M$5:$M$25)</f>
        <v>0</v>
      </c>
      <c r="O33" s="1529">
        <f>SUMIF('CF.2'!$H$31:$H$60,'CF.1'!E33,'CF.2'!$J$31:$J$60)+SUMIF('CF.2'!$K$31:$K$60,'CF.1'!E33,'CF.2'!$M$31:$M$60)</f>
        <v>0</v>
      </c>
      <c r="P33" s="1529">
        <f>SUMIF('CF.2'!$H$65:$H$108,'CF.1'!E33,'CF.2'!$J$65:$J$108)+SUMIF('CF.2'!$K$65:$K$108,'CF.1'!E33,'CF.2'!$M$65:$M$108)</f>
        <v>0</v>
      </c>
      <c r="Q33" s="1529">
        <f>SUMIF('CF.2'!$H$112:$H$118,'CF.1'!E33,'CF.2'!$J$112:$J$118)+SUMIF('CF.2'!$K$112:$K$118,'CF.1'!E33,'CF.2'!$M$112:$M$118)</f>
        <v>0</v>
      </c>
      <c r="R33" s="1529">
        <f>SUMIF('CF.2'!$H$123:$H$134,'CF.1'!E33,'CF.2'!$J$123:$J$134)+SUMIF('CF.2'!$K$123:$K$134,'CF.1'!E33,'CF.2'!$M$123:$M$134)</f>
        <v>0</v>
      </c>
      <c r="S33" s="1530">
        <f t="shared" si="5"/>
        <v>0</v>
      </c>
      <c r="U33" s="1532">
        <f t="shared" si="6"/>
        <v>0</v>
      </c>
    </row>
    <row r="34" spans="3:23" ht="18" customHeight="1">
      <c r="C34" s="1359">
        <v>1</v>
      </c>
      <c r="D34" s="1527" t="s">
        <v>736</v>
      </c>
      <c r="E34" s="1501" t="s">
        <v>736</v>
      </c>
      <c r="F34" s="1528" t="s">
        <v>686</v>
      </c>
      <c r="G34" s="1501" t="s">
        <v>686</v>
      </c>
      <c r="H34" s="1825">
        <v>242686686</v>
      </c>
      <c r="I34" s="1826">
        <v>0</v>
      </c>
      <c r="J34" s="1826">
        <v>0</v>
      </c>
      <c r="K34" s="1826">
        <v>0</v>
      </c>
      <c r="L34" s="1530">
        <f t="shared" si="4"/>
        <v>242686686</v>
      </c>
      <c r="N34" s="1531">
        <f>SUMIF('CF.2'!$H$5:$H$25,'CF.1'!E34,'CF.2'!$J$5:$J$25)-SUMIF('CF.2'!$K$5:$K$25,'CF.1'!E34,'CF.2'!$M$5:$M$25)</f>
        <v>0</v>
      </c>
      <c r="O34" s="1529">
        <f>SUMIF('CF.2'!$H$31:$H$60,'CF.1'!E34,'CF.2'!$J$31:$J$60)+SUMIF('CF.2'!$K$31:$K$60,'CF.1'!E34,'CF.2'!$M$31:$M$60)</f>
        <v>0</v>
      </c>
      <c r="P34" s="1529">
        <f>SUMIF('CF.2'!$H$65:$H$108,'CF.1'!E34,'CF.2'!$J$65:$J$108)+SUMIF('CF.2'!$K$65:$K$108,'CF.1'!E34,'CF.2'!$M$65:$M$108)</f>
        <v>0</v>
      </c>
      <c r="Q34" s="1529">
        <f>SUMIF('CF.2'!$H$112:$H$118,'CF.1'!E34,'CF.2'!$J$112:$J$118)+SUMIF('CF.2'!$K$112:$K$118,'CF.1'!E34,'CF.2'!$M$112:$M$118)</f>
        <v>0</v>
      </c>
      <c r="R34" s="1529">
        <f>SUMIF('CF.2'!$H$123:$H$134,'CF.1'!E34,'CF.2'!$J$123:$J$134)+SUMIF('CF.2'!$K$123:$K$134,'CF.1'!E34,'CF.2'!$M$123:$M$134)</f>
        <v>0</v>
      </c>
      <c r="S34" s="1530">
        <f t="shared" si="5"/>
        <v>0</v>
      </c>
      <c r="U34" s="1532">
        <f t="shared" si="6"/>
        <v>242686686</v>
      </c>
      <c r="W34" s="1359" t="b">
        <f>U34=T_IS!X108</f>
        <v>0</v>
      </c>
    </row>
    <row r="35" spans="3:23" ht="18" customHeight="1">
      <c r="C35" s="1359">
        <v>1</v>
      </c>
      <c r="D35" s="1527" t="s">
        <v>737</v>
      </c>
      <c r="E35" s="1501" t="s">
        <v>737</v>
      </c>
      <c r="F35" s="1528" t="s">
        <v>2054</v>
      </c>
      <c r="G35" s="1501" t="s">
        <v>738</v>
      </c>
      <c r="H35" s="1825">
        <v>150801848</v>
      </c>
      <c r="I35" s="1826">
        <v>0</v>
      </c>
      <c r="J35" s="1826">
        <v>0</v>
      </c>
      <c r="K35" s="1826">
        <v>0</v>
      </c>
      <c r="L35" s="1530">
        <f t="shared" si="4"/>
        <v>150801848</v>
      </c>
      <c r="N35" s="1531">
        <f>SUMIF('CF.2'!$H$5:$H$25,'CF.1'!E35,'CF.2'!$J$5:$J$25)-SUMIF('CF.2'!$K$5:$K$25,'CF.1'!E35,'CF.2'!$M$5:$M$25)</f>
        <v>0</v>
      </c>
      <c r="O35" s="1529">
        <f>SUMIF('CF.2'!$H$31:$H$60,'CF.1'!E35,'CF.2'!$J$31:$J$60)+SUMIF('CF.2'!$K$31:$K$60,'CF.1'!E35,'CF.2'!$M$31:$M$60)</f>
        <v>0</v>
      </c>
      <c r="P35" s="1529">
        <f>SUMIF('CF.2'!$H$65:$H$108,'CF.1'!E35,'CF.2'!$J$65:$J$108)+SUMIF('CF.2'!$K$65:$K$108,'CF.1'!E35,'CF.2'!$M$65:$M$108)</f>
        <v>0</v>
      </c>
      <c r="Q35" s="1529">
        <f>SUMIF('CF.2'!$H$112:$H$118,'CF.1'!E35,'CF.2'!$J$112:$J$118)+SUMIF('CF.2'!$K$112:$K$118,'CF.1'!E35,'CF.2'!$M$112:$M$118)</f>
        <v>0</v>
      </c>
      <c r="R35" s="1529">
        <f>SUMIF('CF.2'!$H$123:$H$134,'CF.1'!E35,'CF.2'!$J$123:$J$134)+SUMIF('CF.2'!$K$123:$K$134,'CF.1'!E35,'CF.2'!$M$123:$M$134)</f>
        <v>0</v>
      </c>
      <c r="S35" s="1530">
        <f t="shared" si="5"/>
        <v>0</v>
      </c>
      <c r="U35" s="1532">
        <f t="shared" si="6"/>
        <v>150801848</v>
      </c>
    </row>
    <row r="36" spans="3:23" ht="18" customHeight="1">
      <c r="C36" s="1359">
        <v>1</v>
      </c>
      <c r="D36" s="1527" t="s">
        <v>739</v>
      </c>
      <c r="E36" s="1501" t="s">
        <v>739</v>
      </c>
      <c r="F36" s="1528" t="s">
        <v>611</v>
      </c>
      <c r="G36" s="1501" t="s">
        <v>740</v>
      </c>
      <c r="H36" s="1825">
        <v>0</v>
      </c>
      <c r="I36" s="1826">
        <v>0</v>
      </c>
      <c r="J36" s="1826">
        <v>0</v>
      </c>
      <c r="K36" s="1826">
        <v>0</v>
      </c>
      <c r="L36" s="1530">
        <f t="shared" si="4"/>
        <v>0</v>
      </c>
      <c r="N36" s="1531">
        <f>SUMIF('CF.2'!$H$5:$H$25,'CF.1'!E36,'CF.2'!$J$5:$J$25)-SUMIF('CF.2'!$K$5:$K$25,'CF.1'!E36,'CF.2'!$M$5:$M$25)</f>
        <v>0</v>
      </c>
      <c r="O36" s="1529">
        <f>SUMIF('CF.2'!$H$31:$H$60,'CF.1'!E36,'CF.2'!$J$31:$J$60)+SUMIF('CF.2'!$K$31:$K$60,'CF.1'!E36,'CF.2'!$M$31:$M$60)</f>
        <v>0</v>
      </c>
      <c r="P36" s="1529">
        <f>SUMIF('CF.2'!$H$65:$H$108,'CF.1'!E36,'CF.2'!$J$65:$J$108)+SUMIF('CF.2'!$K$65:$K$108,'CF.1'!E36,'CF.2'!$M$65:$M$108)</f>
        <v>0</v>
      </c>
      <c r="Q36" s="1529">
        <f>SUMIF('CF.2'!$H$112:$H$118,'CF.1'!E36,'CF.2'!$J$112:$J$118)+SUMIF('CF.2'!$K$112:$K$118,'CF.1'!E36,'CF.2'!$M$112:$M$118)</f>
        <v>0</v>
      </c>
      <c r="R36" s="1529">
        <f>SUMIF('CF.2'!$H$123:$H$134,'CF.1'!E36,'CF.2'!$J$123:$J$134)+SUMIF('CF.2'!$K$123:$K$134,'CF.1'!E36,'CF.2'!$M$123:$M$134)</f>
        <v>0</v>
      </c>
      <c r="S36" s="1530">
        <f t="shared" si="5"/>
        <v>0</v>
      </c>
      <c r="U36" s="1532">
        <f t="shared" si="6"/>
        <v>0</v>
      </c>
    </row>
    <row r="37" spans="3:23" ht="18" customHeight="1">
      <c r="C37" s="1359">
        <v>1</v>
      </c>
      <c r="D37" s="1527" t="s">
        <v>741</v>
      </c>
      <c r="E37" s="1501" t="s">
        <v>741</v>
      </c>
      <c r="F37" s="1528" t="s">
        <v>611</v>
      </c>
      <c r="G37" s="1501" t="s">
        <v>742</v>
      </c>
      <c r="H37" s="1825">
        <v>0</v>
      </c>
      <c r="I37" s="1826">
        <v>0</v>
      </c>
      <c r="J37" s="1826">
        <v>0</v>
      </c>
      <c r="K37" s="1826">
        <v>0</v>
      </c>
      <c r="L37" s="1530">
        <f t="shared" si="4"/>
        <v>0</v>
      </c>
      <c r="N37" s="1531">
        <f>SUMIF('CF.2'!$H$5:$H$25,'CF.1'!E37,'CF.2'!$J$5:$J$25)-SUMIF('CF.2'!$K$5:$K$25,'CF.1'!E37,'CF.2'!$M$5:$M$25)</f>
        <v>0</v>
      </c>
      <c r="O37" s="1529">
        <f>SUMIF('CF.2'!$H$31:$H$60,'CF.1'!E37,'CF.2'!$J$31:$J$60)+SUMIF('CF.2'!$K$31:$K$60,'CF.1'!E37,'CF.2'!$M$31:$M$60)</f>
        <v>0</v>
      </c>
      <c r="P37" s="1529">
        <f>SUMIF('CF.2'!$H$65:$H$108,'CF.1'!E37,'CF.2'!$J$65:$J$108)+SUMIF('CF.2'!$K$65:$K$108,'CF.1'!E37,'CF.2'!$M$65:$M$108)</f>
        <v>0</v>
      </c>
      <c r="Q37" s="1529">
        <f>SUMIF('CF.2'!$H$112:$H$118,'CF.1'!E37,'CF.2'!$J$112:$J$118)+SUMIF('CF.2'!$K$112:$K$118,'CF.1'!E37,'CF.2'!$M$112:$M$118)</f>
        <v>0</v>
      </c>
      <c r="R37" s="1529">
        <f>SUMIF('CF.2'!$H$123:$H$134,'CF.1'!E37,'CF.2'!$J$123:$J$134)+SUMIF('CF.2'!$K$123:$K$134,'CF.1'!E37,'CF.2'!$M$123:$M$134)</f>
        <v>0</v>
      </c>
      <c r="S37" s="1530">
        <f t="shared" si="5"/>
        <v>0</v>
      </c>
      <c r="U37" s="1532">
        <f t="shared" si="6"/>
        <v>0</v>
      </c>
    </row>
    <row r="38" spans="3:23" ht="18" customHeight="1">
      <c r="C38" s="1359">
        <v>1</v>
      </c>
      <c r="D38" s="1533" t="s">
        <v>743</v>
      </c>
      <c r="E38" s="1271" t="s">
        <v>743</v>
      </c>
      <c r="F38" s="1534" t="s">
        <v>1951</v>
      </c>
      <c r="G38" s="1271" t="s">
        <v>744</v>
      </c>
      <c r="H38" s="1824">
        <v>0</v>
      </c>
      <c r="I38" s="1827">
        <v>0</v>
      </c>
      <c r="J38" s="1827">
        <v>0</v>
      </c>
      <c r="K38" s="1827">
        <v>418674455</v>
      </c>
      <c r="L38" s="1536">
        <f t="shared" si="4"/>
        <v>418674455</v>
      </c>
      <c r="M38" s="1086"/>
      <c r="N38" s="1531">
        <f>SUMIF('CF.2'!$H$5:$H$25,'CF.1'!E38,'CF.2'!$J$5:$J$25)-SUMIF('CF.2'!$K$5:$K$25,'CF.1'!E38,'CF.2'!$M$5:$M$25)</f>
        <v>0</v>
      </c>
      <c r="O38" s="1529">
        <f>SUMIF('CF.2'!$H$31:$H$60,'CF.1'!E38,'CF.2'!$J$31:$J$60)+SUMIF('CF.2'!$K$31:$K$60,'CF.1'!E38,'CF.2'!$M$31:$M$60)</f>
        <v>0</v>
      </c>
      <c r="P38" s="1529">
        <f>SUMIF('CF.2'!$H$65:$H$108,'CF.1'!E38,'CF.2'!$J$65:$J$108)+SUMIF('CF.2'!$K$65:$K$108,'CF.1'!E38,'CF.2'!$M$65:$M$108)</f>
        <v>0</v>
      </c>
      <c r="Q38" s="1529">
        <f>SUMIF('CF.2'!$H$112:$H$118,'CF.1'!E38,'CF.2'!$J$112:$J$118)+SUMIF('CF.2'!$K$112:$K$118,'CF.1'!E38,'CF.2'!$M$112:$M$118)</f>
        <v>0</v>
      </c>
      <c r="R38" s="1529">
        <f>SUMIF('CF.2'!$H$123:$H$134,'CF.1'!E38,'CF.2'!$J$123:$J$134)+SUMIF('CF.2'!$K$123:$K$134,'CF.1'!E38,'CF.2'!$M$123:$M$134)</f>
        <v>0</v>
      </c>
      <c r="S38" s="1530">
        <f t="shared" si="5"/>
        <v>0</v>
      </c>
      <c r="T38" s="1086"/>
      <c r="U38" s="1537">
        <f t="shared" si="6"/>
        <v>418674455</v>
      </c>
      <c r="W38" s="1359" t="s">
        <v>2501</v>
      </c>
    </row>
    <row r="39" spans="3:23" ht="18" customHeight="1">
      <c r="C39" s="1359">
        <v>1</v>
      </c>
      <c r="D39" s="1527" t="s">
        <v>745</v>
      </c>
      <c r="E39" s="1501" t="s">
        <v>745</v>
      </c>
      <c r="F39" s="1528" t="s">
        <v>611</v>
      </c>
      <c r="G39" s="1501" t="s">
        <v>746</v>
      </c>
      <c r="H39" s="1825">
        <v>0</v>
      </c>
      <c r="I39" s="1826">
        <v>0</v>
      </c>
      <c r="J39" s="1826">
        <v>0</v>
      </c>
      <c r="K39" s="1826">
        <v>0</v>
      </c>
      <c r="L39" s="1530">
        <f t="shared" si="4"/>
        <v>0</v>
      </c>
      <c r="N39" s="1531">
        <f>SUMIF('CF.2'!$H$5:$H$25,'CF.1'!E39,'CF.2'!$J$5:$J$25)-SUMIF('CF.2'!$K$5:$K$25,'CF.1'!E39,'CF.2'!$M$5:$M$25)</f>
        <v>0</v>
      </c>
      <c r="O39" s="1529">
        <f>SUMIF('CF.2'!$H$31:$H$60,'CF.1'!E39,'CF.2'!$J$31:$J$60)+SUMIF('CF.2'!$K$31:$K$60,'CF.1'!E39,'CF.2'!$M$31:$M$60)</f>
        <v>0</v>
      </c>
      <c r="P39" s="1529">
        <f>SUMIF('CF.2'!$H$65:$H$108,'CF.1'!E39,'CF.2'!$J$65:$J$108)+SUMIF('CF.2'!$K$65:$K$108,'CF.1'!E39,'CF.2'!$M$65:$M$108)</f>
        <v>0</v>
      </c>
      <c r="Q39" s="1529">
        <f>SUMIF('CF.2'!$H$112:$H$118,'CF.1'!E39,'CF.2'!$J$112:$J$118)+SUMIF('CF.2'!$K$112:$K$118,'CF.1'!E39,'CF.2'!$M$112:$M$118)</f>
        <v>0</v>
      </c>
      <c r="R39" s="1529">
        <f>SUMIF('CF.2'!$H$123:$H$134,'CF.1'!E39,'CF.2'!$J$123:$J$134)+SUMIF('CF.2'!$K$123:$K$134,'CF.1'!E39,'CF.2'!$M$123:$M$134)</f>
        <v>0</v>
      </c>
      <c r="S39" s="1530">
        <f t="shared" si="5"/>
        <v>0</v>
      </c>
      <c r="U39" s="1532">
        <f t="shared" si="6"/>
        <v>0</v>
      </c>
    </row>
    <row r="40" spans="3:23" ht="18" customHeight="1">
      <c r="C40" s="1359">
        <v>1</v>
      </c>
      <c r="D40" s="1527" t="s">
        <v>747</v>
      </c>
      <c r="E40" s="1501" t="s">
        <v>747</v>
      </c>
      <c r="F40" s="1528" t="s">
        <v>611</v>
      </c>
      <c r="G40" s="1501" t="s">
        <v>748</v>
      </c>
      <c r="H40" s="1825">
        <v>0</v>
      </c>
      <c r="I40" s="1826">
        <v>0</v>
      </c>
      <c r="J40" s="1826">
        <v>0</v>
      </c>
      <c r="K40" s="1826">
        <v>0</v>
      </c>
      <c r="L40" s="1530">
        <f t="shared" si="4"/>
        <v>0</v>
      </c>
      <c r="N40" s="1531">
        <f>SUMIF('CF.2'!$H$5:$H$25,'CF.1'!E40,'CF.2'!$J$5:$J$25)-SUMIF('CF.2'!$K$5:$K$25,'CF.1'!E40,'CF.2'!$M$5:$M$25)</f>
        <v>0</v>
      </c>
      <c r="O40" s="1529">
        <f>SUMIF('CF.2'!$H$31:$H$60,'CF.1'!E40,'CF.2'!$J$31:$J$60)+SUMIF('CF.2'!$K$31:$K$60,'CF.1'!E40,'CF.2'!$M$31:$M$60)</f>
        <v>0</v>
      </c>
      <c r="P40" s="1529">
        <f>SUMIF('CF.2'!$H$65:$H$108,'CF.1'!E40,'CF.2'!$J$65:$J$108)+SUMIF('CF.2'!$K$65:$K$108,'CF.1'!E40,'CF.2'!$M$65:$M$108)</f>
        <v>0</v>
      </c>
      <c r="Q40" s="1529">
        <f>SUMIF('CF.2'!$H$112:$H$118,'CF.1'!E40,'CF.2'!$J$112:$J$118)+SUMIF('CF.2'!$K$112:$K$118,'CF.1'!E40,'CF.2'!$M$112:$M$118)</f>
        <v>0</v>
      </c>
      <c r="R40" s="1529">
        <f>SUMIF('CF.2'!$H$123:$H$134,'CF.1'!E40,'CF.2'!$J$123:$J$134)+SUMIF('CF.2'!$K$123:$K$134,'CF.1'!E40,'CF.2'!$M$123:$M$134)</f>
        <v>0</v>
      </c>
      <c r="S40" s="1530">
        <f t="shared" si="5"/>
        <v>0</v>
      </c>
      <c r="U40" s="1532">
        <f t="shared" si="6"/>
        <v>0</v>
      </c>
    </row>
    <row r="41" spans="3:23" ht="18" customHeight="1">
      <c r="C41" s="1359">
        <v>1</v>
      </c>
      <c r="D41" s="1527" t="s">
        <v>749</v>
      </c>
      <c r="E41" s="1501" t="s">
        <v>749</v>
      </c>
      <c r="F41" s="1528" t="s">
        <v>611</v>
      </c>
      <c r="G41" s="1501" t="s">
        <v>750</v>
      </c>
      <c r="H41" s="1825">
        <v>0</v>
      </c>
      <c r="I41" s="1826">
        <v>0</v>
      </c>
      <c r="J41" s="1826">
        <v>0</v>
      </c>
      <c r="K41" s="1826">
        <v>0</v>
      </c>
      <c r="L41" s="1530">
        <f t="shared" si="4"/>
        <v>0</v>
      </c>
      <c r="N41" s="1531">
        <f>SUMIF('CF.2'!$H$5:$H$25,'CF.1'!E41,'CF.2'!$J$5:$J$25)-SUMIF('CF.2'!$K$5:$K$25,'CF.1'!E41,'CF.2'!$M$5:$M$25)</f>
        <v>0</v>
      </c>
      <c r="O41" s="1529">
        <f>SUMIF('CF.2'!$H$31:$H$60,'CF.1'!E41,'CF.2'!$J$31:$J$60)+SUMIF('CF.2'!$K$31:$K$60,'CF.1'!E41,'CF.2'!$M$31:$M$60)</f>
        <v>0</v>
      </c>
      <c r="P41" s="1529">
        <f>SUMIF('CF.2'!$H$65:$H$108,'CF.1'!E41,'CF.2'!$J$65:$J$108)+SUMIF('CF.2'!$K$65:$K$108,'CF.1'!E41,'CF.2'!$M$65:$M$108)</f>
        <v>0</v>
      </c>
      <c r="Q41" s="1529">
        <f>SUMIF('CF.2'!$H$112:$H$118,'CF.1'!E41,'CF.2'!$J$112:$J$118)+SUMIF('CF.2'!$K$112:$K$118,'CF.1'!E41,'CF.2'!$M$112:$M$118)</f>
        <v>0</v>
      </c>
      <c r="R41" s="1529">
        <f>SUMIF('CF.2'!$H$123:$H$134,'CF.1'!E41,'CF.2'!$J$123:$J$134)+SUMIF('CF.2'!$K$123:$K$134,'CF.1'!E41,'CF.2'!$M$123:$M$134)</f>
        <v>0</v>
      </c>
      <c r="S41" s="1530">
        <f t="shared" si="5"/>
        <v>0</v>
      </c>
      <c r="U41" s="1532">
        <f t="shared" si="6"/>
        <v>0</v>
      </c>
    </row>
    <row r="42" spans="3:23" ht="18" customHeight="1">
      <c r="C42" s="1359">
        <v>1</v>
      </c>
      <c r="D42" s="1527" t="s">
        <v>751</v>
      </c>
      <c r="E42" s="1501" t="s">
        <v>751</v>
      </c>
      <c r="F42" s="1528" t="s">
        <v>611</v>
      </c>
      <c r="G42" s="1501" t="s">
        <v>752</v>
      </c>
      <c r="H42" s="1825">
        <v>0</v>
      </c>
      <c r="I42" s="1826">
        <v>0</v>
      </c>
      <c r="J42" s="1826">
        <v>0</v>
      </c>
      <c r="K42" s="1826">
        <v>0</v>
      </c>
      <c r="L42" s="1530">
        <f t="shared" si="4"/>
        <v>0</v>
      </c>
      <c r="N42" s="1531">
        <f>SUMIF('CF.2'!$H$5:$H$25,'CF.1'!E42,'CF.2'!$J$5:$J$25)-SUMIF('CF.2'!$K$5:$K$25,'CF.1'!E42,'CF.2'!$M$5:$M$25)</f>
        <v>0</v>
      </c>
      <c r="O42" s="1529">
        <f>SUMIF('CF.2'!$H$31:$H$60,'CF.1'!E42,'CF.2'!$J$31:$J$60)+SUMIF('CF.2'!$K$31:$K$60,'CF.1'!E42,'CF.2'!$M$31:$M$60)</f>
        <v>0</v>
      </c>
      <c r="P42" s="1529">
        <f>SUMIF('CF.2'!$H$65:$H$108,'CF.1'!E42,'CF.2'!$J$65:$J$108)+SUMIF('CF.2'!$K$65:$K$108,'CF.1'!E42,'CF.2'!$M$65:$M$108)</f>
        <v>0</v>
      </c>
      <c r="Q42" s="1529">
        <f>SUMIF('CF.2'!$H$112:$H$118,'CF.1'!E42,'CF.2'!$J$112:$J$118)+SUMIF('CF.2'!$K$112:$K$118,'CF.1'!E42,'CF.2'!$M$112:$M$118)</f>
        <v>0</v>
      </c>
      <c r="R42" s="1529">
        <f>SUMIF('CF.2'!$H$123:$H$134,'CF.1'!E42,'CF.2'!$J$123:$J$134)+SUMIF('CF.2'!$K$123:$K$134,'CF.1'!E42,'CF.2'!$M$123:$M$134)</f>
        <v>0</v>
      </c>
      <c r="S42" s="1530">
        <f t="shared" si="5"/>
        <v>0</v>
      </c>
      <c r="U42" s="1532">
        <f t="shared" si="6"/>
        <v>0</v>
      </c>
    </row>
    <row r="43" spans="3:23" ht="18" customHeight="1">
      <c r="C43" s="1359">
        <v>1</v>
      </c>
      <c r="D43" s="1527" t="s">
        <v>753</v>
      </c>
      <c r="E43" s="1501" t="s">
        <v>753</v>
      </c>
      <c r="F43" s="1528" t="s">
        <v>611</v>
      </c>
      <c r="G43" s="1501" t="s">
        <v>754</v>
      </c>
      <c r="H43" s="1825">
        <v>0</v>
      </c>
      <c r="I43" s="1826">
        <v>0</v>
      </c>
      <c r="J43" s="1826">
        <v>0</v>
      </c>
      <c r="K43" s="1826">
        <v>0</v>
      </c>
      <c r="L43" s="1530">
        <f t="shared" ref="L43:L74" si="7">SUM(H43:K43)</f>
        <v>0</v>
      </c>
      <c r="N43" s="1531">
        <f>SUMIF('CF.2'!$H$5:$H$25,'CF.1'!E43,'CF.2'!$J$5:$J$25)-SUMIF('CF.2'!$K$5:$K$25,'CF.1'!E43,'CF.2'!$M$5:$M$25)</f>
        <v>0</v>
      </c>
      <c r="O43" s="1529">
        <f>SUMIF('CF.2'!$H$31:$H$60,'CF.1'!E43,'CF.2'!$J$31:$J$60)+SUMIF('CF.2'!$K$31:$K$60,'CF.1'!E43,'CF.2'!$M$31:$M$60)</f>
        <v>0</v>
      </c>
      <c r="P43" s="1529">
        <f>SUMIF('CF.2'!$H$65:$H$108,'CF.1'!E43,'CF.2'!$J$65:$J$108)+SUMIF('CF.2'!$K$65:$K$108,'CF.1'!E43,'CF.2'!$M$65:$M$108)</f>
        <v>0</v>
      </c>
      <c r="Q43" s="1529">
        <f>SUMIF('CF.2'!$H$112:$H$118,'CF.1'!E43,'CF.2'!$J$112:$J$118)+SUMIF('CF.2'!$K$112:$K$118,'CF.1'!E43,'CF.2'!$M$112:$M$118)</f>
        <v>0</v>
      </c>
      <c r="R43" s="1529">
        <f>SUMIF('CF.2'!$H$123:$H$134,'CF.1'!E43,'CF.2'!$J$123:$J$134)+SUMIF('CF.2'!$K$123:$K$134,'CF.1'!E43,'CF.2'!$M$123:$M$134)</f>
        <v>0</v>
      </c>
      <c r="S43" s="1530">
        <f t="shared" ref="S43:S74" si="8">SUM(N43:R43)</f>
        <v>0</v>
      </c>
      <c r="U43" s="1532">
        <f t="shared" ref="U43:U74" si="9">ROUND(S43+L43,0)</f>
        <v>0</v>
      </c>
    </row>
    <row r="44" spans="3:23" ht="18" customHeight="1">
      <c r="C44" s="1359">
        <v>1</v>
      </c>
      <c r="D44" s="1527" t="s">
        <v>755</v>
      </c>
      <c r="E44" s="1501" t="s">
        <v>755</v>
      </c>
      <c r="F44" s="1528" t="s">
        <v>611</v>
      </c>
      <c r="G44" s="1501" t="s">
        <v>756</v>
      </c>
      <c r="H44" s="1825">
        <v>0</v>
      </c>
      <c r="I44" s="1826">
        <v>0</v>
      </c>
      <c r="J44" s="1826">
        <v>0</v>
      </c>
      <c r="K44" s="1826">
        <v>0</v>
      </c>
      <c r="L44" s="1530">
        <f t="shared" si="7"/>
        <v>0</v>
      </c>
      <c r="N44" s="1531">
        <f>SUMIF('CF.2'!$H$5:$H$25,'CF.1'!E44,'CF.2'!$J$5:$J$25)-SUMIF('CF.2'!$K$5:$K$25,'CF.1'!E44,'CF.2'!$M$5:$M$25)</f>
        <v>0</v>
      </c>
      <c r="O44" s="1529">
        <f>SUMIF('CF.2'!$H$31:$H$60,'CF.1'!E44,'CF.2'!$J$31:$J$60)+SUMIF('CF.2'!$K$31:$K$60,'CF.1'!E44,'CF.2'!$M$31:$M$60)</f>
        <v>0</v>
      </c>
      <c r="P44" s="1529">
        <f>SUMIF('CF.2'!$H$65:$H$108,'CF.1'!E44,'CF.2'!$J$65:$J$108)+SUMIF('CF.2'!$K$65:$K$108,'CF.1'!E44,'CF.2'!$M$65:$M$108)</f>
        <v>0</v>
      </c>
      <c r="Q44" s="1529">
        <f>SUMIF('CF.2'!$H$112:$H$118,'CF.1'!E44,'CF.2'!$J$112:$J$118)+SUMIF('CF.2'!$K$112:$K$118,'CF.1'!E44,'CF.2'!$M$112:$M$118)</f>
        <v>0</v>
      </c>
      <c r="R44" s="1529">
        <f>SUMIF('CF.2'!$H$123:$H$134,'CF.1'!E44,'CF.2'!$J$123:$J$134)+SUMIF('CF.2'!$K$123:$K$134,'CF.1'!E44,'CF.2'!$M$123:$M$134)</f>
        <v>0</v>
      </c>
      <c r="S44" s="1530">
        <f t="shared" si="8"/>
        <v>0</v>
      </c>
      <c r="U44" s="1532">
        <f t="shared" si="9"/>
        <v>0</v>
      </c>
    </row>
    <row r="45" spans="3:23" ht="18" customHeight="1">
      <c r="C45" s="1359">
        <v>1</v>
      </c>
      <c r="D45" s="1533" t="s">
        <v>757</v>
      </c>
      <c r="E45" s="1271" t="s">
        <v>757</v>
      </c>
      <c r="F45" s="1534" t="s">
        <v>758</v>
      </c>
      <c r="G45" s="1271" t="s">
        <v>758</v>
      </c>
      <c r="H45" s="1824">
        <v>-56133700</v>
      </c>
      <c r="I45" s="1827">
        <v>0</v>
      </c>
      <c r="J45" s="1827">
        <v>0</v>
      </c>
      <c r="K45" s="1827">
        <v>0</v>
      </c>
      <c r="L45" s="1536">
        <f t="shared" si="7"/>
        <v>-56133700</v>
      </c>
      <c r="M45" s="1086"/>
      <c r="N45" s="1531">
        <f>SUMIF('CF.2'!$H$5:$H$25,'CF.1'!E45,'CF.2'!$J$5:$J$25)-SUMIF('CF.2'!$K$5:$K$25,'CF.1'!E45,'CF.2'!$M$5:$M$25)</f>
        <v>0</v>
      </c>
      <c r="O45" s="1529">
        <f>SUMIF('CF.2'!$H$31:$H$60,'CF.1'!E45,'CF.2'!$J$31:$J$60)+SUMIF('CF.2'!$K$31:$K$60,'CF.1'!E45,'CF.2'!$M$31:$M$60)</f>
        <v>0</v>
      </c>
      <c r="P45" s="1529">
        <f>SUMIF('CF.2'!$H$65:$H$108,'CF.1'!E45,'CF.2'!$J$65:$J$108)+SUMIF('CF.2'!$K$65:$K$108,'CF.1'!E45,'CF.2'!$M$65:$M$108)</f>
        <v>0</v>
      </c>
      <c r="Q45" s="1529">
        <f>SUMIF('CF.2'!$H$112:$H$118,'CF.1'!E45,'CF.2'!$J$112:$J$118)+SUMIF('CF.2'!$K$112:$K$118,'CF.1'!E45,'CF.2'!$M$112:$M$118)</f>
        <v>0</v>
      </c>
      <c r="R45" s="1529">
        <f>SUMIF('CF.2'!$H$123:$H$134,'CF.1'!E45,'CF.2'!$J$123:$J$134)+SUMIF('CF.2'!$K$123:$K$134,'CF.1'!E45,'CF.2'!$M$123:$M$134)</f>
        <v>0</v>
      </c>
      <c r="S45" s="1530">
        <f t="shared" si="8"/>
        <v>0</v>
      </c>
      <c r="T45" s="1086"/>
      <c r="U45" s="1537">
        <f t="shared" si="9"/>
        <v>-56133700</v>
      </c>
    </row>
    <row r="46" spans="3:23" ht="18" customHeight="1">
      <c r="C46" s="1359">
        <v>1</v>
      </c>
      <c r="D46" s="1527" t="s">
        <v>759</v>
      </c>
      <c r="E46" s="1501" t="s">
        <v>759</v>
      </c>
      <c r="F46" s="1528"/>
      <c r="G46" s="1501" t="s">
        <v>760</v>
      </c>
      <c r="H46" s="1825">
        <v>0</v>
      </c>
      <c r="I46" s="1826">
        <v>0</v>
      </c>
      <c r="J46" s="1826">
        <v>0</v>
      </c>
      <c r="K46" s="1826">
        <v>0</v>
      </c>
      <c r="L46" s="1530">
        <f t="shared" si="7"/>
        <v>0</v>
      </c>
      <c r="N46" s="1531">
        <f>SUMIF('CF.2'!$H$5:$H$25,'CF.1'!E46,'CF.2'!$J$5:$J$25)-SUMIF('CF.2'!$K$5:$K$25,'CF.1'!E46,'CF.2'!$M$5:$M$25)</f>
        <v>0</v>
      </c>
      <c r="O46" s="1529">
        <f>SUMIF('CF.2'!$H$31:$H$60,'CF.1'!E46,'CF.2'!$J$31:$J$60)+SUMIF('CF.2'!$K$31:$K$60,'CF.1'!E46,'CF.2'!$M$31:$M$60)</f>
        <v>0</v>
      </c>
      <c r="P46" s="1529">
        <f>SUMIF('CF.2'!$H$65:$H$108,'CF.1'!E46,'CF.2'!$J$65:$J$108)+SUMIF('CF.2'!$K$65:$K$108,'CF.1'!E46,'CF.2'!$M$65:$M$108)</f>
        <v>0</v>
      </c>
      <c r="Q46" s="1529">
        <f>SUMIF('CF.2'!$H$112:$H$118,'CF.1'!E46,'CF.2'!$J$112:$J$118)+SUMIF('CF.2'!$K$112:$K$118,'CF.1'!E46,'CF.2'!$M$112:$M$118)</f>
        <v>0</v>
      </c>
      <c r="R46" s="1529">
        <f>SUMIF('CF.2'!$H$123:$H$134,'CF.1'!E46,'CF.2'!$J$123:$J$134)+SUMIF('CF.2'!$K$123:$K$134,'CF.1'!E46,'CF.2'!$M$123:$M$134)</f>
        <v>0</v>
      </c>
      <c r="S46" s="1530">
        <f t="shared" si="8"/>
        <v>0</v>
      </c>
      <c r="U46" s="1532">
        <f t="shared" si="9"/>
        <v>0</v>
      </c>
    </row>
    <row r="47" spans="3:23" ht="18" customHeight="1">
      <c r="C47" s="1359">
        <v>1</v>
      </c>
      <c r="D47" s="1533" t="s">
        <v>761</v>
      </c>
      <c r="E47" s="1271" t="s">
        <v>761</v>
      </c>
      <c r="F47" s="1534" t="s">
        <v>1768</v>
      </c>
      <c r="G47" s="1271" t="s">
        <v>762</v>
      </c>
      <c r="H47" s="1824">
        <v>0</v>
      </c>
      <c r="I47" s="1827">
        <v>0</v>
      </c>
      <c r="J47" s="1827">
        <v>0</v>
      </c>
      <c r="K47" s="1827">
        <v>0</v>
      </c>
      <c r="L47" s="1536">
        <f t="shared" si="7"/>
        <v>0</v>
      </c>
      <c r="M47" s="1086"/>
      <c r="N47" s="1531">
        <f>SUMIF('CF.2'!$H$5:$H$25,'CF.1'!E47,'CF.2'!$J$5:$J$25)-SUMIF('CF.2'!$K$5:$K$25,'CF.1'!E47,'CF.2'!$M$5:$M$25)</f>
        <v>0</v>
      </c>
      <c r="O47" s="1529">
        <f>SUMIF('CF.2'!$H$31:$H$60,'CF.1'!E47,'CF.2'!$J$31:$J$60)+SUMIF('CF.2'!$K$31:$K$60,'CF.1'!E47,'CF.2'!$M$31:$M$60)</f>
        <v>0</v>
      </c>
      <c r="P47" s="1529">
        <f>SUMIF('CF.2'!$H$65:$H$108,'CF.1'!E47,'CF.2'!$J$65:$J$108)+SUMIF('CF.2'!$K$65:$K$108,'CF.1'!E47,'CF.2'!$M$65:$M$108)</f>
        <v>0</v>
      </c>
      <c r="Q47" s="1529">
        <f>SUMIF('CF.2'!$H$112:$H$118,'CF.1'!E47,'CF.2'!$J$112:$J$118)+SUMIF('CF.2'!$K$112:$K$118,'CF.1'!E47,'CF.2'!$M$112:$M$118)</f>
        <v>0</v>
      </c>
      <c r="R47" s="1529">
        <f>SUMIF('CF.2'!$H$123:$H$134,'CF.1'!E47,'CF.2'!$J$123:$J$134)+SUMIF('CF.2'!$K$123:$K$134,'CF.1'!E47,'CF.2'!$M$123:$M$134)</f>
        <v>0</v>
      </c>
      <c r="S47" s="1530">
        <f t="shared" si="8"/>
        <v>0</v>
      </c>
      <c r="T47" s="1086"/>
      <c r="U47" s="1537">
        <f t="shared" si="9"/>
        <v>0</v>
      </c>
    </row>
    <row r="48" spans="3:23" ht="18" customHeight="1">
      <c r="C48" s="1359">
        <v>1</v>
      </c>
      <c r="D48" s="1527" t="s">
        <v>763</v>
      </c>
      <c r="E48" s="1501" t="s">
        <v>763</v>
      </c>
      <c r="F48" s="1528"/>
      <c r="G48" s="1501" t="s">
        <v>764</v>
      </c>
      <c r="H48" s="1825">
        <v>0</v>
      </c>
      <c r="I48" s="1826">
        <v>0</v>
      </c>
      <c r="J48" s="1826">
        <v>0</v>
      </c>
      <c r="K48" s="1826">
        <v>0</v>
      </c>
      <c r="L48" s="1530">
        <f t="shared" si="7"/>
        <v>0</v>
      </c>
      <c r="N48" s="1531">
        <f>SUMIF('CF.2'!$H$5:$H$25,'CF.1'!E48,'CF.2'!$J$5:$J$25)-SUMIF('CF.2'!$K$5:$K$25,'CF.1'!E48,'CF.2'!$M$5:$M$25)</f>
        <v>0</v>
      </c>
      <c r="O48" s="1529">
        <f>SUMIF('CF.2'!$H$31:$H$60,'CF.1'!E48,'CF.2'!$J$31:$J$60)+SUMIF('CF.2'!$K$31:$K$60,'CF.1'!E48,'CF.2'!$M$31:$M$60)</f>
        <v>0</v>
      </c>
      <c r="P48" s="1529">
        <f>SUMIF('CF.2'!$H$65:$H$108,'CF.1'!E48,'CF.2'!$J$65:$J$108)+SUMIF('CF.2'!$K$65:$K$108,'CF.1'!E48,'CF.2'!$M$65:$M$108)</f>
        <v>0</v>
      </c>
      <c r="Q48" s="1529">
        <f>SUMIF('CF.2'!$H$112:$H$118,'CF.1'!E48,'CF.2'!$J$112:$J$118)+SUMIF('CF.2'!$K$112:$K$118,'CF.1'!E48,'CF.2'!$M$112:$M$118)</f>
        <v>0</v>
      </c>
      <c r="R48" s="1529">
        <f>SUMIF('CF.2'!$H$123:$H$134,'CF.1'!E48,'CF.2'!$J$123:$J$134)+SUMIF('CF.2'!$K$123:$K$134,'CF.1'!E48,'CF.2'!$M$123:$M$134)</f>
        <v>0</v>
      </c>
      <c r="S48" s="1530">
        <f t="shared" si="8"/>
        <v>0</v>
      </c>
      <c r="U48" s="1532">
        <f t="shared" si="9"/>
        <v>0</v>
      </c>
    </row>
    <row r="49" spans="3:26" ht="18" customHeight="1">
      <c r="C49" s="1359">
        <v>1</v>
      </c>
      <c r="D49" s="1527" t="s">
        <v>765</v>
      </c>
      <c r="E49" s="1501" t="s">
        <v>1363</v>
      </c>
      <c r="F49" s="1528" t="s">
        <v>2538</v>
      </c>
      <c r="G49" s="1501" t="s">
        <v>2538</v>
      </c>
      <c r="H49" s="1825">
        <v>70302627</v>
      </c>
      <c r="I49" s="1826">
        <v>0</v>
      </c>
      <c r="J49" s="1826">
        <v>0</v>
      </c>
      <c r="K49" s="1826">
        <v>0</v>
      </c>
      <c r="L49" s="1530">
        <f t="shared" si="7"/>
        <v>70302627</v>
      </c>
      <c r="N49" s="1531">
        <f>SUMIF('CF.2'!$H$5:$H$25,'CF.1'!E49,'CF.2'!$J$5:$J$25)-SUMIF('CF.2'!$K$5:$K$25,'CF.1'!E49,'CF.2'!$M$5:$M$25)</f>
        <v>0</v>
      </c>
      <c r="O49" s="1529">
        <f>SUMIF('CF.2'!$H$31:$H$60,'CF.1'!E49,'CF.2'!$J$31:$J$60)+SUMIF('CF.2'!$K$31:$K$60,'CF.1'!E49,'CF.2'!$M$31:$M$60)</f>
        <v>0</v>
      </c>
      <c r="P49" s="1529">
        <f>SUMIF('CF.2'!$H$65:$H$108,'CF.1'!E49,'CF.2'!$J$65:$J$108)+SUMIF('CF.2'!$K$65:$K$108,'CF.1'!E49,'CF.2'!$M$65:$M$108)</f>
        <v>0</v>
      </c>
      <c r="Q49" s="1529">
        <f>SUMIF('CF.2'!$H$112:$H$118,'CF.1'!E49,'CF.2'!$J$112:$J$118)+SUMIF('CF.2'!$K$112:$K$118,'CF.1'!E49,'CF.2'!$M$112:$M$118)</f>
        <v>0</v>
      </c>
      <c r="R49" s="1529">
        <f>SUMIF('CF.2'!$H$123:$H$134,'CF.1'!E49,'CF.2'!$J$123:$J$134)+SUMIF('CF.2'!$K$123:$K$134,'CF.1'!E49,'CF.2'!$M$123:$M$134)</f>
        <v>0</v>
      </c>
      <c r="S49" s="1530">
        <f t="shared" si="8"/>
        <v>0</v>
      </c>
      <c r="U49" s="1532">
        <f t="shared" si="9"/>
        <v>70302627</v>
      </c>
    </row>
    <row r="50" spans="3:26" ht="18" customHeight="1">
      <c r="C50" s="1359">
        <v>1</v>
      </c>
      <c r="D50" s="1527" t="s">
        <v>765</v>
      </c>
      <c r="E50" s="1501" t="s">
        <v>1364</v>
      </c>
      <c r="F50" s="1528" t="s">
        <v>2538</v>
      </c>
      <c r="G50" s="1501" t="s">
        <v>2538</v>
      </c>
      <c r="H50" s="1825">
        <v>0</v>
      </c>
      <c r="I50" s="1826">
        <v>0</v>
      </c>
      <c r="J50" s="1826">
        <v>0</v>
      </c>
      <c r="K50" s="1826">
        <v>0</v>
      </c>
      <c r="L50" s="1530">
        <f t="shared" si="7"/>
        <v>0</v>
      </c>
      <c r="N50" s="1531">
        <f>SUMIF('CF.2'!$H$5:$H$25,'CF.1'!E50,'CF.2'!$J$5:$J$25)-SUMIF('CF.2'!$K$5:$K$25,'CF.1'!E50,'CF.2'!$M$5:$M$25)</f>
        <v>0</v>
      </c>
      <c r="O50" s="1529">
        <f>SUMIF('CF.2'!$H$31:$H$60,'CF.1'!E50,'CF.2'!$J$31:$J$60)+SUMIF('CF.2'!$K$31:$K$60,'CF.1'!E50,'CF.2'!$M$31:$M$60)</f>
        <v>0</v>
      </c>
      <c r="P50" s="1529">
        <f>SUMIF('CF.2'!$H$65:$H$108,'CF.1'!E50,'CF.2'!$J$65:$J$108)+SUMIF('CF.2'!$K$65:$K$108,'CF.1'!E50,'CF.2'!$M$65:$M$108)</f>
        <v>0</v>
      </c>
      <c r="Q50" s="1529">
        <f>SUMIF('CF.2'!$H$112:$H$118,'CF.1'!E50,'CF.2'!$J$112:$J$118)+SUMIF('CF.2'!$K$112:$K$118,'CF.1'!E50,'CF.2'!$M$112:$M$118)</f>
        <v>0</v>
      </c>
      <c r="R50" s="1529">
        <f>SUMIF('CF.2'!$H$123:$H$134,'CF.1'!E50,'CF.2'!$J$123:$J$134)+SUMIF('CF.2'!$K$123:$K$134,'CF.1'!E50,'CF.2'!$M$123:$M$134)</f>
        <v>0</v>
      </c>
      <c r="S50" s="1530">
        <f t="shared" si="8"/>
        <v>0</v>
      </c>
      <c r="U50" s="1532">
        <f t="shared" si="9"/>
        <v>0</v>
      </c>
    </row>
    <row r="51" spans="3:26" ht="18" customHeight="1">
      <c r="C51" s="1359">
        <v>1</v>
      </c>
      <c r="D51" s="1533" t="s">
        <v>765</v>
      </c>
      <c r="E51" s="1271" t="s">
        <v>1444</v>
      </c>
      <c r="F51" s="1534" t="s">
        <v>1417</v>
      </c>
      <c r="G51" s="1271" t="s">
        <v>1417</v>
      </c>
      <c r="H51" s="1824">
        <v>7476589</v>
      </c>
      <c r="I51" s="1827">
        <v>0</v>
      </c>
      <c r="J51" s="1827">
        <v>0</v>
      </c>
      <c r="K51" s="1827">
        <v>0</v>
      </c>
      <c r="L51" s="1536">
        <f t="shared" si="7"/>
        <v>7476589</v>
      </c>
      <c r="M51" s="1086"/>
      <c r="N51" s="1531">
        <f>SUMIF('CF.2'!$H$5:$H$25,'CF.1'!E51,'CF.2'!$J$5:$J$25)-SUMIF('CF.2'!$K$5:$K$25,'CF.1'!E51,'CF.2'!$M$5:$M$25)</f>
        <v>0</v>
      </c>
      <c r="O51" s="1529">
        <f>SUMIF('CF.2'!$H$31:$H$60,'CF.1'!E51,'CF.2'!$J$31:$J$60)+SUMIF('CF.2'!$K$31:$K$60,'CF.1'!E51,'CF.2'!$M$31:$M$60)</f>
        <v>0</v>
      </c>
      <c r="P51" s="1529">
        <f>SUMIF('CF.2'!$H$65:$H$108,'CF.1'!E51,'CF.2'!$J$65:$J$108)+SUMIF('CF.2'!$K$65:$K$108,'CF.1'!E51,'CF.2'!$M$65:$M$108)</f>
        <v>0</v>
      </c>
      <c r="Q51" s="1529">
        <f>SUMIF('CF.2'!$H$112:$H$118,'CF.1'!E51,'CF.2'!$J$112:$J$118)+SUMIF('CF.2'!$K$112:$K$118,'CF.1'!E51,'CF.2'!$M$112:$M$118)</f>
        <v>0</v>
      </c>
      <c r="R51" s="1529">
        <f>SUMIF('CF.2'!$H$123:$H$134,'CF.1'!E51,'CF.2'!$J$123:$J$134)+SUMIF('CF.2'!$K$123:$K$134,'CF.1'!E51,'CF.2'!$M$123:$M$134)</f>
        <v>0</v>
      </c>
      <c r="S51" s="1530">
        <f t="shared" si="8"/>
        <v>0</v>
      </c>
      <c r="T51" s="1086"/>
      <c r="U51" s="1537">
        <f t="shared" si="9"/>
        <v>7476589</v>
      </c>
      <c r="W51" s="1359" t="b">
        <f>U51=T_IS!X73</f>
        <v>0</v>
      </c>
    </row>
    <row r="52" spans="3:26" ht="18" customHeight="1">
      <c r="C52" s="1359">
        <v>1</v>
      </c>
      <c r="D52" s="1527" t="s">
        <v>765</v>
      </c>
      <c r="E52" s="1501" t="s">
        <v>1445</v>
      </c>
      <c r="F52" s="1528"/>
      <c r="G52" s="1501" t="s">
        <v>1356</v>
      </c>
      <c r="H52" s="1825">
        <v>0</v>
      </c>
      <c r="I52" s="1826">
        <v>0</v>
      </c>
      <c r="J52" s="1826">
        <v>0</v>
      </c>
      <c r="K52" s="1826">
        <v>0</v>
      </c>
      <c r="L52" s="1530">
        <f t="shared" si="7"/>
        <v>0</v>
      </c>
      <c r="N52" s="1531">
        <f>SUMIF('CF.2'!$H$5:$H$25,'CF.1'!E52,'CF.2'!$J$5:$J$25)-SUMIF('CF.2'!$K$5:$K$25,'CF.1'!E52,'CF.2'!$M$5:$M$25)</f>
        <v>0</v>
      </c>
      <c r="O52" s="1529">
        <f>SUMIF('CF.2'!$H$31:$H$60,'CF.1'!E52,'CF.2'!$J$31:$J$60)+SUMIF('CF.2'!$K$31:$K$60,'CF.1'!E52,'CF.2'!$M$31:$M$60)</f>
        <v>0</v>
      </c>
      <c r="P52" s="1529">
        <f>SUMIF('CF.2'!$H$65:$H$108,'CF.1'!E52,'CF.2'!$J$65:$J$108)+SUMIF('CF.2'!$K$65:$K$108,'CF.1'!E52,'CF.2'!$M$65:$M$108)</f>
        <v>0</v>
      </c>
      <c r="Q52" s="1529">
        <f>SUMIF('CF.2'!$H$112:$H$118,'CF.1'!E52,'CF.2'!$J$112:$J$118)+SUMIF('CF.2'!$K$112:$K$118,'CF.1'!E52,'CF.2'!$M$112:$M$118)</f>
        <v>0</v>
      </c>
      <c r="R52" s="1529">
        <f>SUMIF('CF.2'!$H$123:$H$134,'CF.1'!E52,'CF.2'!$J$123:$J$134)+SUMIF('CF.2'!$K$123:$K$134,'CF.1'!E52,'CF.2'!$M$123:$M$134)</f>
        <v>0</v>
      </c>
      <c r="S52" s="1530">
        <f t="shared" si="8"/>
        <v>0</v>
      </c>
      <c r="U52" s="1532">
        <f t="shared" si="9"/>
        <v>0</v>
      </c>
    </row>
    <row r="53" spans="3:26" ht="18" customHeight="1">
      <c r="C53" s="1359">
        <v>1</v>
      </c>
      <c r="D53" s="1527" t="s">
        <v>766</v>
      </c>
      <c r="E53" s="1501" t="s">
        <v>766</v>
      </c>
      <c r="F53" s="1528"/>
      <c r="G53" s="1501" t="s">
        <v>767</v>
      </c>
      <c r="H53" s="1825">
        <v>0</v>
      </c>
      <c r="I53" s="1826">
        <v>0</v>
      </c>
      <c r="J53" s="1826">
        <v>0</v>
      </c>
      <c r="K53" s="1826">
        <v>0</v>
      </c>
      <c r="L53" s="1530">
        <f t="shared" si="7"/>
        <v>0</v>
      </c>
      <c r="N53" s="1531">
        <f>SUMIF('CF.2'!$H$5:$H$25,'CF.1'!E53,'CF.2'!$J$5:$J$25)-SUMIF('CF.2'!$K$5:$K$25,'CF.1'!E53,'CF.2'!$M$5:$M$25)</f>
        <v>0</v>
      </c>
      <c r="O53" s="1529">
        <f>SUMIF('CF.2'!$H$31:$H$60,'CF.1'!E53,'CF.2'!$J$31:$J$60)+SUMIF('CF.2'!$K$31:$K$60,'CF.1'!E53,'CF.2'!$M$31:$M$60)</f>
        <v>0</v>
      </c>
      <c r="P53" s="1529">
        <f>SUMIF('CF.2'!$H$65:$H$108,'CF.1'!E53,'CF.2'!$J$65:$J$108)+SUMIF('CF.2'!$K$65:$K$108,'CF.1'!E53,'CF.2'!$M$65:$M$108)</f>
        <v>0</v>
      </c>
      <c r="Q53" s="1529">
        <f>SUMIF('CF.2'!$H$112:$H$118,'CF.1'!E53,'CF.2'!$J$112:$J$118)+SUMIF('CF.2'!$K$112:$K$118,'CF.1'!E53,'CF.2'!$M$112:$M$118)</f>
        <v>0</v>
      </c>
      <c r="R53" s="1529">
        <f>SUMIF('CF.2'!$H$123:$H$134,'CF.1'!E53,'CF.2'!$J$123:$J$134)+SUMIF('CF.2'!$K$123:$K$134,'CF.1'!E53,'CF.2'!$M$123:$M$134)</f>
        <v>0</v>
      </c>
      <c r="S53" s="1530">
        <f t="shared" si="8"/>
        <v>0</v>
      </c>
      <c r="U53" s="1532">
        <f t="shared" si="9"/>
        <v>0</v>
      </c>
    </row>
    <row r="54" spans="3:26" ht="18" customHeight="1">
      <c r="C54" s="1359">
        <v>1</v>
      </c>
      <c r="D54" s="1527" t="s">
        <v>768</v>
      </c>
      <c r="E54" s="1501" t="s">
        <v>768</v>
      </c>
      <c r="F54" s="1528"/>
      <c r="G54" s="1501" t="s">
        <v>769</v>
      </c>
      <c r="H54" s="1825">
        <v>0</v>
      </c>
      <c r="I54" s="1826">
        <v>0</v>
      </c>
      <c r="J54" s="1826">
        <v>0</v>
      </c>
      <c r="K54" s="1826">
        <v>0</v>
      </c>
      <c r="L54" s="1530">
        <f t="shared" si="7"/>
        <v>0</v>
      </c>
      <c r="N54" s="1531">
        <f>SUMIF('CF.2'!$H$5:$H$25,'CF.1'!E54,'CF.2'!$J$5:$J$25)-SUMIF('CF.2'!$K$5:$K$25,'CF.1'!E54,'CF.2'!$M$5:$M$25)</f>
        <v>0</v>
      </c>
      <c r="O54" s="1529">
        <f>SUMIF('CF.2'!$H$31:$H$60,'CF.1'!E54,'CF.2'!$J$31:$J$60)+SUMIF('CF.2'!$K$31:$K$60,'CF.1'!E54,'CF.2'!$M$31:$M$60)</f>
        <v>0</v>
      </c>
      <c r="P54" s="1529">
        <f>SUMIF('CF.2'!$H$65:$H$108,'CF.1'!E54,'CF.2'!$J$65:$J$108)+SUMIF('CF.2'!$K$65:$K$108,'CF.1'!E54,'CF.2'!$M$65:$M$108)</f>
        <v>0</v>
      </c>
      <c r="Q54" s="1529">
        <f>SUMIF('CF.2'!$H$112:$H$118,'CF.1'!E54,'CF.2'!$J$112:$J$118)+SUMIF('CF.2'!$K$112:$K$118,'CF.1'!E54,'CF.2'!$M$112:$M$118)</f>
        <v>0</v>
      </c>
      <c r="R54" s="1529">
        <f>SUMIF('CF.2'!$H$123:$H$134,'CF.1'!E54,'CF.2'!$J$123:$J$134)+SUMIF('CF.2'!$K$123:$K$134,'CF.1'!E54,'CF.2'!$M$123:$M$134)</f>
        <v>0</v>
      </c>
      <c r="S54" s="1530">
        <f t="shared" si="8"/>
        <v>0</v>
      </c>
      <c r="U54" s="1532">
        <f t="shared" si="9"/>
        <v>0</v>
      </c>
    </row>
    <row r="55" spans="3:26" ht="18" customHeight="1">
      <c r="C55" s="1359">
        <v>1</v>
      </c>
      <c r="D55" s="1527" t="s">
        <v>770</v>
      </c>
      <c r="E55" s="1501" t="s">
        <v>770</v>
      </c>
      <c r="F55" s="1528"/>
      <c r="G55" s="1501" t="s">
        <v>771</v>
      </c>
      <c r="H55" s="1825">
        <v>0</v>
      </c>
      <c r="I55" s="1826">
        <v>0</v>
      </c>
      <c r="J55" s="1826">
        <v>0</v>
      </c>
      <c r="K55" s="1826">
        <v>0</v>
      </c>
      <c r="L55" s="1530">
        <f t="shared" si="7"/>
        <v>0</v>
      </c>
      <c r="N55" s="1531">
        <f>SUMIF('CF.2'!$H$5:$H$25,'CF.1'!E55,'CF.2'!$J$5:$J$25)-SUMIF('CF.2'!$K$5:$K$25,'CF.1'!E55,'CF.2'!$M$5:$M$25)</f>
        <v>0</v>
      </c>
      <c r="O55" s="1529">
        <f>SUMIF('CF.2'!$H$31:$H$60,'CF.1'!E55,'CF.2'!$J$31:$J$60)+SUMIF('CF.2'!$K$31:$K$60,'CF.1'!E55,'CF.2'!$M$31:$M$60)</f>
        <v>0</v>
      </c>
      <c r="P55" s="1529">
        <f>SUMIF('CF.2'!$H$65:$H$108,'CF.1'!E55,'CF.2'!$J$65:$J$108)+SUMIF('CF.2'!$K$65:$K$108,'CF.1'!E55,'CF.2'!$M$65:$M$108)</f>
        <v>0</v>
      </c>
      <c r="Q55" s="1529">
        <f>SUMIF('CF.2'!$H$112:$H$118,'CF.1'!E55,'CF.2'!$J$112:$J$118)+SUMIF('CF.2'!$K$112:$K$118,'CF.1'!E55,'CF.2'!$M$112:$M$118)</f>
        <v>0</v>
      </c>
      <c r="R55" s="1529">
        <f>SUMIF('CF.2'!$H$123:$H$134,'CF.1'!E55,'CF.2'!$J$123:$J$134)+SUMIF('CF.2'!$K$123:$K$134,'CF.1'!E55,'CF.2'!$M$123:$M$134)</f>
        <v>0</v>
      </c>
      <c r="S55" s="1530">
        <f t="shared" si="8"/>
        <v>0</v>
      </c>
      <c r="U55" s="1532">
        <f t="shared" si="9"/>
        <v>0</v>
      </c>
    </row>
    <row r="56" spans="3:26" ht="18" customHeight="1">
      <c r="C56" s="1359">
        <v>1</v>
      </c>
      <c r="D56" s="1527" t="s">
        <v>772</v>
      </c>
      <c r="E56" s="1501" t="s">
        <v>772</v>
      </c>
      <c r="F56" s="1528"/>
      <c r="G56" s="1501" t="s">
        <v>260</v>
      </c>
      <c r="H56" s="1825">
        <v>0</v>
      </c>
      <c r="I56" s="1826">
        <v>0</v>
      </c>
      <c r="J56" s="1826">
        <v>0</v>
      </c>
      <c r="K56" s="1826">
        <v>0</v>
      </c>
      <c r="L56" s="1530">
        <f t="shared" si="7"/>
        <v>0</v>
      </c>
      <c r="N56" s="1531">
        <f>SUMIF('CF.2'!$H$5:$H$25,'CF.1'!E56,'CF.2'!$J$5:$J$25)-SUMIF('CF.2'!$K$5:$K$25,'CF.1'!E56,'CF.2'!$M$5:$M$25)</f>
        <v>0</v>
      </c>
      <c r="O56" s="1529">
        <f>SUMIF('CF.2'!$H$31:$H$60,'CF.1'!E56,'CF.2'!$J$31:$J$60)+SUMIF('CF.2'!$K$31:$K$60,'CF.1'!E56,'CF.2'!$M$31:$M$60)</f>
        <v>0</v>
      </c>
      <c r="P56" s="1529">
        <f>SUMIF('CF.2'!$H$65:$H$108,'CF.1'!E56,'CF.2'!$J$65:$J$108)+SUMIF('CF.2'!$K$65:$K$108,'CF.1'!E56,'CF.2'!$M$65:$M$108)</f>
        <v>0</v>
      </c>
      <c r="Q56" s="1529">
        <f>SUMIF('CF.2'!$H$112:$H$118,'CF.1'!E56,'CF.2'!$J$112:$J$118)+SUMIF('CF.2'!$K$112:$K$118,'CF.1'!E56,'CF.2'!$M$112:$M$118)</f>
        <v>0</v>
      </c>
      <c r="R56" s="1529">
        <f>SUMIF('CF.2'!$H$123:$H$134,'CF.1'!E56,'CF.2'!$J$123:$J$134)+SUMIF('CF.2'!$K$123:$K$134,'CF.1'!E56,'CF.2'!$M$123:$M$134)</f>
        <v>0</v>
      </c>
      <c r="S56" s="1530">
        <f t="shared" si="8"/>
        <v>0</v>
      </c>
      <c r="U56" s="1532">
        <f t="shared" si="9"/>
        <v>0</v>
      </c>
    </row>
    <row r="57" spans="3:26" ht="18" customHeight="1">
      <c r="C57" s="1359">
        <v>1</v>
      </c>
      <c r="D57" s="1527" t="s">
        <v>773</v>
      </c>
      <c r="E57" s="1501" t="s">
        <v>773</v>
      </c>
      <c r="F57" s="1528"/>
      <c r="G57" s="1501" t="s">
        <v>774</v>
      </c>
      <c r="H57" s="1825">
        <v>0</v>
      </c>
      <c r="I57" s="1826">
        <v>0</v>
      </c>
      <c r="J57" s="1826">
        <v>0</v>
      </c>
      <c r="K57" s="1826">
        <v>0</v>
      </c>
      <c r="L57" s="1530">
        <f t="shared" si="7"/>
        <v>0</v>
      </c>
      <c r="N57" s="1531">
        <f>SUMIF('CF.2'!$H$5:$H$25,'CF.1'!E57,'CF.2'!$J$5:$J$25)-SUMIF('CF.2'!$K$5:$K$25,'CF.1'!E57,'CF.2'!$M$5:$M$25)</f>
        <v>0</v>
      </c>
      <c r="O57" s="1529">
        <f>SUMIF('CF.2'!$H$31:$H$60,'CF.1'!E57,'CF.2'!$J$31:$J$60)+SUMIF('CF.2'!$K$31:$K$60,'CF.1'!E57,'CF.2'!$M$31:$M$60)</f>
        <v>0</v>
      </c>
      <c r="P57" s="1529">
        <f>SUMIF('CF.2'!$H$65:$H$108,'CF.1'!E57,'CF.2'!$J$65:$J$108)+SUMIF('CF.2'!$K$65:$K$108,'CF.1'!E57,'CF.2'!$M$65:$M$108)</f>
        <v>0</v>
      </c>
      <c r="Q57" s="1529">
        <f>SUMIF('CF.2'!$H$112:$H$118,'CF.1'!E57,'CF.2'!$J$112:$J$118)+SUMIF('CF.2'!$K$112:$K$118,'CF.1'!E57,'CF.2'!$M$112:$M$118)</f>
        <v>0</v>
      </c>
      <c r="R57" s="1529">
        <f>SUMIF('CF.2'!$H$123:$H$134,'CF.1'!E57,'CF.2'!$J$123:$J$134)+SUMIF('CF.2'!$K$123:$K$134,'CF.1'!E57,'CF.2'!$M$123:$M$134)</f>
        <v>0</v>
      </c>
      <c r="S57" s="1530">
        <f t="shared" si="8"/>
        <v>0</v>
      </c>
      <c r="U57" s="1532">
        <f t="shared" si="9"/>
        <v>0</v>
      </c>
    </row>
    <row r="58" spans="3:26" ht="18" customHeight="1">
      <c r="C58" s="1359">
        <v>1</v>
      </c>
      <c r="D58" s="1527" t="s">
        <v>775</v>
      </c>
      <c r="E58" s="1501" t="s">
        <v>775</v>
      </c>
      <c r="F58" s="1528"/>
      <c r="G58" s="1501" t="s">
        <v>776</v>
      </c>
      <c r="H58" s="1825">
        <v>0</v>
      </c>
      <c r="I58" s="1826">
        <v>0</v>
      </c>
      <c r="J58" s="1826">
        <v>0</v>
      </c>
      <c r="K58" s="1826">
        <v>0</v>
      </c>
      <c r="L58" s="1530">
        <f t="shared" si="7"/>
        <v>0</v>
      </c>
      <c r="N58" s="1531">
        <f>SUMIF('CF.2'!$H$5:$H$25,'CF.1'!E58,'CF.2'!$J$5:$J$25)-SUMIF('CF.2'!$K$5:$K$25,'CF.1'!E58,'CF.2'!$M$5:$M$25)</f>
        <v>0</v>
      </c>
      <c r="O58" s="1529">
        <f>SUMIF('CF.2'!$H$31:$H$60,'CF.1'!E58,'CF.2'!$J$31:$J$60)+SUMIF('CF.2'!$K$31:$K$60,'CF.1'!E58,'CF.2'!$M$31:$M$60)</f>
        <v>0</v>
      </c>
      <c r="P58" s="1529">
        <f>SUMIF('CF.2'!$H$65:$H$108,'CF.1'!E58,'CF.2'!$J$65:$J$108)+SUMIF('CF.2'!$K$65:$K$108,'CF.1'!E58,'CF.2'!$M$65:$M$108)</f>
        <v>0</v>
      </c>
      <c r="Q58" s="1529">
        <f>SUMIF('CF.2'!$H$112:$H$118,'CF.1'!E58,'CF.2'!$J$112:$J$118)+SUMIF('CF.2'!$K$112:$K$118,'CF.1'!E58,'CF.2'!$M$112:$M$118)</f>
        <v>0</v>
      </c>
      <c r="R58" s="1529">
        <f>SUMIF('CF.2'!$H$123:$H$134,'CF.1'!E58,'CF.2'!$J$123:$J$134)+SUMIF('CF.2'!$K$123:$K$134,'CF.1'!E58,'CF.2'!$M$123:$M$134)</f>
        <v>0</v>
      </c>
      <c r="S58" s="1530">
        <f t="shared" si="8"/>
        <v>0</v>
      </c>
      <c r="U58" s="1532">
        <f t="shared" si="9"/>
        <v>0</v>
      </c>
    </row>
    <row r="59" spans="3:26" ht="18" customHeight="1">
      <c r="C59" s="1359">
        <v>1</v>
      </c>
      <c r="D59" s="1527" t="s">
        <v>777</v>
      </c>
      <c r="E59" s="1501" t="s">
        <v>777</v>
      </c>
      <c r="F59" s="1528"/>
      <c r="G59" s="1501" t="s">
        <v>778</v>
      </c>
      <c r="H59" s="1825">
        <v>0</v>
      </c>
      <c r="I59" s="1826">
        <v>0</v>
      </c>
      <c r="J59" s="1826">
        <v>0</v>
      </c>
      <c r="K59" s="1826">
        <v>0</v>
      </c>
      <c r="L59" s="1530">
        <f t="shared" si="7"/>
        <v>0</v>
      </c>
      <c r="N59" s="1531">
        <f>SUMIF('CF.2'!$H$5:$H$25,'CF.1'!E59,'CF.2'!$J$5:$J$25)-SUMIF('CF.2'!$K$5:$K$25,'CF.1'!E59,'CF.2'!$M$5:$M$25)</f>
        <v>0</v>
      </c>
      <c r="O59" s="1529">
        <f>SUMIF('CF.2'!$H$31:$H$60,'CF.1'!E59,'CF.2'!$J$31:$J$60)+SUMIF('CF.2'!$K$31:$K$60,'CF.1'!E59,'CF.2'!$M$31:$M$60)</f>
        <v>0</v>
      </c>
      <c r="P59" s="1529">
        <f>SUMIF('CF.2'!$H$65:$H$108,'CF.1'!E59,'CF.2'!$J$65:$J$108)+SUMIF('CF.2'!$K$65:$K$108,'CF.1'!E59,'CF.2'!$M$65:$M$108)</f>
        <v>0</v>
      </c>
      <c r="Q59" s="1529">
        <f>SUMIF('CF.2'!$H$112:$H$118,'CF.1'!E59,'CF.2'!$J$112:$J$118)+SUMIF('CF.2'!$K$112:$K$118,'CF.1'!E59,'CF.2'!$M$112:$M$118)</f>
        <v>0</v>
      </c>
      <c r="R59" s="1529">
        <f>SUMIF('CF.2'!$H$123:$H$134,'CF.1'!E59,'CF.2'!$J$123:$J$134)+SUMIF('CF.2'!$K$123:$K$134,'CF.1'!E59,'CF.2'!$M$123:$M$134)</f>
        <v>0</v>
      </c>
      <c r="S59" s="1530">
        <f t="shared" si="8"/>
        <v>0</v>
      </c>
      <c r="U59" s="1532">
        <f t="shared" si="9"/>
        <v>0</v>
      </c>
    </row>
    <row r="60" spans="3:26" ht="18" customHeight="1">
      <c r="C60" s="1359">
        <v>1</v>
      </c>
      <c r="D60" s="1527" t="s">
        <v>779</v>
      </c>
      <c r="E60" s="1501" t="s">
        <v>779</v>
      </c>
      <c r="F60" s="1528"/>
      <c r="G60" s="1501" t="s">
        <v>780</v>
      </c>
      <c r="H60" s="1825">
        <v>0</v>
      </c>
      <c r="I60" s="1826">
        <v>0</v>
      </c>
      <c r="J60" s="1826">
        <v>0</v>
      </c>
      <c r="K60" s="1826">
        <v>0</v>
      </c>
      <c r="L60" s="1530">
        <f t="shared" si="7"/>
        <v>0</v>
      </c>
      <c r="N60" s="1531">
        <f>SUMIF('CF.2'!$H$5:$H$25,'CF.1'!E60,'CF.2'!$J$5:$J$25)-SUMIF('CF.2'!$K$5:$K$25,'CF.1'!E60,'CF.2'!$M$5:$M$25)</f>
        <v>0</v>
      </c>
      <c r="O60" s="1529">
        <f>SUMIF('CF.2'!$H$31:$H$60,'CF.1'!E60,'CF.2'!$J$31:$J$60)+SUMIF('CF.2'!$K$31:$K$60,'CF.1'!E60,'CF.2'!$M$31:$M$60)</f>
        <v>0</v>
      </c>
      <c r="P60" s="1529">
        <f>SUMIF('CF.2'!$H$65:$H$108,'CF.1'!E60,'CF.2'!$J$65:$J$108)+SUMIF('CF.2'!$K$65:$K$108,'CF.1'!E60,'CF.2'!$M$65:$M$108)</f>
        <v>0</v>
      </c>
      <c r="Q60" s="1529">
        <f>SUMIF('CF.2'!$H$112:$H$118,'CF.1'!E60,'CF.2'!$J$112:$J$118)+SUMIF('CF.2'!$K$112:$K$118,'CF.1'!E60,'CF.2'!$M$112:$M$118)</f>
        <v>0</v>
      </c>
      <c r="R60" s="1529">
        <f>SUMIF('CF.2'!$H$123:$H$134,'CF.1'!E60,'CF.2'!$J$123:$J$134)+SUMIF('CF.2'!$K$123:$K$134,'CF.1'!E60,'CF.2'!$M$123:$M$134)</f>
        <v>0</v>
      </c>
      <c r="S60" s="1530">
        <f t="shared" si="8"/>
        <v>0</v>
      </c>
      <c r="U60" s="1532">
        <f t="shared" si="9"/>
        <v>0</v>
      </c>
    </row>
    <row r="61" spans="3:26" ht="18" customHeight="1">
      <c r="C61" s="1359">
        <v>1</v>
      </c>
      <c r="D61" s="1527" t="s">
        <v>781</v>
      </c>
      <c r="E61" s="1501" t="s">
        <v>781</v>
      </c>
      <c r="F61" s="1528" t="s">
        <v>1952</v>
      </c>
      <c r="G61" s="1501" t="s">
        <v>688</v>
      </c>
      <c r="H61" s="1825">
        <v>0</v>
      </c>
      <c r="I61" s="1826">
        <v>0</v>
      </c>
      <c r="J61" s="1826">
        <v>0</v>
      </c>
      <c r="K61" s="1826">
        <v>0</v>
      </c>
      <c r="L61" s="1530">
        <f t="shared" si="7"/>
        <v>0</v>
      </c>
      <c r="N61" s="1531">
        <f>SUMIF('CF.2'!$H$5:$H$25,'CF.1'!E61,'CF.2'!$J$5:$J$25)-SUMIF('CF.2'!$K$5:$K$25,'CF.1'!E61,'CF.2'!$M$5:$M$25)</f>
        <v>0</v>
      </c>
      <c r="O61" s="1529">
        <f>SUMIF('CF.2'!$H$31:$H$60,'CF.1'!E61,'CF.2'!$J$31:$J$60)+SUMIF('CF.2'!$K$31:$K$60,'CF.1'!E61,'CF.2'!$M$31:$M$60)</f>
        <v>0</v>
      </c>
      <c r="P61" s="1529">
        <f>SUMIF('CF.2'!$H$65:$H$108,'CF.1'!E61,'CF.2'!$J$65:$J$108)+SUMIF('CF.2'!$K$65:$K$108,'CF.1'!E61,'CF.2'!$M$65:$M$108)</f>
        <v>0</v>
      </c>
      <c r="Q61" s="1529">
        <f>SUMIF('CF.2'!$H$112:$H$118,'CF.1'!E61,'CF.2'!$J$112:$J$118)+SUMIF('CF.2'!$K$112:$K$118,'CF.1'!E61,'CF.2'!$M$112:$M$118)</f>
        <v>0</v>
      </c>
      <c r="R61" s="1529">
        <f>SUMIF('CF.2'!$H$123:$H$134,'CF.1'!E61,'CF.2'!$J$123:$J$134)+SUMIF('CF.2'!$K$123:$K$134,'CF.1'!E61,'CF.2'!$M$123:$M$134)</f>
        <v>0</v>
      </c>
      <c r="S61" s="1530">
        <f t="shared" si="8"/>
        <v>0</v>
      </c>
      <c r="U61" s="1532">
        <f t="shared" si="9"/>
        <v>0</v>
      </c>
    </row>
    <row r="62" spans="3:26" ht="18" customHeight="1">
      <c r="C62" s="1359">
        <v>1</v>
      </c>
      <c r="D62" s="1527" t="s">
        <v>782</v>
      </c>
      <c r="E62" s="1501" t="s">
        <v>782</v>
      </c>
      <c r="F62" s="1528" t="s">
        <v>681</v>
      </c>
      <c r="G62" s="1501" t="s">
        <v>681</v>
      </c>
      <c r="H62" s="1825">
        <v>140061652</v>
      </c>
      <c r="I62" s="1826">
        <v>55535961</v>
      </c>
      <c r="J62" s="1826">
        <v>372693</v>
      </c>
      <c r="K62" s="1827">
        <v>46829064</v>
      </c>
      <c r="L62" s="1530">
        <f t="shared" si="7"/>
        <v>242799370</v>
      </c>
      <c r="N62" s="1531">
        <f>SUMIF('CF.2'!$H$5:$H$25,'CF.1'!E62,'CF.2'!$J$5:$J$25)-SUMIF('CF.2'!$K$5:$K$25,'CF.1'!E62,'CF.2'!$M$5:$M$25)</f>
        <v>0</v>
      </c>
      <c r="O62" s="1529">
        <f>SUMIF('CF.2'!$H$31:$H$60,'CF.1'!E62,'CF.2'!$J$31:$J$60)+SUMIF('CF.2'!$K$31:$K$60,'CF.1'!E62,'CF.2'!$M$31:$M$60)</f>
        <v>0</v>
      </c>
      <c r="P62" s="1529">
        <f>SUMIF('CF.2'!$H$65:$H$108,'CF.1'!E62,'CF.2'!$J$65:$J$108)+SUMIF('CF.2'!$K$65:$K$108,'CF.1'!E62,'CF.2'!$M$65:$M$108)</f>
        <v>-46841095</v>
      </c>
      <c r="Q62" s="1529">
        <f>SUMIF('CF.2'!$H$112:$H$118,'CF.1'!E62,'CF.2'!$J$112:$J$118)+SUMIF('CF.2'!$K$112:$K$118,'CF.1'!E62,'CF.2'!$M$112:$M$118)</f>
        <v>0</v>
      </c>
      <c r="R62" s="1529">
        <f>SUMIF('CF.2'!$H$123:$H$134,'CF.1'!E62,'CF.2'!$J$123:$J$134)+SUMIF('CF.2'!$K$123:$K$134,'CF.1'!E62,'CF.2'!$M$123:$M$134)</f>
        <v>0</v>
      </c>
      <c r="S62" s="1530">
        <f t="shared" si="8"/>
        <v>-46841095</v>
      </c>
      <c r="U62" s="1532">
        <f t="shared" si="9"/>
        <v>195958275</v>
      </c>
      <c r="W62" s="509" t="b">
        <f>ROUND(SUM(T_IS!X88:X91),0)=ROUND(U62,0)</f>
        <v>0</v>
      </c>
      <c r="X62" s="1086"/>
      <c r="Y62" s="1086"/>
      <c r="Z62" s="1086"/>
    </row>
    <row r="63" spans="3:26" ht="18" customHeight="1">
      <c r="C63" s="1359">
        <v>1</v>
      </c>
      <c r="D63" s="1527" t="s">
        <v>783</v>
      </c>
      <c r="E63" s="1501" t="s">
        <v>783</v>
      </c>
      <c r="F63" s="1528" t="s">
        <v>380</v>
      </c>
      <c r="G63" s="1501" t="s">
        <v>380</v>
      </c>
      <c r="H63" s="1825">
        <v>312380950</v>
      </c>
      <c r="I63" s="1826">
        <v>0</v>
      </c>
      <c r="J63" s="1826">
        <v>0</v>
      </c>
      <c r="K63" s="1826">
        <v>2873958</v>
      </c>
      <c r="L63" s="1530">
        <f t="shared" si="7"/>
        <v>315254908</v>
      </c>
      <c r="N63" s="1531">
        <f>SUMIF('CF.2'!$H$5:$H$25,'CF.1'!E63,'CF.2'!$J$5:$J$25)-SUMIF('CF.2'!$K$5:$K$25,'CF.1'!E63,'CF.2'!$M$5:$M$25)</f>
        <v>0</v>
      </c>
      <c r="O63" s="1529">
        <f>SUMIF('CF.2'!$H$31:$H$60,'CF.1'!E63,'CF.2'!$J$31:$J$60)+SUMIF('CF.2'!$K$31:$K$60,'CF.1'!E63,'CF.2'!$M$31:$M$60)</f>
        <v>0</v>
      </c>
      <c r="P63" s="1529">
        <f>SUMIF('CF.2'!$H$65:$H$108,'CF.1'!E63,'CF.2'!$J$65:$J$108)+SUMIF('CF.2'!$K$65:$K$108,'CF.1'!E63,'CF.2'!$M$65:$M$108)</f>
        <v>0</v>
      </c>
      <c r="Q63" s="1529">
        <f>SUMIF('CF.2'!$H$112:$H$118,'CF.1'!E63,'CF.2'!$J$112:$J$118)+SUMIF('CF.2'!$K$112:$K$118,'CF.1'!E63,'CF.2'!$M$112:$M$118)</f>
        <v>0</v>
      </c>
      <c r="R63" s="1529">
        <f>SUMIF('CF.2'!$H$123:$H$134,'CF.1'!E63,'CF.2'!$J$123:$J$134)+SUMIF('CF.2'!$K$123:$K$134,'CF.1'!E63,'CF.2'!$M$123:$M$134)</f>
        <v>0</v>
      </c>
      <c r="S63" s="1530">
        <f t="shared" si="8"/>
        <v>0</v>
      </c>
      <c r="U63" s="1532">
        <f t="shared" si="9"/>
        <v>315254908</v>
      </c>
      <c r="W63" s="1359" t="b">
        <f>U63=T_IS!X126</f>
        <v>0</v>
      </c>
    </row>
    <row r="64" spans="3:26" ht="18" customHeight="1">
      <c r="C64" s="1359">
        <v>1</v>
      </c>
      <c r="D64" s="1527" t="s">
        <v>784</v>
      </c>
      <c r="E64" s="1501" t="s">
        <v>784</v>
      </c>
      <c r="F64" s="1528"/>
      <c r="G64" s="1501" t="s">
        <v>785</v>
      </c>
      <c r="H64" s="1825">
        <v>0</v>
      </c>
      <c r="I64" s="1826">
        <v>0</v>
      </c>
      <c r="J64" s="1826">
        <v>0</v>
      </c>
      <c r="K64" s="1826">
        <v>0</v>
      </c>
      <c r="L64" s="1530">
        <f t="shared" si="7"/>
        <v>0</v>
      </c>
      <c r="N64" s="1531">
        <f>SUMIF('CF.2'!$H$5:$H$25,'CF.1'!E64,'CF.2'!$J$5:$J$25)-SUMIF('CF.2'!$K$5:$K$25,'CF.1'!E64,'CF.2'!$M$5:$M$25)</f>
        <v>0</v>
      </c>
      <c r="O64" s="1529">
        <f>SUMIF('CF.2'!$H$31:$H$60,'CF.1'!E64,'CF.2'!$J$31:$J$60)+SUMIF('CF.2'!$K$31:$K$60,'CF.1'!E64,'CF.2'!$M$31:$M$60)</f>
        <v>0</v>
      </c>
      <c r="P64" s="1529">
        <f>SUMIF('CF.2'!$H$65:$H$108,'CF.1'!E64,'CF.2'!$J$65:$J$108)+SUMIF('CF.2'!$K$65:$K$108,'CF.1'!E64,'CF.2'!$M$65:$M$108)</f>
        <v>0</v>
      </c>
      <c r="Q64" s="1529">
        <f>SUMIF('CF.2'!$H$112:$H$118,'CF.1'!E64,'CF.2'!$J$112:$J$118)+SUMIF('CF.2'!$K$112:$K$118,'CF.1'!E64,'CF.2'!$M$112:$M$118)</f>
        <v>0</v>
      </c>
      <c r="R64" s="1529">
        <f>SUMIF('CF.2'!$H$123:$H$134,'CF.1'!E64,'CF.2'!$J$123:$J$134)+SUMIF('CF.2'!$K$123:$K$134,'CF.1'!E64,'CF.2'!$M$123:$M$134)</f>
        <v>0</v>
      </c>
      <c r="S64" s="1530">
        <f t="shared" si="8"/>
        <v>0</v>
      </c>
      <c r="U64" s="1532">
        <f t="shared" si="9"/>
        <v>0</v>
      </c>
    </row>
    <row r="65" spans="3:30" ht="18" customHeight="1">
      <c r="C65" s="1359">
        <v>1</v>
      </c>
      <c r="D65" s="1527" t="s">
        <v>786</v>
      </c>
      <c r="E65" s="1501" t="s">
        <v>786</v>
      </c>
      <c r="F65" s="1528"/>
      <c r="G65" s="1501" t="s">
        <v>787</v>
      </c>
      <c r="H65" s="1825">
        <v>0</v>
      </c>
      <c r="I65" s="1826">
        <v>0</v>
      </c>
      <c r="J65" s="1826">
        <v>0</v>
      </c>
      <c r="K65" s="1826">
        <v>0</v>
      </c>
      <c r="L65" s="1530">
        <f t="shared" si="7"/>
        <v>0</v>
      </c>
      <c r="N65" s="1531">
        <f>SUMIF('CF.2'!$H$5:$H$25,'CF.1'!E65,'CF.2'!$J$5:$J$25)-SUMIF('CF.2'!$K$5:$K$25,'CF.1'!E65,'CF.2'!$M$5:$M$25)</f>
        <v>0</v>
      </c>
      <c r="O65" s="1529">
        <f>SUMIF('CF.2'!$H$31:$H$60,'CF.1'!E65,'CF.2'!$J$31:$J$60)+SUMIF('CF.2'!$K$31:$K$60,'CF.1'!E65,'CF.2'!$M$31:$M$60)</f>
        <v>0</v>
      </c>
      <c r="P65" s="1529">
        <f>SUMIF('CF.2'!$H$65:$H$108,'CF.1'!E65,'CF.2'!$J$65:$J$108)+SUMIF('CF.2'!$K$65:$K$108,'CF.1'!E65,'CF.2'!$M$65:$M$108)</f>
        <v>0</v>
      </c>
      <c r="Q65" s="1529">
        <f>SUMIF('CF.2'!$H$112:$H$118,'CF.1'!E65,'CF.2'!$J$112:$J$118)+SUMIF('CF.2'!$K$112:$K$118,'CF.1'!E65,'CF.2'!$M$112:$M$118)</f>
        <v>0</v>
      </c>
      <c r="R65" s="1529">
        <f>SUMIF('CF.2'!$H$123:$H$134,'CF.1'!E65,'CF.2'!$J$123:$J$134)+SUMIF('CF.2'!$K$123:$K$134,'CF.1'!E65,'CF.2'!$M$123:$M$134)</f>
        <v>0</v>
      </c>
      <c r="S65" s="1530">
        <f t="shared" si="8"/>
        <v>0</v>
      </c>
      <c r="U65" s="1532">
        <f t="shared" si="9"/>
        <v>0</v>
      </c>
    </row>
    <row r="66" spans="3:30" ht="18" customHeight="1">
      <c r="C66" s="1359">
        <v>1</v>
      </c>
      <c r="D66" s="1527" t="s">
        <v>788</v>
      </c>
      <c r="E66" s="1501" t="s">
        <v>788</v>
      </c>
      <c r="F66" s="1528"/>
      <c r="G66" s="1501" t="s">
        <v>789</v>
      </c>
      <c r="H66" s="1825">
        <v>0</v>
      </c>
      <c r="I66" s="1826">
        <v>0</v>
      </c>
      <c r="J66" s="1826">
        <v>0</v>
      </c>
      <c r="K66" s="1826">
        <v>0</v>
      </c>
      <c r="L66" s="1530">
        <f t="shared" si="7"/>
        <v>0</v>
      </c>
      <c r="N66" s="1531">
        <f>SUMIF('CF.2'!$H$5:$H$25,'CF.1'!E66,'CF.2'!$J$5:$J$25)-SUMIF('CF.2'!$K$5:$K$25,'CF.1'!E66,'CF.2'!$M$5:$M$25)</f>
        <v>0</v>
      </c>
      <c r="O66" s="1529">
        <f>SUMIF('CF.2'!$H$31:$H$60,'CF.1'!E66,'CF.2'!$J$31:$J$60)+SUMIF('CF.2'!$K$31:$K$60,'CF.1'!E66,'CF.2'!$M$31:$M$60)</f>
        <v>0</v>
      </c>
      <c r="P66" s="1529">
        <f>SUMIF('CF.2'!$H$65:$H$108,'CF.1'!E66,'CF.2'!$J$65:$J$108)+SUMIF('CF.2'!$K$65:$K$108,'CF.1'!E66,'CF.2'!$M$65:$M$108)</f>
        <v>0</v>
      </c>
      <c r="Q66" s="1529">
        <f>SUMIF('CF.2'!$H$112:$H$118,'CF.1'!E66,'CF.2'!$J$112:$J$118)+SUMIF('CF.2'!$K$112:$K$118,'CF.1'!E66,'CF.2'!$M$112:$M$118)</f>
        <v>0</v>
      </c>
      <c r="R66" s="1529">
        <f>SUMIF('CF.2'!$H$123:$H$134,'CF.1'!E66,'CF.2'!$J$123:$J$134)+SUMIF('CF.2'!$K$123:$K$134,'CF.1'!E66,'CF.2'!$M$123:$M$134)</f>
        <v>0</v>
      </c>
      <c r="S66" s="1530">
        <f t="shared" si="8"/>
        <v>0</v>
      </c>
      <c r="U66" s="1532">
        <f t="shared" si="9"/>
        <v>0</v>
      </c>
    </row>
    <row r="67" spans="3:30" ht="18" customHeight="1">
      <c r="C67" s="1359">
        <v>1</v>
      </c>
      <c r="D67" s="1527" t="s">
        <v>790</v>
      </c>
      <c r="E67" s="1501" t="s">
        <v>790</v>
      </c>
      <c r="F67" s="1528"/>
      <c r="G67" s="1501" t="s">
        <v>791</v>
      </c>
      <c r="H67" s="1825">
        <v>0</v>
      </c>
      <c r="I67" s="1826">
        <v>0</v>
      </c>
      <c r="J67" s="1826">
        <v>0</v>
      </c>
      <c r="K67" s="1826">
        <v>0</v>
      </c>
      <c r="L67" s="1530">
        <f t="shared" si="7"/>
        <v>0</v>
      </c>
      <c r="N67" s="1531">
        <f>SUMIF('CF.2'!$H$5:$H$25,'CF.1'!E67,'CF.2'!$J$5:$J$25)-SUMIF('CF.2'!$K$5:$K$25,'CF.1'!E67,'CF.2'!$M$5:$M$25)</f>
        <v>0</v>
      </c>
      <c r="O67" s="1529">
        <f>SUMIF('CF.2'!$H$31:$H$60,'CF.1'!E67,'CF.2'!$J$31:$J$60)+SUMIF('CF.2'!$K$31:$K$60,'CF.1'!E67,'CF.2'!$M$31:$M$60)</f>
        <v>0</v>
      </c>
      <c r="P67" s="1529">
        <f>SUMIF('CF.2'!$H$65:$H$108,'CF.1'!E67,'CF.2'!$J$65:$J$108)+SUMIF('CF.2'!$K$65:$K$108,'CF.1'!E67,'CF.2'!$M$65:$M$108)</f>
        <v>0</v>
      </c>
      <c r="Q67" s="1529">
        <f>SUMIF('CF.2'!$H$112:$H$118,'CF.1'!E67,'CF.2'!$J$112:$J$118)+SUMIF('CF.2'!$K$112:$K$118,'CF.1'!E67,'CF.2'!$M$112:$M$118)</f>
        <v>0</v>
      </c>
      <c r="R67" s="1529">
        <f>SUMIF('CF.2'!$H$123:$H$134,'CF.1'!E67,'CF.2'!$J$123:$J$134)+SUMIF('CF.2'!$K$123:$K$134,'CF.1'!E67,'CF.2'!$M$123:$M$134)</f>
        <v>0</v>
      </c>
      <c r="S67" s="1530">
        <f t="shared" si="8"/>
        <v>0</v>
      </c>
      <c r="U67" s="1532">
        <f t="shared" si="9"/>
        <v>0</v>
      </c>
    </row>
    <row r="68" spans="3:30" ht="18" customHeight="1">
      <c r="C68" s="1359">
        <v>1</v>
      </c>
      <c r="D68" s="1527" t="s">
        <v>792</v>
      </c>
      <c r="E68" s="1501" t="s">
        <v>792</v>
      </c>
      <c r="F68" s="1528"/>
      <c r="G68" s="1501" t="s">
        <v>793</v>
      </c>
      <c r="H68" s="1825">
        <v>0</v>
      </c>
      <c r="I68" s="1826">
        <v>0</v>
      </c>
      <c r="J68" s="1826">
        <v>0</v>
      </c>
      <c r="K68" s="1826">
        <v>0</v>
      </c>
      <c r="L68" s="1530">
        <f t="shared" si="7"/>
        <v>0</v>
      </c>
      <c r="N68" s="1531">
        <f>SUMIF('CF.2'!$H$5:$H$25,'CF.1'!E68,'CF.2'!$J$5:$J$25)-SUMIF('CF.2'!$K$5:$K$25,'CF.1'!E68,'CF.2'!$M$5:$M$25)</f>
        <v>0</v>
      </c>
      <c r="O68" s="1529">
        <f>SUMIF('CF.2'!$H$31:$H$60,'CF.1'!E68,'CF.2'!$J$31:$J$60)+SUMIF('CF.2'!$K$31:$K$60,'CF.1'!E68,'CF.2'!$M$31:$M$60)</f>
        <v>0</v>
      </c>
      <c r="P68" s="1529">
        <f>SUMIF('CF.2'!$H$65:$H$108,'CF.1'!E68,'CF.2'!$J$65:$J$108)+SUMIF('CF.2'!$K$65:$K$108,'CF.1'!E68,'CF.2'!$M$65:$M$108)</f>
        <v>0</v>
      </c>
      <c r="Q68" s="1529">
        <f>SUMIF('CF.2'!$H$112:$H$118,'CF.1'!E68,'CF.2'!$J$112:$J$118)+SUMIF('CF.2'!$K$112:$K$118,'CF.1'!E68,'CF.2'!$M$112:$M$118)</f>
        <v>0</v>
      </c>
      <c r="R68" s="1529">
        <f>SUMIF('CF.2'!$H$123:$H$134,'CF.1'!E68,'CF.2'!$J$123:$J$134)+SUMIF('CF.2'!$K$123:$K$134,'CF.1'!E68,'CF.2'!$M$123:$M$134)</f>
        <v>0</v>
      </c>
      <c r="S68" s="1530">
        <f t="shared" si="8"/>
        <v>0</v>
      </c>
      <c r="U68" s="1532">
        <f t="shared" si="9"/>
        <v>0</v>
      </c>
    </row>
    <row r="69" spans="3:30" ht="18" customHeight="1">
      <c r="C69" s="1359">
        <v>1</v>
      </c>
      <c r="D69" s="1527" t="s">
        <v>794</v>
      </c>
      <c r="E69" s="1501" t="s">
        <v>794</v>
      </c>
      <c r="F69" s="1528"/>
      <c r="G69" s="1501" t="s">
        <v>795</v>
      </c>
      <c r="H69" s="1825">
        <v>0</v>
      </c>
      <c r="I69" s="1826">
        <v>0</v>
      </c>
      <c r="J69" s="1826">
        <v>0</v>
      </c>
      <c r="K69" s="1826">
        <v>0</v>
      </c>
      <c r="L69" s="1530">
        <f t="shared" si="7"/>
        <v>0</v>
      </c>
      <c r="N69" s="1531">
        <f>SUMIF('CF.2'!$H$5:$H$25,'CF.1'!E69,'CF.2'!$J$5:$J$25)-SUMIF('CF.2'!$K$5:$K$25,'CF.1'!E69,'CF.2'!$M$5:$M$25)</f>
        <v>0</v>
      </c>
      <c r="O69" s="1529">
        <f>SUMIF('CF.2'!$H$31:$H$60,'CF.1'!E69,'CF.2'!$J$31:$J$60)+SUMIF('CF.2'!$K$31:$K$60,'CF.1'!E69,'CF.2'!$M$31:$M$60)</f>
        <v>0</v>
      </c>
      <c r="P69" s="1529">
        <f>SUMIF('CF.2'!$H$65:$H$108,'CF.1'!E69,'CF.2'!$J$65:$J$108)+SUMIF('CF.2'!$K$65:$K$108,'CF.1'!E69,'CF.2'!$M$65:$M$108)</f>
        <v>0</v>
      </c>
      <c r="Q69" s="1529">
        <f>SUMIF('CF.2'!$H$112:$H$118,'CF.1'!E69,'CF.2'!$J$112:$J$118)+SUMIF('CF.2'!$K$112:$K$118,'CF.1'!E69,'CF.2'!$M$112:$M$118)</f>
        <v>0</v>
      </c>
      <c r="R69" s="1529">
        <f>SUMIF('CF.2'!$H$123:$H$134,'CF.1'!E69,'CF.2'!$J$123:$J$134)+SUMIF('CF.2'!$K$123:$K$134,'CF.1'!E69,'CF.2'!$M$123:$M$134)</f>
        <v>0</v>
      </c>
      <c r="S69" s="1530">
        <f t="shared" si="8"/>
        <v>0</v>
      </c>
      <c r="U69" s="1532">
        <f t="shared" si="9"/>
        <v>0</v>
      </c>
    </row>
    <row r="70" spans="3:30" ht="18" customHeight="1">
      <c r="C70" s="1359">
        <v>1</v>
      </c>
      <c r="D70" s="1527" t="s">
        <v>796</v>
      </c>
      <c r="E70" s="1501" t="s">
        <v>796</v>
      </c>
      <c r="F70" s="1528"/>
      <c r="G70" s="1501" t="s">
        <v>797</v>
      </c>
      <c r="H70" s="1825">
        <v>0</v>
      </c>
      <c r="I70" s="1826">
        <v>0</v>
      </c>
      <c r="J70" s="1826">
        <v>0</v>
      </c>
      <c r="K70" s="1826">
        <v>0</v>
      </c>
      <c r="L70" s="1530">
        <f t="shared" si="7"/>
        <v>0</v>
      </c>
      <c r="N70" s="1531">
        <f>SUMIF('CF.2'!$H$5:$H$25,'CF.1'!E70,'CF.2'!$J$5:$J$25)-SUMIF('CF.2'!$K$5:$K$25,'CF.1'!E70,'CF.2'!$M$5:$M$25)</f>
        <v>0</v>
      </c>
      <c r="O70" s="1529">
        <f>SUMIF('CF.2'!$H$31:$H$60,'CF.1'!E70,'CF.2'!$J$31:$J$60)+SUMIF('CF.2'!$K$31:$K$60,'CF.1'!E70,'CF.2'!$M$31:$M$60)</f>
        <v>0</v>
      </c>
      <c r="P70" s="1529">
        <f>SUMIF('CF.2'!$H$65:$H$108,'CF.1'!E70,'CF.2'!$J$65:$J$108)+SUMIF('CF.2'!$K$65:$K$108,'CF.1'!E70,'CF.2'!$M$65:$M$108)</f>
        <v>0</v>
      </c>
      <c r="Q70" s="1529">
        <f>SUMIF('CF.2'!$H$112:$H$118,'CF.1'!E70,'CF.2'!$J$112:$J$118)+SUMIF('CF.2'!$K$112:$K$118,'CF.1'!E70,'CF.2'!$M$112:$M$118)</f>
        <v>0</v>
      </c>
      <c r="R70" s="1529">
        <f>SUMIF('CF.2'!$H$123:$H$134,'CF.1'!E70,'CF.2'!$J$123:$J$134)+SUMIF('CF.2'!$K$123:$K$134,'CF.1'!E70,'CF.2'!$M$123:$M$134)</f>
        <v>0</v>
      </c>
      <c r="S70" s="1530">
        <f t="shared" si="8"/>
        <v>0</v>
      </c>
      <c r="U70" s="1532">
        <f t="shared" si="9"/>
        <v>0</v>
      </c>
    </row>
    <row r="71" spans="3:30" ht="18" customHeight="1">
      <c r="C71" s="1359">
        <v>1</v>
      </c>
      <c r="D71" s="1527" t="s">
        <v>798</v>
      </c>
      <c r="E71" s="1501" t="s">
        <v>798</v>
      </c>
      <c r="F71" s="1528"/>
      <c r="G71" s="1501" t="s">
        <v>799</v>
      </c>
      <c r="H71" s="1825">
        <v>0</v>
      </c>
      <c r="I71" s="1826">
        <v>0</v>
      </c>
      <c r="J71" s="1826">
        <v>0</v>
      </c>
      <c r="K71" s="1826">
        <v>0</v>
      </c>
      <c r="L71" s="1530">
        <f t="shared" si="7"/>
        <v>0</v>
      </c>
      <c r="N71" s="1531">
        <f>SUMIF('CF.2'!$H$5:$H$25,'CF.1'!E71,'CF.2'!$J$5:$J$25)-SUMIF('CF.2'!$K$5:$K$25,'CF.1'!E71,'CF.2'!$M$5:$M$25)</f>
        <v>0</v>
      </c>
      <c r="O71" s="1529">
        <f>SUMIF('CF.2'!$H$31:$H$60,'CF.1'!E71,'CF.2'!$J$31:$J$60)+SUMIF('CF.2'!$K$31:$K$60,'CF.1'!E71,'CF.2'!$M$31:$M$60)</f>
        <v>0</v>
      </c>
      <c r="P71" s="1529">
        <f>SUMIF('CF.2'!$H$65:$H$108,'CF.1'!E71,'CF.2'!$J$65:$J$108)+SUMIF('CF.2'!$K$65:$K$108,'CF.1'!E71,'CF.2'!$M$65:$M$108)</f>
        <v>0</v>
      </c>
      <c r="Q71" s="1529">
        <f>SUMIF('CF.2'!$H$112:$H$118,'CF.1'!E71,'CF.2'!$J$112:$J$118)+SUMIF('CF.2'!$K$112:$K$118,'CF.1'!E71,'CF.2'!$M$112:$M$118)</f>
        <v>0</v>
      </c>
      <c r="R71" s="1529">
        <f>SUMIF('CF.2'!$H$123:$H$134,'CF.1'!E71,'CF.2'!$J$123:$J$134)+SUMIF('CF.2'!$K$123:$K$134,'CF.1'!E71,'CF.2'!$M$123:$M$134)</f>
        <v>0</v>
      </c>
      <c r="S71" s="1530">
        <f t="shared" si="8"/>
        <v>0</v>
      </c>
      <c r="U71" s="1532">
        <f t="shared" si="9"/>
        <v>0</v>
      </c>
    </row>
    <row r="72" spans="3:30" ht="18" customHeight="1">
      <c r="C72" s="1359">
        <v>1</v>
      </c>
      <c r="D72" s="1527" t="s">
        <v>800</v>
      </c>
      <c r="E72" s="1501" t="s">
        <v>800</v>
      </c>
      <c r="F72" s="1540" t="s">
        <v>2201</v>
      </c>
      <c r="G72" s="1501" t="s">
        <v>801</v>
      </c>
      <c r="H72" s="1825">
        <v>0</v>
      </c>
      <c r="I72" s="1826">
        <v>0</v>
      </c>
      <c r="J72" s="1826">
        <v>0</v>
      </c>
      <c r="K72" s="1826">
        <v>0</v>
      </c>
      <c r="L72" s="1530">
        <f t="shared" si="7"/>
        <v>0</v>
      </c>
      <c r="N72" s="1531">
        <f>SUMIF('CF.2'!$H$5:$H$25,'CF.1'!E72,'CF.2'!$J$5:$J$25)-SUMIF('CF.2'!$K$5:$K$25,'CF.1'!E72,'CF.2'!$M$5:$M$25)</f>
        <v>0</v>
      </c>
      <c r="O72" s="1529">
        <f>SUMIF('CF.2'!$H$31:$H$60,'CF.1'!E72,'CF.2'!$J$31:$J$60)+SUMIF('CF.2'!$K$31:$K$60,'CF.1'!E72,'CF.2'!$M$31:$M$60)</f>
        <v>0</v>
      </c>
      <c r="P72" s="1529">
        <f>SUMIF('CF.2'!$H$65:$H$108,'CF.1'!E72,'CF.2'!$J$65:$J$108)+SUMIF('CF.2'!$K$65:$K$108,'CF.1'!E72,'CF.2'!$M$65:$M$108)</f>
        <v>0</v>
      </c>
      <c r="Q72" s="1529">
        <f>SUMIF('CF.2'!$H$112:$H$118,'CF.1'!E72,'CF.2'!$J$112:$J$118)+SUMIF('CF.2'!$K$112:$K$118,'CF.1'!E72,'CF.2'!$M$112:$M$118)</f>
        <v>0</v>
      </c>
      <c r="R72" s="1529">
        <f>SUMIF('CF.2'!$H$123:$H$134,'CF.1'!E72,'CF.2'!$J$123:$J$134)+SUMIF('CF.2'!$K$123:$K$134,'CF.1'!E72,'CF.2'!$M$123:$M$134)</f>
        <v>0</v>
      </c>
      <c r="S72" s="1530">
        <f t="shared" si="8"/>
        <v>0</v>
      </c>
      <c r="U72" s="1532">
        <f t="shared" si="9"/>
        <v>0</v>
      </c>
      <c r="W72" s="1359" t="b">
        <f>U72=T_IS!X98</f>
        <v>1</v>
      </c>
    </row>
    <row r="73" spans="3:30" s="1542" customFormat="1" ht="18" customHeight="1">
      <c r="C73" s="1359">
        <v>1</v>
      </c>
      <c r="D73" s="1541" t="s">
        <v>736</v>
      </c>
      <c r="E73" s="1542" t="s">
        <v>1767</v>
      </c>
      <c r="F73" s="1543" t="s">
        <v>686</v>
      </c>
      <c r="G73" s="1542" t="s">
        <v>1766</v>
      </c>
      <c r="H73" s="1825">
        <v>0</v>
      </c>
      <c r="I73" s="1826">
        <v>0</v>
      </c>
      <c r="J73" s="1826">
        <v>0</v>
      </c>
      <c r="K73" s="1826">
        <v>0</v>
      </c>
      <c r="L73" s="1530">
        <f t="shared" si="7"/>
        <v>0</v>
      </c>
      <c r="N73" s="1545">
        <f>SUMIF('CF.2'!$H$5:$H$25,'CF.1'!E73,'CF.2'!$J$5:$J$25)-SUMIF('CF.2'!$K$5:$K$25,'CF.1'!E73,'CF.2'!$M$5:$M$25)</f>
        <v>0</v>
      </c>
      <c r="O73" s="1546">
        <f>SUMIF('CF.2'!$H$31:$H$60,'CF.1'!E73,'CF.2'!$J$31:$J$60)+SUMIF('CF.2'!$K$31:$K$60,'CF.1'!E73,'CF.2'!$M$31:$M$60)</f>
        <v>0</v>
      </c>
      <c r="P73" s="1546">
        <f>SUMIF('CF.2'!$H$65:$H$108,'CF.1'!E73,'CF.2'!$J$65:$J$108)+SUMIF('CF.2'!$K$65:$K$108,'CF.1'!E73,'CF.2'!$M$65:$M$108)</f>
        <v>0</v>
      </c>
      <c r="Q73" s="1546">
        <f>SUMIF('CF.2'!$H$112:$H$118,'CF.1'!E73,'CF.2'!$J$112:$J$118)+SUMIF('CF.2'!$K$112:$K$118,'CF.1'!E73,'CF.2'!$M$112:$M$118)</f>
        <v>0</v>
      </c>
      <c r="R73" s="1546">
        <f>SUMIF('CF.2'!$H$123:$H$134,'CF.1'!E73,'CF.2'!$J$123:$J$134)+SUMIF('CF.2'!$K$123:$K$134,'CF.1'!E73,'CF.2'!$M$123:$M$134)</f>
        <v>0</v>
      </c>
      <c r="S73" s="1544">
        <f t="shared" si="8"/>
        <v>0</v>
      </c>
      <c r="U73" s="1532">
        <f t="shared" si="9"/>
        <v>0</v>
      </c>
      <c r="X73" s="1359"/>
      <c r="Y73" s="1359"/>
      <c r="Z73" s="1359"/>
      <c r="AD73" s="1359"/>
    </row>
    <row r="74" spans="3:30" ht="18" customHeight="1">
      <c r="C74" s="1359">
        <v>1</v>
      </c>
      <c r="D74" s="1527" t="s">
        <v>802</v>
      </c>
      <c r="E74" s="1501" t="s">
        <v>802</v>
      </c>
      <c r="F74" s="1540" t="s">
        <v>2547</v>
      </c>
      <c r="G74" s="1254" t="s">
        <v>803</v>
      </c>
      <c r="H74" s="1825">
        <v>42135654</v>
      </c>
      <c r="I74" s="1826">
        <v>0</v>
      </c>
      <c r="J74" s="1826">
        <v>0</v>
      </c>
      <c r="K74" s="1826">
        <v>0</v>
      </c>
      <c r="L74" s="1530">
        <f t="shared" si="7"/>
        <v>42135654</v>
      </c>
      <c r="N74" s="1531">
        <f>SUMIF('CF.2'!$H$5:$H$25,'CF.1'!E74,'CF.2'!$J$5:$J$25)-SUMIF('CF.2'!$K$5:$K$25,'CF.1'!E74,'CF.2'!$M$5:$M$25)</f>
        <v>0</v>
      </c>
      <c r="O74" s="1529">
        <f>SUMIF('CF.2'!$H$31:$H$60,'CF.1'!E74,'CF.2'!$J$31:$J$60)+SUMIF('CF.2'!$K$31:$K$60,'CF.1'!E74,'CF.2'!$M$31:$M$60)</f>
        <v>0</v>
      </c>
      <c r="P74" s="1529">
        <f>SUMIF('CF.2'!$H$65:$H$108,'CF.1'!E74,'CF.2'!$J$65:$J$108)+SUMIF('CF.2'!$K$65:$K$108,'CF.1'!E74,'CF.2'!$M$65:$M$108)</f>
        <v>0</v>
      </c>
      <c r="Q74" s="1529">
        <f>SUMIF('CF.2'!$H$112:$H$118,'CF.1'!E74,'CF.2'!$J$112:$J$118)+SUMIF('CF.2'!$K$112:$K$118,'CF.1'!E74,'CF.2'!$M$112:$M$118)</f>
        <v>0</v>
      </c>
      <c r="R74" s="1529">
        <f>SUMIF('CF.2'!$H$123:$H$134,'CF.1'!E74,'CF.2'!$J$123:$J$134)+SUMIF('CF.2'!$K$123:$K$134,'CF.1'!E74,'CF.2'!$M$123:$M$134)</f>
        <v>0</v>
      </c>
      <c r="S74" s="1530">
        <f t="shared" si="8"/>
        <v>0</v>
      </c>
      <c r="U74" s="1532">
        <f t="shared" si="9"/>
        <v>42135654</v>
      </c>
      <c r="X74" s="1542"/>
      <c r="Z74" s="1542"/>
    </row>
    <row r="75" spans="3:30" ht="18" customHeight="1">
      <c r="C75" s="1359">
        <v>1</v>
      </c>
      <c r="D75" s="1520" t="s">
        <v>804</v>
      </c>
      <c r="E75" s="1521" t="s">
        <v>804</v>
      </c>
      <c r="F75" s="1522"/>
      <c r="G75" s="1521" t="s">
        <v>805</v>
      </c>
      <c r="H75" s="1823">
        <f>SUM(H76:H126)</f>
        <v>-50697165460</v>
      </c>
      <c r="I75" s="1823">
        <f>SUM(I76:I126)</f>
        <v>-5363942</v>
      </c>
      <c r="J75" s="1823">
        <f>SUM(J76:J126)</f>
        <v>0</v>
      </c>
      <c r="K75" s="1823">
        <f>SUM(K76:K126)</f>
        <v>-103180870</v>
      </c>
      <c r="L75" s="1524">
        <f>SUM(L76:L126)</f>
        <v>-50805710272</v>
      </c>
      <c r="N75" s="1525">
        <f t="shared" ref="N75:S75" si="10">SUM(N76:N126)</f>
        <v>0</v>
      </c>
      <c r="O75" s="1523">
        <f t="shared" si="10"/>
        <v>0</v>
      </c>
      <c r="P75" s="1523">
        <f t="shared" si="10"/>
        <v>1590698630</v>
      </c>
      <c r="Q75" s="1523">
        <f t="shared" si="10"/>
        <v>0</v>
      </c>
      <c r="R75" s="1523">
        <f t="shared" si="10"/>
        <v>5865724</v>
      </c>
      <c r="S75" s="1524">
        <f t="shared" si="10"/>
        <v>1596564354</v>
      </c>
      <c r="U75" s="1526">
        <f>SUM(U76:U126)</f>
        <v>-49209145918</v>
      </c>
      <c r="V75" s="1359" t="b">
        <f>U75=SUM(U76:U126)</f>
        <v>1</v>
      </c>
      <c r="X75" s="1086"/>
      <c r="Y75" s="1086"/>
      <c r="Z75" s="1086"/>
    </row>
    <row r="76" spans="3:30" ht="18" customHeight="1">
      <c r="C76" s="1359">
        <v>1</v>
      </c>
      <c r="D76" s="1527" t="s">
        <v>806</v>
      </c>
      <c r="E76" s="1501" t="s">
        <v>806</v>
      </c>
      <c r="F76" s="1528" t="s">
        <v>675</v>
      </c>
      <c r="G76" s="1501" t="s">
        <v>675</v>
      </c>
      <c r="H76" s="1825">
        <v>-1557307639</v>
      </c>
      <c r="I76" s="1825">
        <v>0</v>
      </c>
      <c r="J76" s="1826">
        <v>0</v>
      </c>
      <c r="K76" s="1826">
        <v>0</v>
      </c>
      <c r="L76" s="1530">
        <f t="shared" ref="L76:L107" si="11">SUM(H76:K76)</f>
        <v>-1557307639</v>
      </c>
      <c r="N76" s="1531">
        <f>SUMIF('CF.2'!$H$5:$H$25,'CF.1'!E76,'CF.2'!$J$5:$J$25)-SUMIF('CF.2'!$K$5:$K$25,'CF.1'!E76,'CF.2'!$M$5:$M$25)</f>
        <v>0</v>
      </c>
      <c r="O76" s="1529">
        <f>SUMIF('CF.2'!$H$31:$H$60,'CF.1'!E76,'CF.2'!$J$31:$J$60)+SUMIF('CF.2'!$K$31:$K$60,'CF.1'!E76,'CF.2'!$M$31:$M$60)</f>
        <v>0</v>
      </c>
      <c r="P76" s="1529">
        <f>SUMIF('CF.2'!$H$65:$H$108,'CF.1'!E76,'CF.2'!$J$65:$J$108)+SUMIF('CF.2'!$K$65:$K$108,'CF.1'!E76,'CF.2'!$M$65:$M$108)</f>
        <v>0</v>
      </c>
      <c r="Q76" s="1529">
        <f>SUMIF('CF.2'!$H$112:$H$118,'CF.1'!E76,'CF.2'!$J$112:$J$118)+SUMIF('CF.2'!$K$112:$K$118,'CF.1'!E76,'CF.2'!$M$112:$M$118)</f>
        <v>0</v>
      </c>
      <c r="R76" s="1529">
        <f>SUMIF('CF.2'!$H$123:$H$134,'CF.1'!E76,'CF.2'!$J$123:$J$134)+SUMIF('CF.2'!$K$123:$K$134,'CF.1'!E76,'CF.2'!$M$123:$M$134)</f>
        <v>0</v>
      </c>
      <c r="S76" s="1530">
        <f t="shared" ref="S76:S107" si="12">SUM(N76:R76)</f>
        <v>0</v>
      </c>
      <c r="U76" s="1532">
        <f t="shared" ref="U76:U107" si="13">ROUND(S76+L76,0)</f>
        <v>-1557307639</v>
      </c>
      <c r="W76" s="509" t="b">
        <f>U76=-(T_IS!X82+T_IS!X83)</f>
        <v>0</v>
      </c>
    </row>
    <row r="77" spans="3:30" ht="18" customHeight="1">
      <c r="C77" s="1359">
        <v>1</v>
      </c>
      <c r="D77" s="1527" t="s">
        <v>807</v>
      </c>
      <c r="E77" s="1501" t="s">
        <v>807</v>
      </c>
      <c r="F77" s="1528" t="s">
        <v>1419</v>
      </c>
      <c r="G77" s="1501" t="s">
        <v>808</v>
      </c>
      <c r="H77" s="1825">
        <v>0</v>
      </c>
      <c r="I77" s="1826">
        <v>0</v>
      </c>
      <c r="J77" s="1826">
        <v>0</v>
      </c>
      <c r="K77" s="1826">
        <v>0</v>
      </c>
      <c r="L77" s="1530">
        <f t="shared" si="11"/>
        <v>0</v>
      </c>
      <c r="N77" s="1531">
        <f>SUMIF('CF.2'!$H$5:$H$25,'CF.1'!E77,'CF.2'!$J$5:$J$25)-SUMIF('CF.2'!$K$5:$K$25,'CF.1'!E77,'CF.2'!$M$5:$M$25)</f>
        <v>0</v>
      </c>
      <c r="O77" s="1529">
        <f>SUMIF('CF.2'!$H$31:$H$60,'CF.1'!E77,'CF.2'!$J$31:$J$60)+SUMIF('CF.2'!$K$31:$K$60,'CF.1'!E77,'CF.2'!$M$31:$M$60)</f>
        <v>0</v>
      </c>
      <c r="P77" s="1529">
        <f>SUMIF('CF.2'!$H$65:$H$108,'CF.1'!E77,'CF.2'!$J$65:$J$108)+SUMIF('CF.2'!$K$65:$K$108,'CF.1'!E77,'CF.2'!$M$65:$M$108)</f>
        <v>0</v>
      </c>
      <c r="Q77" s="1529">
        <f>SUMIF('CF.2'!$H$112:$H$118,'CF.1'!E77,'CF.2'!$J$112:$J$118)+SUMIF('CF.2'!$K$112:$K$118,'CF.1'!E77,'CF.2'!$M$112:$M$118)</f>
        <v>0</v>
      </c>
      <c r="R77" s="1529">
        <f>SUMIF('CF.2'!$H$123:$H$134,'CF.1'!E77,'CF.2'!$J$123:$J$134)+SUMIF('CF.2'!$K$123:$K$134,'CF.1'!E77,'CF.2'!$M$123:$M$134)</f>
        <v>0</v>
      </c>
      <c r="S77" s="1530">
        <f t="shared" si="12"/>
        <v>0</v>
      </c>
      <c r="U77" s="1532">
        <f t="shared" si="13"/>
        <v>0</v>
      </c>
    </row>
    <row r="78" spans="3:30" ht="18" customHeight="1">
      <c r="C78" s="1359">
        <v>1</v>
      </c>
      <c r="D78" s="1527" t="s">
        <v>809</v>
      </c>
      <c r="E78" s="1501" t="s">
        <v>809</v>
      </c>
      <c r="F78" s="1528" t="s">
        <v>881</v>
      </c>
      <c r="G78" s="1501" t="s">
        <v>810</v>
      </c>
      <c r="H78" s="1825">
        <v>0</v>
      </c>
      <c r="I78" s="1826">
        <v>0</v>
      </c>
      <c r="J78" s="1826">
        <v>0</v>
      </c>
      <c r="K78" s="1826">
        <v>0</v>
      </c>
      <c r="L78" s="1530">
        <f t="shared" si="11"/>
        <v>0</v>
      </c>
      <c r="N78" s="1531">
        <f>SUMIF('CF.2'!$H$5:$H$25,'CF.1'!E78,'CF.2'!$J$5:$J$25)-SUMIF('CF.2'!$K$5:$K$25,'CF.1'!E78,'CF.2'!$M$5:$M$25)</f>
        <v>0</v>
      </c>
      <c r="O78" s="1529">
        <f>SUMIF('CF.2'!$H$31:$H$60,'CF.1'!E78,'CF.2'!$J$31:$J$60)+SUMIF('CF.2'!$K$31:$K$60,'CF.1'!E78,'CF.2'!$M$31:$M$60)</f>
        <v>0</v>
      </c>
      <c r="P78" s="1529">
        <f>SUMIF('CF.2'!$H$65:$H$108,'CF.1'!E78,'CF.2'!$J$65:$J$108)+SUMIF('CF.2'!$K$65:$K$108,'CF.1'!E78,'CF.2'!$M$65:$M$108)</f>
        <v>0</v>
      </c>
      <c r="Q78" s="1529">
        <f>SUMIF('CF.2'!$H$112:$H$118,'CF.1'!E78,'CF.2'!$J$112:$J$118)+SUMIF('CF.2'!$K$112:$K$118,'CF.1'!E78,'CF.2'!$M$112:$M$118)</f>
        <v>0</v>
      </c>
      <c r="R78" s="1529">
        <f>SUMIF('CF.2'!$H$123:$H$134,'CF.1'!E78,'CF.2'!$J$123:$J$134)+SUMIF('CF.2'!$K$123:$K$134,'CF.1'!E78,'CF.2'!$M$123:$M$134)</f>
        <v>0</v>
      </c>
      <c r="S78" s="1530">
        <f t="shared" si="12"/>
        <v>0</v>
      </c>
      <c r="U78" s="1532">
        <f t="shared" si="13"/>
        <v>0</v>
      </c>
    </row>
    <row r="79" spans="3:30" ht="18" customHeight="1">
      <c r="C79" s="1359">
        <v>1</v>
      </c>
      <c r="D79" s="1527" t="s">
        <v>811</v>
      </c>
      <c r="E79" s="1501" t="s">
        <v>811</v>
      </c>
      <c r="F79" s="1528"/>
      <c r="G79" s="1501" t="s">
        <v>812</v>
      </c>
      <c r="H79" s="1825">
        <v>0</v>
      </c>
      <c r="I79" s="1826">
        <v>0</v>
      </c>
      <c r="J79" s="1826">
        <v>0</v>
      </c>
      <c r="K79" s="1826">
        <v>0</v>
      </c>
      <c r="L79" s="1530">
        <f t="shared" si="11"/>
        <v>0</v>
      </c>
      <c r="N79" s="1531">
        <f>SUMIF('CF.2'!$H$5:$H$25,'CF.1'!E79,'CF.2'!$J$5:$J$25)-SUMIF('CF.2'!$K$5:$K$25,'CF.1'!E79,'CF.2'!$M$5:$M$25)</f>
        <v>0</v>
      </c>
      <c r="O79" s="1529">
        <f>SUMIF('CF.2'!$H$31:$H$60,'CF.1'!E79,'CF.2'!$J$31:$J$60)+SUMIF('CF.2'!$K$31:$K$60,'CF.1'!E79,'CF.2'!$M$31:$M$60)</f>
        <v>0</v>
      </c>
      <c r="P79" s="1529">
        <f>SUMIF('CF.2'!$H$65:$H$108,'CF.1'!E79,'CF.2'!$J$65:$J$108)+SUMIF('CF.2'!$K$65:$K$108,'CF.1'!E79,'CF.2'!$M$65:$M$108)</f>
        <v>0</v>
      </c>
      <c r="Q79" s="1529">
        <f>SUMIF('CF.2'!$H$112:$H$118,'CF.1'!E79,'CF.2'!$J$112:$J$118)+SUMIF('CF.2'!$K$112:$K$118,'CF.1'!E79,'CF.2'!$M$112:$M$118)</f>
        <v>0</v>
      </c>
      <c r="R79" s="1529">
        <f>SUMIF('CF.2'!$H$123:$H$134,'CF.1'!E79,'CF.2'!$J$123:$J$134)+SUMIF('CF.2'!$K$123:$K$134,'CF.1'!E79,'CF.2'!$M$123:$M$134)</f>
        <v>0</v>
      </c>
      <c r="S79" s="1530">
        <f t="shared" si="12"/>
        <v>0</v>
      </c>
      <c r="U79" s="1532">
        <f t="shared" si="13"/>
        <v>0</v>
      </c>
    </row>
    <row r="80" spans="3:30" ht="18" customHeight="1">
      <c r="C80" s="1359">
        <v>1</v>
      </c>
      <c r="D80" s="1527" t="s">
        <v>813</v>
      </c>
      <c r="E80" s="1501" t="s">
        <v>813</v>
      </c>
      <c r="F80" s="1528"/>
      <c r="G80" s="1501" t="s">
        <v>814</v>
      </c>
      <c r="H80" s="1825">
        <v>0</v>
      </c>
      <c r="I80" s="1826">
        <v>0</v>
      </c>
      <c r="J80" s="1826">
        <v>0</v>
      </c>
      <c r="K80" s="1826">
        <v>0</v>
      </c>
      <c r="L80" s="1530">
        <f t="shared" si="11"/>
        <v>0</v>
      </c>
      <c r="N80" s="1531">
        <f>SUMIF('CF.2'!$H$5:$H$25,'CF.1'!E80,'CF.2'!$J$5:$J$25)-SUMIF('CF.2'!$K$5:$K$25,'CF.1'!E80,'CF.2'!$M$5:$M$25)</f>
        <v>0</v>
      </c>
      <c r="O80" s="1529">
        <f>SUMIF('CF.2'!$H$31:$H$60,'CF.1'!E80,'CF.2'!$J$31:$J$60)+SUMIF('CF.2'!$K$31:$K$60,'CF.1'!E80,'CF.2'!$M$31:$M$60)</f>
        <v>0</v>
      </c>
      <c r="P80" s="1529">
        <f>SUMIF('CF.2'!$H$65:$H$108,'CF.1'!E80,'CF.2'!$J$65:$J$108)+SUMIF('CF.2'!$K$65:$K$108,'CF.1'!E80,'CF.2'!$M$65:$M$108)</f>
        <v>0</v>
      </c>
      <c r="Q80" s="1529">
        <f>SUMIF('CF.2'!$H$112:$H$118,'CF.1'!E80,'CF.2'!$J$112:$J$118)+SUMIF('CF.2'!$K$112:$K$118,'CF.1'!E80,'CF.2'!$M$112:$M$118)</f>
        <v>0</v>
      </c>
      <c r="R80" s="1529">
        <f>SUMIF('CF.2'!$H$123:$H$134,'CF.1'!E80,'CF.2'!$J$123:$J$134)+SUMIF('CF.2'!$K$123:$K$134,'CF.1'!E80,'CF.2'!$M$123:$M$134)</f>
        <v>0</v>
      </c>
      <c r="S80" s="1530">
        <f t="shared" si="12"/>
        <v>0</v>
      </c>
      <c r="U80" s="1532">
        <f t="shared" si="13"/>
        <v>0</v>
      </c>
    </row>
    <row r="81" spans="3:23" ht="18" customHeight="1">
      <c r="C81" s="1359">
        <v>1</v>
      </c>
      <c r="D81" s="1527" t="s">
        <v>815</v>
      </c>
      <c r="E81" s="1501" t="s">
        <v>815</v>
      </c>
      <c r="F81" s="1528" t="s">
        <v>816</v>
      </c>
      <c r="G81" s="1501" t="s">
        <v>816</v>
      </c>
      <c r="H81" s="1825">
        <v>0</v>
      </c>
      <c r="I81" s="1826">
        <v>0</v>
      </c>
      <c r="J81" s="1826">
        <v>0</v>
      </c>
      <c r="K81" s="1826">
        <v>0</v>
      </c>
      <c r="L81" s="1530">
        <f t="shared" si="11"/>
        <v>0</v>
      </c>
      <c r="N81" s="1531">
        <f>SUMIF('CF.2'!$H$5:$H$25,'CF.1'!E81,'CF.2'!$J$5:$J$25)-SUMIF('CF.2'!$K$5:$K$25,'CF.1'!E81,'CF.2'!$M$5:$M$25)</f>
        <v>0</v>
      </c>
      <c r="O81" s="1529">
        <f>SUMIF('CF.2'!$H$31:$H$60,'CF.1'!E81,'CF.2'!$J$31:$J$60)+SUMIF('CF.2'!$K$31:$K$60,'CF.1'!E81,'CF.2'!$M$31:$M$60)</f>
        <v>0</v>
      </c>
      <c r="P81" s="1529">
        <f>SUMIF('CF.2'!$H$65:$H$108,'CF.1'!E81,'CF.2'!$J$65:$J$108)+SUMIF('CF.2'!$K$65:$K$108,'CF.1'!E81,'CF.2'!$M$65:$M$108)</f>
        <v>0</v>
      </c>
      <c r="Q81" s="1529">
        <f>SUMIF('CF.2'!$H$112:$H$118,'CF.1'!E81,'CF.2'!$J$112:$J$118)+SUMIF('CF.2'!$K$112:$K$118,'CF.1'!E81,'CF.2'!$M$112:$M$118)</f>
        <v>0</v>
      </c>
      <c r="R81" s="1529">
        <f>SUMIF('CF.2'!$H$123:$H$134,'CF.1'!E81,'CF.2'!$J$123:$J$134)+SUMIF('CF.2'!$K$123:$K$134,'CF.1'!E81,'CF.2'!$M$123:$M$134)</f>
        <v>5865724</v>
      </c>
      <c r="S81" s="1530">
        <f t="shared" si="12"/>
        <v>5865724</v>
      </c>
      <c r="U81" s="1532">
        <f t="shared" si="13"/>
        <v>5865724</v>
      </c>
      <c r="W81" s="1359" t="b">
        <f>U81=-T_IS!X119</f>
        <v>1</v>
      </c>
    </row>
    <row r="82" spans="3:23" ht="18" customHeight="1">
      <c r="C82" s="1359">
        <v>1</v>
      </c>
      <c r="D82" s="1527" t="s">
        <v>817</v>
      </c>
      <c r="E82" s="1501" t="s">
        <v>817</v>
      </c>
      <c r="F82" s="1528" t="s">
        <v>2389</v>
      </c>
      <c r="G82" s="1501" t="s">
        <v>818</v>
      </c>
      <c r="H82" s="1825">
        <v>0</v>
      </c>
      <c r="I82" s="1826">
        <v>0</v>
      </c>
      <c r="J82" s="1826">
        <v>0</v>
      </c>
      <c r="K82" s="1826">
        <v>0</v>
      </c>
      <c r="L82" s="1530">
        <f t="shared" si="11"/>
        <v>0</v>
      </c>
      <c r="N82" s="1531">
        <f>SUMIF('CF.2'!$H$5:$H$25,'CF.1'!E82,'CF.2'!$J$5:$J$25)-SUMIF('CF.2'!$K$5:$K$25,'CF.1'!E82,'CF.2'!$M$5:$M$25)</f>
        <v>0</v>
      </c>
      <c r="O82" s="1529">
        <f>SUMIF('CF.2'!$H$31:$H$60,'CF.1'!E82,'CF.2'!$J$31:$J$60)+SUMIF('CF.2'!$K$31:$K$60,'CF.1'!E82,'CF.2'!$M$31:$M$60)</f>
        <v>0</v>
      </c>
      <c r="P82" s="1529">
        <f>SUMIF('CF.2'!$H$65:$H$108,'CF.1'!E82,'CF.2'!$J$65:$J$108)+SUMIF('CF.2'!$K$65:$K$108,'CF.1'!E82,'CF.2'!$M$65:$M$108)</f>
        <v>0</v>
      </c>
      <c r="Q82" s="1529">
        <f>SUMIF('CF.2'!$H$112:$H$118,'CF.1'!E82,'CF.2'!$J$112:$J$118)+SUMIF('CF.2'!$K$112:$K$118,'CF.1'!E82,'CF.2'!$M$112:$M$118)</f>
        <v>0</v>
      </c>
      <c r="R82" s="1529">
        <f>SUMIF('CF.2'!$H$123:$H$134,'CF.1'!E82,'CF.2'!$J$123:$J$134)+SUMIF('CF.2'!$K$123:$K$134,'CF.1'!E82,'CF.2'!$M$123:$M$134)</f>
        <v>0</v>
      </c>
      <c r="S82" s="1530">
        <f t="shared" si="12"/>
        <v>0</v>
      </c>
      <c r="U82" s="1532">
        <f t="shared" si="13"/>
        <v>0</v>
      </c>
    </row>
    <row r="83" spans="3:23" ht="18" customHeight="1">
      <c r="C83" s="1359">
        <v>1</v>
      </c>
      <c r="D83" s="1527" t="s">
        <v>819</v>
      </c>
      <c r="E83" s="1501" t="s">
        <v>819</v>
      </c>
      <c r="F83" s="1528"/>
      <c r="G83" s="1501" t="s">
        <v>820</v>
      </c>
      <c r="H83" s="1825">
        <v>0</v>
      </c>
      <c r="I83" s="1826">
        <v>0</v>
      </c>
      <c r="J83" s="1826">
        <v>0</v>
      </c>
      <c r="K83" s="1826">
        <v>0</v>
      </c>
      <c r="L83" s="1530">
        <f t="shared" si="11"/>
        <v>0</v>
      </c>
      <c r="N83" s="1531">
        <f>SUMIF('CF.2'!$H$5:$H$25,'CF.1'!E83,'CF.2'!$J$5:$J$25)-SUMIF('CF.2'!$K$5:$K$25,'CF.1'!E83,'CF.2'!$M$5:$M$25)</f>
        <v>0</v>
      </c>
      <c r="O83" s="1529">
        <f>SUMIF('CF.2'!$H$31:$H$60,'CF.1'!E83,'CF.2'!$J$31:$J$60)+SUMIF('CF.2'!$K$31:$K$60,'CF.1'!E83,'CF.2'!$M$31:$M$60)</f>
        <v>0</v>
      </c>
      <c r="P83" s="1529">
        <f>SUMIF('CF.2'!$H$65:$H$108,'CF.1'!E83,'CF.2'!$J$65:$J$108)+SUMIF('CF.2'!$K$65:$K$108,'CF.1'!E83,'CF.2'!$M$65:$M$108)</f>
        <v>0</v>
      </c>
      <c r="Q83" s="1529">
        <f>SUMIF('CF.2'!$H$112:$H$118,'CF.1'!E83,'CF.2'!$J$112:$J$118)+SUMIF('CF.2'!$K$112:$K$118,'CF.1'!E83,'CF.2'!$M$112:$M$118)</f>
        <v>0</v>
      </c>
      <c r="R83" s="1529">
        <f>SUMIF('CF.2'!$H$123:$H$134,'CF.1'!E83,'CF.2'!$J$123:$J$134)+SUMIF('CF.2'!$K$123:$K$134,'CF.1'!E83,'CF.2'!$M$123:$M$134)</f>
        <v>0</v>
      </c>
      <c r="S83" s="1530">
        <f t="shared" si="12"/>
        <v>0</v>
      </c>
      <c r="U83" s="1532">
        <f t="shared" si="13"/>
        <v>0</v>
      </c>
    </row>
    <row r="84" spans="3:23" ht="18" customHeight="1">
      <c r="C84" s="1359">
        <v>1</v>
      </c>
      <c r="D84" s="1527" t="s">
        <v>821</v>
      </c>
      <c r="E84" s="1501" t="s">
        <v>821</v>
      </c>
      <c r="F84" s="1528"/>
      <c r="G84" s="1501" t="s">
        <v>822</v>
      </c>
      <c r="H84" s="1825">
        <v>0</v>
      </c>
      <c r="I84" s="1826">
        <v>0</v>
      </c>
      <c r="J84" s="1826">
        <v>0</v>
      </c>
      <c r="K84" s="1826">
        <v>0</v>
      </c>
      <c r="L84" s="1530">
        <f t="shared" si="11"/>
        <v>0</v>
      </c>
      <c r="N84" s="1531">
        <f>SUMIF('CF.2'!$H$5:$H$25,'CF.1'!E84,'CF.2'!$J$5:$J$25)-SUMIF('CF.2'!$K$5:$K$25,'CF.1'!E84,'CF.2'!$M$5:$M$25)</f>
        <v>0</v>
      </c>
      <c r="O84" s="1529">
        <f>SUMIF('CF.2'!$H$31:$H$60,'CF.1'!E84,'CF.2'!$J$31:$J$60)+SUMIF('CF.2'!$K$31:$K$60,'CF.1'!E84,'CF.2'!$M$31:$M$60)</f>
        <v>0</v>
      </c>
      <c r="P84" s="1529">
        <f>SUMIF('CF.2'!$H$65:$H$108,'CF.1'!E84,'CF.2'!$J$65:$J$108)+SUMIF('CF.2'!$K$65:$K$108,'CF.1'!E84,'CF.2'!$M$65:$M$108)</f>
        <v>0</v>
      </c>
      <c r="Q84" s="1529">
        <f>SUMIF('CF.2'!$H$112:$H$118,'CF.1'!E84,'CF.2'!$J$112:$J$118)+SUMIF('CF.2'!$K$112:$K$118,'CF.1'!E84,'CF.2'!$M$112:$M$118)</f>
        <v>0</v>
      </c>
      <c r="R84" s="1529">
        <f>SUMIF('CF.2'!$H$123:$H$134,'CF.1'!E84,'CF.2'!$J$123:$J$134)+SUMIF('CF.2'!$K$123:$K$134,'CF.1'!E84,'CF.2'!$M$123:$M$134)</f>
        <v>0</v>
      </c>
      <c r="S84" s="1530">
        <f t="shared" si="12"/>
        <v>0</v>
      </c>
      <c r="U84" s="1532">
        <f t="shared" si="13"/>
        <v>0</v>
      </c>
    </row>
    <row r="85" spans="3:23" ht="18" customHeight="1">
      <c r="C85" s="1359">
        <v>1</v>
      </c>
      <c r="D85" s="1527" t="s">
        <v>823</v>
      </c>
      <c r="E85" s="1501" t="s">
        <v>823</v>
      </c>
      <c r="F85" s="1528"/>
      <c r="G85" s="1501" t="s">
        <v>824</v>
      </c>
      <c r="H85" s="1825">
        <v>0</v>
      </c>
      <c r="I85" s="1826">
        <v>0</v>
      </c>
      <c r="J85" s="1826">
        <v>0</v>
      </c>
      <c r="K85" s="1826">
        <v>0</v>
      </c>
      <c r="L85" s="1530">
        <f t="shared" si="11"/>
        <v>0</v>
      </c>
      <c r="N85" s="1531">
        <f>SUMIF('CF.2'!$H$5:$H$25,'CF.1'!E85,'CF.2'!$J$5:$J$25)-SUMIF('CF.2'!$K$5:$K$25,'CF.1'!E85,'CF.2'!$M$5:$M$25)</f>
        <v>0</v>
      </c>
      <c r="O85" s="1529">
        <f>SUMIF('CF.2'!$H$31:$H$60,'CF.1'!E85,'CF.2'!$J$31:$J$60)+SUMIF('CF.2'!$K$31:$K$60,'CF.1'!E85,'CF.2'!$M$31:$M$60)</f>
        <v>0</v>
      </c>
      <c r="P85" s="1529">
        <f>SUMIF('CF.2'!$H$65:$H$108,'CF.1'!E85,'CF.2'!$J$65:$J$108)+SUMIF('CF.2'!$K$65:$K$108,'CF.1'!E85,'CF.2'!$M$65:$M$108)</f>
        <v>0</v>
      </c>
      <c r="Q85" s="1529">
        <f>SUMIF('CF.2'!$H$112:$H$118,'CF.1'!E85,'CF.2'!$J$112:$J$118)+SUMIF('CF.2'!$K$112:$K$118,'CF.1'!E85,'CF.2'!$M$112:$M$118)</f>
        <v>0</v>
      </c>
      <c r="R85" s="1529">
        <f>SUMIF('CF.2'!$H$123:$H$134,'CF.1'!E85,'CF.2'!$J$123:$J$134)+SUMIF('CF.2'!$K$123:$K$134,'CF.1'!E85,'CF.2'!$M$123:$M$134)</f>
        <v>0</v>
      </c>
      <c r="S85" s="1530">
        <f t="shared" si="12"/>
        <v>0</v>
      </c>
      <c r="U85" s="1532">
        <f t="shared" si="13"/>
        <v>0</v>
      </c>
    </row>
    <row r="86" spans="3:23" ht="18" customHeight="1">
      <c r="C86" s="1359">
        <v>1</v>
      </c>
      <c r="D86" s="1527" t="s">
        <v>825</v>
      </c>
      <c r="E86" s="1501" t="s">
        <v>825</v>
      </c>
      <c r="F86" s="1528"/>
      <c r="G86" s="1501" t="s">
        <v>826</v>
      </c>
      <c r="H86" s="1825">
        <v>0</v>
      </c>
      <c r="I86" s="1826">
        <v>0</v>
      </c>
      <c r="J86" s="1826">
        <v>0</v>
      </c>
      <c r="K86" s="1826">
        <v>0</v>
      </c>
      <c r="L86" s="1530">
        <f t="shared" si="11"/>
        <v>0</v>
      </c>
      <c r="N86" s="1531">
        <f>SUMIF('CF.2'!$H$5:$H$25,'CF.1'!E86,'CF.2'!$J$5:$J$25)-SUMIF('CF.2'!$K$5:$K$25,'CF.1'!E86,'CF.2'!$M$5:$M$25)</f>
        <v>0</v>
      </c>
      <c r="O86" s="1529">
        <f>SUMIF('CF.2'!$H$31:$H$60,'CF.1'!E86,'CF.2'!$J$31:$J$60)+SUMIF('CF.2'!$K$31:$K$60,'CF.1'!E86,'CF.2'!$M$31:$M$60)</f>
        <v>0</v>
      </c>
      <c r="P86" s="1529">
        <f>SUMIF('CF.2'!$H$65:$H$108,'CF.1'!E86,'CF.2'!$J$65:$J$108)+SUMIF('CF.2'!$K$65:$K$108,'CF.1'!E86,'CF.2'!$M$65:$M$108)</f>
        <v>0</v>
      </c>
      <c r="Q86" s="1529">
        <f>SUMIF('CF.2'!$H$112:$H$118,'CF.1'!E86,'CF.2'!$J$112:$J$118)+SUMIF('CF.2'!$K$112:$K$118,'CF.1'!E86,'CF.2'!$M$112:$M$118)</f>
        <v>0</v>
      </c>
      <c r="R86" s="1529">
        <f>SUMIF('CF.2'!$H$123:$H$134,'CF.1'!E86,'CF.2'!$J$123:$J$134)+SUMIF('CF.2'!$K$123:$K$134,'CF.1'!E86,'CF.2'!$M$123:$M$134)</f>
        <v>0</v>
      </c>
      <c r="S86" s="1530">
        <f t="shared" si="12"/>
        <v>0</v>
      </c>
      <c r="U86" s="1532">
        <f t="shared" si="13"/>
        <v>0</v>
      </c>
    </row>
    <row r="87" spans="3:23" ht="18" customHeight="1">
      <c r="C87" s="1359">
        <v>1</v>
      </c>
      <c r="D87" s="1527" t="s">
        <v>827</v>
      </c>
      <c r="E87" s="1501" t="s">
        <v>827</v>
      </c>
      <c r="F87" s="1528"/>
      <c r="G87" s="1501" t="s">
        <v>828</v>
      </c>
      <c r="H87" s="1825">
        <v>0</v>
      </c>
      <c r="I87" s="1826">
        <v>0</v>
      </c>
      <c r="J87" s="1826">
        <v>0</v>
      </c>
      <c r="K87" s="1826">
        <v>0</v>
      </c>
      <c r="L87" s="1530">
        <f t="shared" si="11"/>
        <v>0</v>
      </c>
      <c r="N87" s="1531">
        <f>SUMIF('CF.2'!$H$5:$H$25,'CF.1'!E87,'CF.2'!$J$5:$J$25)-SUMIF('CF.2'!$K$5:$K$25,'CF.1'!E87,'CF.2'!$M$5:$M$25)</f>
        <v>0</v>
      </c>
      <c r="O87" s="1529">
        <f>SUMIF('CF.2'!$H$31:$H$60,'CF.1'!E87,'CF.2'!$J$31:$J$60)+SUMIF('CF.2'!$K$31:$K$60,'CF.1'!E87,'CF.2'!$M$31:$M$60)</f>
        <v>0</v>
      </c>
      <c r="P87" s="1529">
        <f>SUMIF('CF.2'!$H$65:$H$108,'CF.1'!E87,'CF.2'!$J$65:$J$108)+SUMIF('CF.2'!$K$65:$K$108,'CF.1'!E87,'CF.2'!$M$65:$M$108)</f>
        <v>0</v>
      </c>
      <c r="Q87" s="1529">
        <f>SUMIF('CF.2'!$H$112:$H$118,'CF.1'!E87,'CF.2'!$J$112:$J$118)+SUMIF('CF.2'!$K$112:$K$118,'CF.1'!E87,'CF.2'!$M$112:$M$118)</f>
        <v>0</v>
      </c>
      <c r="R87" s="1529">
        <f>SUMIF('CF.2'!$H$123:$H$134,'CF.1'!E87,'CF.2'!$J$123:$J$134)+SUMIF('CF.2'!$K$123:$K$134,'CF.1'!E87,'CF.2'!$M$123:$M$134)</f>
        <v>0</v>
      </c>
      <c r="S87" s="1530">
        <f t="shared" si="12"/>
        <v>0</v>
      </c>
      <c r="U87" s="1532">
        <f t="shared" si="13"/>
        <v>0</v>
      </c>
    </row>
    <row r="88" spans="3:23" s="1086" customFormat="1" ht="18" customHeight="1">
      <c r="C88" s="1086">
        <v>1</v>
      </c>
      <c r="D88" s="1533" t="s">
        <v>829</v>
      </c>
      <c r="E88" s="1271" t="s">
        <v>829</v>
      </c>
      <c r="F88" s="1534"/>
      <c r="G88" s="1271" t="s">
        <v>830</v>
      </c>
      <c r="H88" s="1824">
        <v>0</v>
      </c>
      <c r="I88" s="1827">
        <v>0</v>
      </c>
      <c r="J88" s="1827">
        <v>0</v>
      </c>
      <c r="K88" s="1827">
        <v>0</v>
      </c>
      <c r="L88" s="1536">
        <f t="shared" si="11"/>
        <v>0</v>
      </c>
      <c r="N88" s="1550">
        <f>SUMIF('CF.2'!$H$5:$H$25,'CF.1'!E88,'CF.2'!$J$5:$J$25)-SUMIF('CF.2'!$K$5:$K$25,'CF.1'!E88,'CF.2'!$M$5:$M$25)</f>
        <v>0</v>
      </c>
      <c r="O88" s="1535">
        <f>SUMIF('CF.2'!$H$31:$H$60,'CF.1'!E88,'CF.2'!$J$31:$J$60)+SUMIF('CF.2'!$K$31:$K$60,'CF.1'!E88,'CF.2'!$M$31:$M$60)</f>
        <v>0</v>
      </c>
      <c r="P88" s="1535">
        <f>SUMIF('CF.2'!$H$65:$H$108,'CF.1'!E88,'CF.2'!$J$65:$J$108)+SUMIF('CF.2'!$K$65:$K$108,'CF.1'!E88,'CF.2'!$M$65:$M$108)</f>
        <v>0</v>
      </c>
      <c r="Q88" s="1535">
        <f>SUMIF('CF.2'!$H$112:$H$118,'CF.1'!E88,'CF.2'!$J$112:$J$118)+SUMIF('CF.2'!$K$112:$K$118,'CF.1'!E88,'CF.2'!$M$112:$M$118)</f>
        <v>0</v>
      </c>
      <c r="R88" s="1535">
        <f>SUMIF('CF.2'!$H$123:$H$134,'CF.1'!E88,'CF.2'!$J$123:$J$134)+SUMIF('CF.2'!$K$123:$K$134,'CF.1'!E88,'CF.2'!$M$123:$M$134)</f>
        <v>0</v>
      </c>
      <c r="S88" s="1536">
        <f t="shared" si="12"/>
        <v>0</v>
      </c>
      <c r="U88" s="1537">
        <f t="shared" si="13"/>
        <v>0</v>
      </c>
    </row>
    <row r="89" spans="3:23" s="1086" customFormat="1" ht="18" customHeight="1">
      <c r="C89" s="1086">
        <v>1</v>
      </c>
      <c r="D89" s="1533" t="s">
        <v>831</v>
      </c>
      <c r="E89" s="1271" t="s">
        <v>831</v>
      </c>
      <c r="F89" s="1534"/>
      <c r="G89" s="1271" t="s">
        <v>832</v>
      </c>
      <c r="H89" s="1824">
        <v>0</v>
      </c>
      <c r="I89" s="1827">
        <v>0</v>
      </c>
      <c r="J89" s="1827">
        <v>0</v>
      </c>
      <c r="K89" s="1827">
        <v>0</v>
      </c>
      <c r="L89" s="1536">
        <f t="shared" si="11"/>
        <v>0</v>
      </c>
      <c r="N89" s="1550">
        <f>SUMIF('CF.2'!$H$5:$H$25,'CF.1'!E89,'CF.2'!$J$5:$J$25)-SUMIF('CF.2'!$K$5:$K$25,'CF.1'!E89,'CF.2'!$M$5:$M$25)</f>
        <v>0</v>
      </c>
      <c r="O89" s="1535">
        <f>SUMIF('CF.2'!$H$31:$H$60,'CF.1'!E89,'CF.2'!$J$31:$J$60)+SUMIF('CF.2'!$K$31:$K$60,'CF.1'!E89,'CF.2'!$M$31:$M$60)</f>
        <v>0</v>
      </c>
      <c r="P89" s="1535">
        <f>SUMIF('CF.2'!$H$65:$H$108,'CF.1'!E89,'CF.2'!$J$65:$J$108)+SUMIF('CF.2'!$K$65:$K$108,'CF.1'!E89,'CF.2'!$M$65:$M$108)</f>
        <v>0</v>
      </c>
      <c r="Q89" s="1535">
        <f>SUMIF('CF.2'!$H$112:$H$118,'CF.1'!E89,'CF.2'!$J$112:$J$118)+SUMIF('CF.2'!$K$112:$K$118,'CF.1'!E89,'CF.2'!$M$112:$M$118)</f>
        <v>0</v>
      </c>
      <c r="R89" s="1535">
        <f>SUMIF('CF.2'!$H$123:$H$134,'CF.1'!E89,'CF.2'!$J$123:$J$134)+SUMIF('CF.2'!$K$123:$K$134,'CF.1'!E89,'CF.2'!$M$123:$M$134)</f>
        <v>0</v>
      </c>
      <c r="S89" s="1536">
        <f t="shared" si="12"/>
        <v>0</v>
      </c>
      <c r="U89" s="1537">
        <f t="shared" si="13"/>
        <v>0</v>
      </c>
    </row>
    <row r="90" spans="3:23" s="1086" customFormat="1" ht="18" customHeight="1">
      <c r="C90" s="1086">
        <v>1</v>
      </c>
      <c r="D90" s="1533" t="s">
        <v>833</v>
      </c>
      <c r="E90" s="1271" t="s">
        <v>833</v>
      </c>
      <c r="F90" s="1534" t="s">
        <v>678</v>
      </c>
      <c r="G90" s="1271" t="s">
        <v>678</v>
      </c>
      <c r="H90" s="1824">
        <v>-63636363</v>
      </c>
      <c r="I90" s="1827">
        <v>0</v>
      </c>
      <c r="J90" s="1827">
        <v>0</v>
      </c>
      <c r="K90" s="1827">
        <v>0</v>
      </c>
      <c r="L90" s="1536">
        <f t="shared" si="11"/>
        <v>-63636363</v>
      </c>
      <c r="N90" s="1550">
        <f>SUMIF('CF.2'!$H$5:$H$25,'CF.1'!E90,'CF.2'!$J$5:$J$25)-SUMIF('CF.2'!$K$5:$K$25,'CF.1'!E90,'CF.2'!$M$5:$M$25)</f>
        <v>0</v>
      </c>
      <c r="O90" s="1535">
        <f>SUMIF('CF.2'!$H$31:$H$60,'CF.1'!E90,'CF.2'!$J$31:$J$60)+SUMIF('CF.2'!$K$31:$K$60,'CF.1'!E90,'CF.2'!$M$31:$M$60)</f>
        <v>0</v>
      </c>
      <c r="P90" s="1535">
        <f>SUMIF('CF.2'!$H$65:$H$108,'CF.1'!E90,'CF.2'!$J$65:$J$108)+SUMIF('CF.2'!$K$65:$K$108,'CF.1'!E90,'CF.2'!$M$65:$M$108)</f>
        <v>0</v>
      </c>
      <c r="Q90" s="1535">
        <f>SUMIF('CF.2'!$H$112:$H$118,'CF.1'!E90,'CF.2'!$J$112:$J$118)+SUMIF('CF.2'!$K$112:$K$118,'CF.1'!E90,'CF.2'!$M$112:$M$118)</f>
        <v>0</v>
      </c>
      <c r="R90" s="1535">
        <f>SUMIF('CF.2'!$H$123:$H$134,'CF.1'!E90,'CF.2'!$J$123:$J$134)+SUMIF('CF.2'!$K$123:$K$134,'CF.1'!E90,'CF.2'!$M$123:$M$134)</f>
        <v>0</v>
      </c>
      <c r="S90" s="1536">
        <f t="shared" si="12"/>
        <v>0</v>
      </c>
      <c r="U90" s="1537">
        <f t="shared" si="13"/>
        <v>-63636363</v>
      </c>
      <c r="W90" s="1086" t="b">
        <f>U90=-T_IS!X102</f>
        <v>0</v>
      </c>
    </row>
    <row r="91" spans="3:23" s="1086" customFormat="1" ht="18" customHeight="1">
      <c r="C91" s="1086">
        <v>1</v>
      </c>
      <c r="D91" s="1533" t="s">
        <v>834</v>
      </c>
      <c r="E91" s="1271" t="s">
        <v>834</v>
      </c>
      <c r="F91" s="1534"/>
      <c r="G91" s="1271" t="s">
        <v>835</v>
      </c>
      <c r="H91" s="1824">
        <v>0</v>
      </c>
      <c r="I91" s="1827">
        <v>0</v>
      </c>
      <c r="J91" s="1827">
        <v>0</v>
      </c>
      <c r="K91" s="1827">
        <v>0</v>
      </c>
      <c r="L91" s="1536">
        <f t="shared" si="11"/>
        <v>0</v>
      </c>
      <c r="N91" s="1550">
        <f>SUMIF('CF.2'!$H$5:$H$25,'CF.1'!E91,'CF.2'!$J$5:$J$25)-SUMIF('CF.2'!$K$5:$K$25,'CF.1'!E91,'CF.2'!$M$5:$M$25)</f>
        <v>0</v>
      </c>
      <c r="O91" s="1535">
        <f>SUMIF('CF.2'!$H$31:$H$60,'CF.1'!E91,'CF.2'!$J$31:$J$60)+SUMIF('CF.2'!$K$31:$K$60,'CF.1'!E91,'CF.2'!$M$31:$M$60)</f>
        <v>0</v>
      </c>
      <c r="P91" s="1535">
        <f>SUMIF('CF.2'!$H$65:$H$108,'CF.1'!E91,'CF.2'!$J$65:$J$108)+SUMIF('CF.2'!$K$65:$K$108,'CF.1'!E91,'CF.2'!$M$65:$M$108)</f>
        <v>0</v>
      </c>
      <c r="Q91" s="1535">
        <f>SUMIF('CF.2'!$H$112:$H$118,'CF.1'!E91,'CF.2'!$J$112:$J$118)+SUMIF('CF.2'!$K$112:$K$118,'CF.1'!E91,'CF.2'!$M$112:$M$118)</f>
        <v>0</v>
      </c>
      <c r="R91" s="1535">
        <f>SUMIF('CF.2'!$H$123:$H$134,'CF.1'!E91,'CF.2'!$J$123:$J$134)+SUMIF('CF.2'!$K$123:$K$134,'CF.1'!E91,'CF.2'!$M$123:$M$134)</f>
        <v>0</v>
      </c>
      <c r="S91" s="1536">
        <f t="shared" si="12"/>
        <v>0</v>
      </c>
      <c r="U91" s="1537">
        <f t="shared" si="13"/>
        <v>0</v>
      </c>
    </row>
    <row r="92" spans="3:23" s="1086" customFormat="1" ht="18" customHeight="1">
      <c r="C92" s="1086">
        <v>1</v>
      </c>
      <c r="D92" s="1533" t="s">
        <v>836</v>
      </c>
      <c r="E92" s="1271" t="s">
        <v>836</v>
      </c>
      <c r="F92" s="1534" t="s">
        <v>679</v>
      </c>
      <c r="G92" s="1271" t="s">
        <v>679</v>
      </c>
      <c r="H92" s="1824">
        <v>0</v>
      </c>
      <c r="I92" s="1827">
        <v>0</v>
      </c>
      <c r="J92" s="1827">
        <v>0</v>
      </c>
      <c r="K92" s="1827">
        <v>0</v>
      </c>
      <c r="L92" s="1536">
        <f t="shared" si="11"/>
        <v>0</v>
      </c>
      <c r="N92" s="1550">
        <f>SUMIF('CF.2'!$H$5:$H$25,'CF.1'!E92,'CF.2'!$J$5:$J$25)-SUMIF('CF.2'!$K$5:$K$25,'CF.1'!E92,'CF.2'!$M$5:$M$25)</f>
        <v>0</v>
      </c>
      <c r="O92" s="1535">
        <f>SUMIF('CF.2'!$H$31:$H$60,'CF.1'!E92,'CF.2'!$J$31:$J$60)+SUMIF('CF.2'!$K$31:$K$60,'CF.1'!E92,'CF.2'!$M$31:$M$60)</f>
        <v>0</v>
      </c>
      <c r="P92" s="1535">
        <f>SUMIF('CF.2'!$H$65:$H$108,'CF.1'!E92,'CF.2'!$J$65:$J$108)+SUMIF('CF.2'!$K$65:$K$108,'CF.1'!E92,'CF.2'!$M$65:$M$108)</f>
        <v>0</v>
      </c>
      <c r="Q92" s="1535">
        <f>SUMIF('CF.2'!$H$112:$H$118,'CF.1'!E92,'CF.2'!$J$112:$J$118)+SUMIF('CF.2'!$K$112:$K$118,'CF.1'!E92,'CF.2'!$M$112:$M$118)</f>
        <v>0</v>
      </c>
      <c r="R92" s="1535">
        <f>SUMIF('CF.2'!$H$123:$H$134,'CF.1'!E92,'CF.2'!$J$123:$J$134)+SUMIF('CF.2'!$K$123:$K$134,'CF.1'!E92,'CF.2'!$M$123:$M$134)</f>
        <v>0</v>
      </c>
      <c r="S92" s="1536">
        <f t="shared" si="12"/>
        <v>0</v>
      </c>
      <c r="U92" s="1537">
        <f t="shared" si="13"/>
        <v>0</v>
      </c>
    </row>
    <row r="93" spans="3:23" s="1086" customFormat="1" ht="18" customHeight="1">
      <c r="C93" s="1086">
        <v>1</v>
      </c>
      <c r="D93" s="1533" t="s">
        <v>837</v>
      </c>
      <c r="E93" s="1271" t="s">
        <v>837</v>
      </c>
      <c r="F93" s="1534"/>
      <c r="G93" s="1271" t="s">
        <v>838</v>
      </c>
      <c r="H93" s="1824">
        <v>0</v>
      </c>
      <c r="I93" s="1827">
        <v>0</v>
      </c>
      <c r="J93" s="1827">
        <v>0</v>
      </c>
      <c r="K93" s="1827">
        <v>0</v>
      </c>
      <c r="L93" s="1536">
        <f t="shared" si="11"/>
        <v>0</v>
      </c>
      <c r="N93" s="1550">
        <f>SUMIF('CF.2'!$H$5:$H$25,'CF.1'!E93,'CF.2'!$J$5:$J$25)-SUMIF('CF.2'!$K$5:$K$25,'CF.1'!E93,'CF.2'!$M$5:$M$25)</f>
        <v>0</v>
      </c>
      <c r="O93" s="1535">
        <f>SUMIF('CF.2'!$H$31:$H$60,'CF.1'!E93,'CF.2'!$J$31:$J$60)+SUMIF('CF.2'!$K$31:$K$60,'CF.1'!E93,'CF.2'!$M$31:$M$60)</f>
        <v>0</v>
      </c>
      <c r="P93" s="1535">
        <f>SUMIF('CF.2'!$H$65:$H$108,'CF.1'!E93,'CF.2'!$J$65:$J$108)+SUMIF('CF.2'!$K$65:$K$108,'CF.1'!E93,'CF.2'!$M$65:$M$108)</f>
        <v>0</v>
      </c>
      <c r="Q93" s="1535">
        <f>SUMIF('CF.2'!$H$112:$H$118,'CF.1'!E93,'CF.2'!$J$112:$J$118)+SUMIF('CF.2'!$K$112:$K$118,'CF.1'!E93,'CF.2'!$M$112:$M$118)</f>
        <v>0</v>
      </c>
      <c r="R93" s="1535">
        <f>SUMIF('CF.2'!$H$123:$H$134,'CF.1'!E93,'CF.2'!$J$123:$J$134)+SUMIF('CF.2'!$K$123:$K$134,'CF.1'!E93,'CF.2'!$M$123:$M$134)</f>
        <v>0</v>
      </c>
      <c r="S93" s="1536">
        <f t="shared" si="12"/>
        <v>0</v>
      </c>
      <c r="U93" s="1537">
        <f t="shared" si="13"/>
        <v>0</v>
      </c>
    </row>
    <row r="94" spans="3:23" s="1086" customFormat="1" ht="18" customHeight="1">
      <c r="C94" s="1086">
        <v>1</v>
      </c>
      <c r="D94" s="1533" t="s">
        <v>839</v>
      </c>
      <c r="E94" s="1271" t="s">
        <v>839</v>
      </c>
      <c r="F94" s="1534" t="s">
        <v>2054</v>
      </c>
      <c r="G94" s="1271" t="s">
        <v>840</v>
      </c>
      <c r="H94" s="1824">
        <v>-99628699</v>
      </c>
      <c r="I94" s="1827">
        <v>0</v>
      </c>
      <c r="J94" s="1827">
        <v>0</v>
      </c>
      <c r="K94" s="1827">
        <v>-75539746</v>
      </c>
      <c r="L94" s="1536">
        <f t="shared" si="11"/>
        <v>-175168445</v>
      </c>
      <c r="N94" s="1550">
        <f>SUMIF('CF.2'!$H$5:$H$25,'CF.1'!E94,'CF.2'!$J$5:$J$25)-SUMIF('CF.2'!$K$5:$K$25,'CF.1'!E94,'CF.2'!$M$5:$M$25)</f>
        <v>0</v>
      </c>
      <c r="O94" s="1535">
        <f>SUMIF('CF.2'!$H$31:$H$60,'CF.1'!E94,'CF.2'!$J$31:$J$60)+SUMIF('CF.2'!$K$31:$K$60,'CF.1'!E94,'CF.2'!$M$31:$M$60)</f>
        <v>0</v>
      </c>
      <c r="P94" s="1535">
        <f>SUMIF('CF.2'!$H$65:$H$108,'CF.1'!E94,'CF.2'!$J$65:$J$108)+SUMIF('CF.2'!$K$65:$K$108,'CF.1'!E94,'CF.2'!$M$65:$M$108)</f>
        <v>0</v>
      </c>
      <c r="Q94" s="1535">
        <f>SUMIF('CF.2'!$H$112:$H$118,'CF.1'!E94,'CF.2'!$J$112:$J$118)+SUMIF('CF.2'!$K$112:$K$118,'CF.1'!E94,'CF.2'!$M$112:$M$118)</f>
        <v>0</v>
      </c>
      <c r="R94" s="1535">
        <f>SUMIF('CF.2'!$H$123:$H$134,'CF.1'!E94,'CF.2'!$J$123:$J$134)+SUMIF('CF.2'!$K$123:$K$134,'CF.1'!E94,'CF.2'!$M$123:$M$134)</f>
        <v>0</v>
      </c>
      <c r="S94" s="1536">
        <f t="shared" si="12"/>
        <v>0</v>
      </c>
      <c r="U94" s="1537">
        <f t="shared" si="13"/>
        <v>-175168445</v>
      </c>
      <c r="W94" s="1086" t="s">
        <v>2500</v>
      </c>
    </row>
    <row r="95" spans="3:23" s="1086" customFormat="1" ht="18" customHeight="1">
      <c r="C95" s="1086">
        <v>1</v>
      </c>
      <c r="D95" s="1533" t="s">
        <v>841</v>
      </c>
      <c r="E95" s="1271" t="s">
        <v>841</v>
      </c>
      <c r="F95" s="1534" t="s">
        <v>2709</v>
      </c>
      <c r="G95" s="1271" t="s">
        <v>842</v>
      </c>
      <c r="H95" s="1824">
        <v>0</v>
      </c>
      <c r="I95" s="1827">
        <v>0</v>
      </c>
      <c r="J95" s="1827">
        <v>0</v>
      </c>
      <c r="K95" s="1827">
        <v>0</v>
      </c>
      <c r="L95" s="1536">
        <f t="shared" si="11"/>
        <v>0</v>
      </c>
      <c r="N95" s="1550">
        <f>SUMIF('CF.2'!$H$5:$H$25,'CF.1'!E95,'CF.2'!$J$5:$J$25)-SUMIF('CF.2'!$K$5:$K$25,'CF.1'!E95,'CF.2'!$M$5:$M$25)</f>
        <v>0</v>
      </c>
      <c r="O95" s="1535">
        <f>SUMIF('CF.2'!$H$31:$H$60,'CF.1'!E95,'CF.2'!$J$31:$J$60)+SUMIF('CF.2'!$K$31:$K$60,'CF.1'!E95,'CF.2'!$M$31:$M$60)</f>
        <v>0</v>
      </c>
      <c r="P95" s="1535">
        <f>SUMIF('CF.2'!$H$65:$H$108,'CF.1'!E95,'CF.2'!$J$65:$J$108)+SUMIF('CF.2'!$K$65:$K$108,'CF.1'!E95,'CF.2'!$M$65:$M$108)</f>
        <v>0</v>
      </c>
      <c r="Q95" s="1535">
        <f>SUMIF('CF.2'!$H$112:$H$118,'CF.1'!E95,'CF.2'!$J$112:$J$118)+SUMIF('CF.2'!$K$112:$K$118,'CF.1'!E95,'CF.2'!$M$112:$M$118)</f>
        <v>0</v>
      </c>
      <c r="R95" s="1535">
        <f>SUMIF('CF.2'!$H$123:$H$134,'CF.1'!E95,'CF.2'!$J$123:$J$134)+SUMIF('CF.2'!$K$123:$K$134,'CF.1'!E95,'CF.2'!$M$123:$M$134)</f>
        <v>0</v>
      </c>
      <c r="S95" s="1536">
        <f t="shared" si="12"/>
        <v>0</v>
      </c>
      <c r="U95" s="1537">
        <f t="shared" si="13"/>
        <v>0</v>
      </c>
    </row>
    <row r="96" spans="3:23" s="1086" customFormat="1" ht="18" customHeight="1">
      <c r="C96" s="1086">
        <v>1</v>
      </c>
      <c r="D96" s="1533" t="s">
        <v>843</v>
      </c>
      <c r="E96" s="1271" t="s">
        <v>843</v>
      </c>
      <c r="F96" s="1534" t="s">
        <v>844</v>
      </c>
      <c r="G96" s="1271" t="s">
        <v>844</v>
      </c>
      <c r="H96" s="1824">
        <v>-2360356206</v>
      </c>
      <c r="I96" s="1827">
        <v>0</v>
      </c>
      <c r="J96" s="1827">
        <v>0</v>
      </c>
      <c r="K96" s="1827">
        <v>0</v>
      </c>
      <c r="L96" s="1536">
        <f t="shared" si="11"/>
        <v>-2360356206</v>
      </c>
      <c r="N96" s="1550">
        <f>SUMIF('CF.2'!$H$5:$H$25,'CF.1'!E96,'CF.2'!$J$5:$J$25)-SUMIF('CF.2'!$K$5:$K$25,'CF.1'!E96,'CF.2'!$M$5:$M$25)</f>
        <v>0</v>
      </c>
      <c r="O96" s="1535">
        <f>SUMIF('CF.2'!$H$31:$H$60,'CF.1'!E96,'CF.2'!$J$31:$J$60)+SUMIF('CF.2'!$K$31:$K$60,'CF.1'!E96,'CF.2'!$M$31:$M$60)</f>
        <v>0</v>
      </c>
      <c r="P96" s="1535">
        <f>SUMIF('CF.2'!$H$65:$H$108,'CF.1'!E96,'CF.2'!$J$65:$J$108)+SUMIF('CF.2'!$K$65:$K$108,'CF.1'!E96,'CF.2'!$M$65:$M$108)</f>
        <v>1543857535</v>
      </c>
      <c r="Q96" s="1535">
        <f>SUMIF('CF.2'!$H$112:$H$118,'CF.1'!E96,'CF.2'!$J$112:$J$118)+SUMIF('CF.2'!$K$112:$K$118,'CF.1'!E96,'CF.2'!$M$112:$M$118)</f>
        <v>0</v>
      </c>
      <c r="R96" s="1535">
        <f>SUMIF('CF.2'!$H$123:$H$134,'CF.1'!E96,'CF.2'!$J$123:$J$134)+SUMIF('CF.2'!$K$123:$K$134,'CF.1'!E96,'CF.2'!$M$123:$M$134)</f>
        <v>0</v>
      </c>
      <c r="S96" s="1536">
        <f t="shared" si="12"/>
        <v>1543857535</v>
      </c>
      <c r="U96" s="1537">
        <f t="shared" si="13"/>
        <v>-816498671</v>
      </c>
      <c r="W96" s="1086" t="b">
        <f>U96=-T_IS!X101</f>
        <v>0</v>
      </c>
    </row>
    <row r="97" spans="3:26" s="1086" customFormat="1" ht="18" customHeight="1">
      <c r="C97" s="1086">
        <v>1</v>
      </c>
      <c r="D97" s="1533" t="s">
        <v>845</v>
      </c>
      <c r="E97" s="1271" t="s">
        <v>845</v>
      </c>
      <c r="F97" s="1534"/>
      <c r="G97" s="1271" t="s">
        <v>846</v>
      </c>
      <c r="H97" s="1824">
        <v>0</v>
      </c>
      <c r="I97" s="1827">
        <v>0</v>
      </c>
      <c r="J97" s="1827">
        <v>0</v>
      </c>
      <c r="K97" s="1827">
        <v>0</v>
      </c>
      <c r="L97" s="1536">
        <f t="shared" si="11"/>
        <v>0</v>
      </c>
      <c r="N97" s="1550">
        <f>SUMIF('CF.2'!$H$5:$H$25,'CF.1'!E97,'CF.2'!$J$5:$J$25)-SUMIF('CF.2'!$K$5:$K$25,'CF.1'!E97,'CF.2'!$M$5:$M$25)</f>
        <v>0</v>
      </c>
      <c r="O97" s="1535">
        <f>SUMIF('CF.2'!$H$31:$H$60,'CF.1'!E97,'CF.2'!$J$31:$J$60)+SUMIF('CF.2'!$K$31:$K$60,'CF.1'!E97,'CF.2'!$M$31:$M$60)</f>
        <v>0</v>
      </c>
      <c r="P97" s="1535">
        <f>SUMIF('CF.2'!$H$65:$H$108,'CF.1'!E97,'CF.2'!$J$65:$J$108)+SUMIF('CF.2'!$K$65:$K$108,'CF.1'!E97,'CF.2'!$M$65:$M$108)</f>
        <v>0</v>
      </c>
      <c r="Q97" s="1535">
        <f>SUMIF('CF.2'!$H$112:$H$118,'CF.1'!E97,'CF.2'!$J$112:$J$118)+SUMIF('CF.2'!$K$112:$K$118,'CF.1'!E97,'CF.2'!$M$112:$M$118)</f>
        <v>0</v>
      </c>
      <c r="R97" s="1535">
        <f>SUMIF('CF.2'!$H$123:$H$134,'CF.1'!E97,'CF.2'!$J$123:$J$134)+SUMIF('CF.2'!$K$123:$K$134,'CF.1'!E97,'CF.2'!$M$123:$M$134)</f>
        <v>0</v>
      </c>
      <c r="S97" s="1536">
        <f t="shared" si="12"/>
        <v>0</v>
      </c>
      <c r="U97" s="1537">
        <f t="shared" si="13"/>
        <v>0</v>
      </c>
    </row>
    <row r="98" spans="3:26" s="1086" customFormat="1" ht="18" customHeight="1">
      <c r="C98" s="1086">
        <v>1</v>
      </c>
      <c r="D98" s="1533" t="s">
        <v>847</v>
      </c>
      <c r="E98" s="1271" t="s">
        <v>847</v>
      </c>
      <c r="F98" s="1534"/>
      <c r="G98" s="1271" t="s">
        <v>848</v>
      </c>
      <c r="H98" s="1824">
        <v>0</v>
      </c>
      <c r="I98" s="1827">
        <v>0</v>
      </c>
      <c r="J98" s="1827">
        <v>0</v>
      </c>
      <c r="K98" s="1827">
        <v>0</v>
      </c>
      <c r="L98" s="1536">
        <f t="shared" si="11"/>
        <v>0</v>
      </c>
      <c r="N98" s="1550">
        <f>SUMIF('CF.2'!$H$5:$H$25,'CF.1'!E98,'CF.2'!$J$5:$J$25)-SUMIF('CF.2'!$K$5:$K$25,'CF.1'!E98,'CF.2'!$M$5:$M$25)</f>
        <v>0</v>
      </c>
      <c r="O98" s="1535">
        <f>SUMIF('CF.2'!$H$31:$H$60,'CF.1'!E98,'CF.2'!$J$31:$J$60)+SUMIF('CF.2'!$K$31:$K$60,'CF.1'!E98,'CF.2'!$M$31:$M$60)</f>
        <v>0</v>
      </c>
      <c r="P98" s="1535">
        <f>SUMIF('CF.2'!$H$65:$H$108,'CF.1'!E98,'CF.2'!$J$65:$J$108)+SUMIF('CF.2'!$K$65:$K$108,'CF.1'!E98,'CF.2'!$M$65:$M$108)</f>
        <v>0</v>
      </c>
      <c r="Q98" s="1535">
        <f>SUMIF('CF.2'!$H$112:$H$118,'CF.1'!E98,'CF.2'!$J$112:$J$118)+SUMIF('CF.2'!$K$112:$K$118,'CF.1'!E98,'CF.2'!$M$112:$M$118)</f>
        <v>0</v>
      </c>
      <c r="R98" s="1535">
        <f>SUMIF('CF.2'!$H$123:$H$134,'CF.1'!E98,'CF.2'!$J$123:$J$134)+SUMIF('CF.2'!$K$123:$K$134,'CF.1'!E98,'CF.2'!$M$123:$M$134)</f>
        <v>0</v>
      </c>
      <c r="S98" s="1536">
        <f t="shared" si="12"/>
        <v>0</v>
      </c>
      <c r="U98" s="1537">
        <f t="shared" si="13"/>
        <v>0</v>
      </c>
    </row>
    <row r="99" spans="3:26" s="1086" customFormat="1" ht="18" customHeight="1">
      <c r="C99" s="1086">
        <v>1</v>
      </c>
      <c r="D99" s="1533" t="s">
        <v>849</v>
      </c>
      <c r="E99" s="1271" t="s">
        <v>849</v>
      </c>
      <c r="F99" s="1534"/>
      <c r="G99" s="1271" t="s">
        <v>850</v>
      </c>
      <c r="H99" s="1824">
        <v>0</v>
      </c>
      <c r="I99" s="1827">
        <v>0</v>
      </c>
      <c r="J99" s="1827">
        <v>0</v>
      </c>
      <c r="K99" s="1827">
        <v>0</v>
      </c>
      <c r="L99" s="1536">
        <f t="shared" si="11"/>
        <v>0</v>
      </c>
      <c r="N99" s="1550">
        <f>SUMIF('CF.2'!$H$5:$H$25,'CF.1'!E99,'CF.2'!$J$5:$J$25)-SUMIF('CF.2'!$K$5:$K$25,'CF.1'!E99,'CF.2'!$M$5:$M$25)</f>
        <v>0</v>
      </c>
      <c r="O99" s="1535">
        <f>SUMIF('CF.2'!$H$31:$H$60,'CF.1'!E99,'CF.2'!$J$31:$J$60)+SUMIF('CF.2'!$K$31:$K$60,'CF.1'!E99,'CF.2'!$M$31:$M$60)</f>
        <v>0</v>
      </c>
      <c r="P99" s="1535">
        <f>SUMIF('CF.2'!$H$65:$H$108,'CF.1'!E99,'CF.2'!$J$65:$J$108)+SUMIF('CF.2'!$K$65:$K$108,'CF.1'!E99,'CF.2'!$M$65:$M$108)</f>
        <v>0</v>
      </c>
      <c r="Q99" s="1535">
        <f>SUMIF('CF.2'!$H$112:$H$118,'CF.1'!E99,'CF.2'!$J$112:$J$118)+SUMIF('CF.2'!$K$112:$K$118,'CF.1'!E99,'CF.2'!$M$112:$M$118)</f>
        <v>0</v>
      </c>
      <c r="R99" s="1535">
        <f>SUMIF('CF.2'!$H$123:$H$134,'CF.1'!E99,'CF.2'!$J$123:$J$134)+SUMIF('CF.2'!$K$123:$K$134,'CF.1'!E99,'CF.2'!$M$123:$M$134)</f>
        <v>0</v>
      </c>
      <c r="S99" s="1536">
        <f t="shared" si="12"/>
        <v>0</v>
      </c>
      <c r="U99" s="1537">
        <f t="shared" si="13"/>
        <v>0</v>
      </c>
    </row>
    <row r="100" spans="3:26" ht="18" customHeight="1">
      <c r="C100" s="1359">
        <v>1</v>
      </c>
      <c r="D100" s="1527" t="s">
        <v>851</v>
      </c>
      <c r="E100" s="1501" t="s">
        <v>851</v>
      </c>
      <c r="F100" s="1528"/>
      <c r="G100" s="1501" t="s">
        <v>852</v>
      </c>
      <c r="H100" s="1825">
        <v>0</v>
      </c>
      <c r="I100" s="1826">
        <v>0</v>
      </c>
      <c r="J100" s="1826">
        <v>0</v>
      </c>
      <c r="K100" s="1826">
        <v>0</v>
      </c>
      <c r="L100" s="1530">
        <f t="shared" si="11"/>
        <v>0</v>
      </c>
      <c r="N100" s="1531">
        <f>SUMIF('CF.2'!$H$5:$H$25,'CF.1'!E100,'CF.2'!$J$5:$J$25)-SUMIF('CF.2'!$K$5:$K$25,'CF.1'!E100,'CF.2'!$M$5:$M$25)</f>
        <v>0</v>
      </c>
      <c r="O100" s="1529">
        <f>SUMIF('CF.2'!$H$31:$H$60,'CF.1'!E100,'CF.2'!$J$31:$J$60)+SUMIF('CF.2'!$K$31:$K$60,'CF.1'!E100,'CF.2'!$M$31:$M$60)</f>
        <v>0</v>
      </c>
      <c r="P100" s="1529">
        <f>SUMIF('CF.2'!$H$65:$H$108,'CF.1'!E100,'CF.2'!$J$65:$J$108)+SUMIF('CF.2'!$K$65:$K$108,'CF.1'!E100,'CF.2'!$M$65:$M$108)</f>
        <v>0</v>
      </c>
      <c r="Q100" s="1529">
        <f>SUMIF('CF.2'!$H$112:$H$118,'CF.1'!E100,'CF.2'!$J$112:$J$118)+SUMIF('CF.2'!$K$112:$K$118,'CF.1'!E100,'CF.2'!$M$112:$M$118)</f>
        <v>0</v>
      </c>
      <c r="R100" s="1529">
        <f>SUMIF('CF.2'!$H$123:$H$134,'CF.1'!E100,'CF.2'!$J$123:$J$134)+SUMIF('CF.2'!$K$123:$K$134,'CF.1'!E100,'CF.2'!$M$123:$M$134)</f>
        <v>0</v>
      </c>
      <c r="S100" s="1530">
        <f t="shared" si="12"/>
        <v>0</v>
      </c>
      <c r="U100" s="1532">
        <f t="shared" si="13"/>
        <v>0</v>
      </c>
    </row>
    <row r="101" spans="3:26" ht="18" customHeight="1">
      <c r="C101" s="1359">
        <v>1</v>
      </c>
      <c r="D101" s="1527" t="s">
        <v>853</v>
      </c>
      <c r="E101" s="1501" t="s">
        <v>853</v>
      </c>
      <c r="F101" s="1528"/>
      <c r="G101" s="1501" t="s">
        <v>854</v>
      </c>
      <c r="H101" s="1825">
        <v>0</v>
      </c>
      <c r="I101" s="1826">
        <v>0</v>
      </c>
      <c r="J101" s="1826">
        <v>0</v>
      </c>
      <c r="K101" s="1826">
        <v>0</v>
      </c>
      <c r="L101" s="1530">
        <f t="shared" si="11"/>
        <v>0</v>
      </c>
      <c r="N101" s="1531">
        <f>SUMIF('CF.2'!$H$5:$H$25,'CF.1'!E101,'CF.2'!$J$5:$J$25)-SUMIF('CF.2'!$K$5:$K$25,'CF.1'!E101,'CF.2'!$M$5:$M$25)</f>
        <v>0</v>
      </c>
      <c r="O101" s="1529">
        <f>SUMIF('CF.2'!$H$31:$H$60,'CF.1'!E101,'CF.2'!$J$31:$J$60)+SUMIF('CF.2'!$K$31:$K$60,'CF.1'!E101,'CF.2'!$M$31:$M$60)</f>
        <v>0</v>
      </c>
      <c r="P101" s="1529">
        <f>SUMIF('CF.2'!$H$65:$H$108,'CF.1'!E101,'CF.2'!$J$65:$J$108)+SUMIF('CF.2'!$K$65:$K$108,'CF.1'!E101,'CF.2'!$M$65:$M$108)</f>
        <v>0</v>
      </c>
      <c r="Q101" s="1529">
        <f>SUMIF('CF.2'!$H$112:$H$118,'CF.1'!E101,'CF.2'!$J$112:$J$118)+SUMIF('CF.2'!$K$112:$K$118,'CF.1'!E101,'CF.2'!$M$112:$M$118)</f>
        <v>0</v>
      </c>
      <c r="R101" s="1529">
        <f>SUMIF('CF.2'!$H$123:$H$134,'CF.1'!E101,'CF.2'!$J$123:$J$134)+SUMIF('CF.2'!$K$123:$K$134,'CF.1'!E101,'CF.2'!$M$123:$M$134)</f>
        <v>0</v>
      </c>
      <c r="S101" s="1530">
        <f t="shared" si="12"/>
        <v>0</v>
      </c>
      <c r="U101" s="1532">
        <f t="shared" si="13"/>
        <v>0</v>
      </c>
    </row>
    <row r="102" spans="3:26" ht="18" customHeight="1">
      <c r="C102" s="1359">
        <v>1</v>
      </c>
      <c r="D102" s="1527" t="s">
        <v>855</v>
      </c>
      <c r="E102" s="1501" t="s">
        <v>855</v>
      </c>
      <c r="F102" s="1528"/>
      <c r="G102" s="1501" t="s">
        <v>856</v>
      </c>
      <c r="H102" s="1825">
        <v>0</v>
      </c>
      <c r="I102" s="1826">
        <v>0</v>
      </c>
      <c r="J102" s="1826">
        <v>0</v>
      </c>
      <c r="K102" s="1826">
        <v>0</v>
      </c>
      <c r="L102" s="1530">
        <f t="shared" si="11"/>
        <v>0</v>
      </c>
      <c r="N102" s="1531">
        <f>SUMIF('CF.2'!$H$5:$H$25,'CF.1'!E102,'CF.2'!$J$5:$J$25)-SUMIF('CF.2'!$K$5:$K$25,'CF.1'!E102,'CF.2'!$M$5:$M$25)</f>
        <v>0</v>
      </c>
      <c r="O102" s="1529">
        <f>SUMIF('CF.2'!$H$31:$H$60,'CF.1'!E102,'CF.2'!$J$31:$J$60)+SUMIF('CF.2'!$K$31:$K$60,'CF.1'!E102,'CF.2'!$M$31:$M$60)</f>
        <v>0</v>
      </c>
      <c r="P102" s="1529">
        <f>SUMIF('CF.2'!$H$65:$H$108,'CF.1'!E102,'CF.2'!$J$65:$J$108)+SUMIF('CF.2'!$K$65:$K$108,'CF.1'!E102,'CF.2'!$M$65:$M$108)</f>
        <v>0</v>
      </c>
      <c r="Q102" s="1529">
        <f>SUMIF('CF.2'!$H$112:$H$118,'CF.1'!E102,'CF.2'!$J$112:$J$118)+SUMIF('CF.2'!$K$112:$K$118,'CF.1'!E102,'CF.2'!$M$112:$M$118)</f>
        <v>0</v>
      </c>
      <c r="R102" s="1529">
        <f>SUMIF('CF.2'!$H$123:$H$134,'CF.1'!E102,'CF.2'!$J$123:$J$134)+SUMIF('CF.2'!$K$123:$K$134,'CF.1'!E102,'CF.2'!$M$123:$M$134)</f>
        <v>0</v>
      </c>
      <c r="S102" s="1530">
        <f t="shared" si="12"/>
        <v>0</v>
      </c>
      <c r="U102" s="1532">
        <f t="shared" si="13"/>
        <v>0</v>
      </c>
    </row>
    <row r="103" spans="3:26" ht="18" customHeight="1">
      <c r="C103" s="1359">
        <v>1</v>
      </c>
      <c r="D103" s="1527" t="s">
        <v>857</v>
      </c>
      <c r="E103" s="1501" t="s">
        <v>857</v>
      </c>
      <c r="F103" s="1528"/>
      <c r="G103" s="1501" t="s">
        <v>858</v>
      </c>
      <c r="H103" s="1825">
        <v>0</v>
      </c>
      <c r="I103" s="1826">
        <v>0</v>
      </c>
      <c r="J103" s="1826">
        <v>0</v>
      </c>
      <c r="K103" s="1826">
        <v>0</v>
      </c>
      <c r="L103" s="1530">
        <f t="shared" si="11"/>
        <v>0</v>
      </c>
      <c r="N103" s="1531">
        <f>SUMIF('CF.2'!$H$5:$H$25,'CF.1'!E103,'CF.2'!$J$5:$J$25)-SUMIF('CF.2'!$K$5:$K$25,'CF.1'!E103,'CF.2'!$M$5:$M$25)</f>
        <v>0</v>
      </c>
      <c r="O103" s="1529">
        <f>SUMIF('CF.2'!$H$31:$H$60,'CF.1'!E103,'CF.2'!$J$31:$J$60)+SUMIF('CF.2'!$K$31:$K$60,'CF.1'!E103,'CF.2'!$M$31:$M$60)</f>
        <v>0</v>
      </c>
      <c r="P103" s="1529">
        <f>SUMIF('CF.2'!$H$65:$H$108,'CF.1'!E103,'CF.2'!$J$65:$J$108)+SUMIF('CF.2'!$K$65:$K$108,'CF.1'!E103,'CF.2'!$M$65:$M$108)</f>
        <v>0</v>
      </c>
      <c r="Q103" s="1529">
        <f>SUMIF('CF.2'!$H$112:$H$118,'CF.1'!E103,'CF.2'!$J$112:$J$118)+SUMIF('CF.2'!$K$112:$K$118,'CF.1'!E103,'CF.2'!$M$112:$M$118)</f>
        <v>0</v>
      </c>
      <c r="R103" s="1529">
        <f>SUMIF('CF.2'!$H$123:$H$134,'CF.1'!E103,'CF.2'!$J$123:$J$134)+SUMIF('CF.2'!$K$123:$K$134,'CF.1'!E103,'CF.2'!$M$123:$M$134)</f>
        <v>0</v>
      </c>
      <c r="S103" s="1530">
        <f t="shared" si="12"/>
        <v>0</v>
      </c>
      <c r="U103" s="1532">
        <f t="shared" si="13"/>
        <v>0</v>
      </c>
    </row>
    <row r="104" spans="3:26" ht="18" customHeight="1">
      <c r="C104" s="1359">
        <v>1</v>
      </c>
      <c r="D104" s="1527" t="s">
        <v>859</v>
      </c>
      <c r="E104" s="1501" t="s">
        <v>859</v>
      </c>
      <c r="F104" s="1528"/>
      <c r="G104" s="1501" t="s">
        <v>860</v>
      </c>
      <c r="H104" s="1825">
        <v>0</v>
      </c>
      <c r="I104" s="1826">
        <v>0</v>
      </c>
      <c r="J104" s="1826">
        <v>0</v>
      </c>
      <c r="K104" s="1826">
        <v>0</v>
      </c>
      <c r="L104" s="1530">
        <f t="shared" si="11"/>
        <v>0</v>
      </c>
      <c r="N104" s="1531">
        <f>SUMIF('CF.2'!$H$5:$H$25,'CF.1'!E104,'CF.2'!$J$5:$J$25)-SUMIF('CF.2'!$K$5:$K$25,'CF.1'!E104,'CF.2'!$M$5:$M$25)</f>
        <v>0</v>
      </c>
      <c r="O104" s="1529">
        <f>SUMIF('CF.2'!$H$31:$H$60,'CF.1'!E104,'CF.2'!$J$31:$J$60)+SUMIF('CF.2'!$K$31:$K$60,'CF.1'!E104,'CF.2'!$M$31:$M$60)</f>
        <v>0</v>
      </c>
      <c r="P104" s="1529">
        <f>SUMIF('CF.2'!$H$65:$H$108,'CF.1'!E104,'CF.2'!$J$65:$J$108)+SUMIF('CF.2'!$K$65:$K$108,'CF.1'!E104,'CF.2'!$M$65:$M$108)</f>
        <v>0</v>
      </c>
      <c r="Q104" s="1529">
        <f>SUMIF('CF.2'!$H$112:$H$118,'CF.1'!E104,'CF.2'!$J$112:$J$118)+SUMIF('CF.2'!$K$112:$K$118,'CF.1'!E104,'CF.2'!$M$112:$M$118)</f>
        <v>0</v>
      </c>
      <c r="R104" s="1529">
        <f>SUMIF('CF.2'!$H$123:$H$134,'CF.1'!E104,'CF.2'!$J$123:$J$134)+SUMIF('CF.2'!$K$123:$K$134,'CF.1'!E104,'CF.2'!$M$123:$M$134)</f>
        <v>0</v>
      </c>
      <c r="S104" s="1530">
        <f t="shared" si="12"/>
        <v>0</v>
      </c>
      <c r="U104" s="1532">
        <f t="shared" si="13"/>
        <v>0</v>
      </c>
    </row>
    <row r="105" spans="3:26" ht="18" customHeight="1">
      <c r="C105" s="1359">
        <v>1</v>
      </c>
      <c r="D105" s="1527" t="s">
        <v>861</v>
      </c>
      <c r="E105" s="1501" t="s">
        <v>861</v>
      </c>
      <c r="F105" s="1528"/>
      <c r="G105" s="1501" t="s">
        <v>862</v>
      </c>
      <c r="H105" s="1825">
        <v>0</v>
      </c>
      <c r="I105" s="1826">
        <v>0</v>
      </c>
      <c r="J105" s="1826">
        <v>0</v>
      </c>
      <c r="K105" s="1826">
        <v>0</v>
      </c>
      <c r="L105" s="1530">
        <f t="shared" si="11"/>
        <v>0</v>
      </c>
      <c r="N105" s="1531">
        <f>SUMIF('CF.2'!$H$5:$H$25,'CF.1'!E105,'CF.2'!$J$5:$J$25)-SUMIF('CF.2'!$K$5:$K$25,'CF.1'!E105,'CF.2'!$M$5:$M$25)</f>
        <v>0</v>
      </c>
      <c r="O105" s="1529">
        <f>SUMIF('CF.2'!$H$31:$H$60,'CF.1'!E105,'CF.2'!$J$31:$J$60)+SUMIF('CF.2'!$K$31:$K$60,'CF.1'!E105,'CF.2'!$M$31:$M$60)</f>
        <v>0</v>
      </c>
      <c r="P105" s="1529">
        <f>SUMIF('CF.2'!$H$65:$H$108,'CF.1'!E105,'CF.2'!$J$65:$J$108)+SUMIF('CF.2'!$K$65:$K$108,'CF.1'!E105,'CF.2'!$M$65:$M$108)</f>
        <v>0</v>
      </c>
      <c r="Q105" s="1529">
        <f>SUMIF('CF.2'!$H$112:$H$118,'CF.1'!E105,'CF.2'!$J$112:$J$118)+SUMIF('CF.2'!$K$112:$K$118,'CF.1'!E105,'CF.2'!$M$112:$M$118)</f>
        <v>0</v>
      </c>
      <c r="R105" s="1529">
        <f>SUMIF('CF.2'!$H$123:$H$134,'CF.1'!E105,'CF.2'!$J$123:$J$134)+SUMIF('CF.2'!$K$123:$K$134,'CF.1'!E105,'CF.2'!$M$123:$M$134)</f>
        <v>0</v>
      </c>
      <c r="S105" s="1530">
        <f t="shared" si="12"/>
        <v>0</v>
      </c>
      <c r="U105" s="1532">
        <f t="shared" si="13"/>
        <v>0</v>
      </c>
    </row>
    <row r="106" spans="3:26" ht="18" customHeight="1">
      <c r="C106" s="1359">
        <v>1</v>
      </c>
      <c r="D106" s="1527" t="s">
        <v>863</v>
      </c>
      <c r="E106" s="1501" t="s">
        <v>863</v>
      </c>
      <c r="F106" s="1528"/>
      <c r="G106" s="1501" t="s">
        <v>864</v>
      </c>
      <c r="H106" s="1825">
        <v>0</v>
      </c>
      <c r="I106" s="1826">
        <v>0</v>
      </c>
      <c r="J106" s="1826">
        <v>0</v>
      </c>
      <c r="K106" s="1826">
        <v>0</v>
      </c>
      <c r="L106" s="1530">
        <f t="shared" si="11"/>
        <v>0</v>
      </c>
      <c r="N106" s="1531">
        <f>SUMIF('CF.2'!$H$5:$H$25,'CF.1'!E106,'CF.2'!$J$5:$J$25)-SUMIF('CF.2'!$K$5:$K$25,'CF.1'!E106,'CF.2'!$M$5:$M$25)</f>
        <v>0</v>
      </c>
      <c r="O106" s="1529">
        <f>SUMIF('CF.2'!$H$31:$H$60,'CF.1'!E106,'CF.2'!$J$31:$J$60)+SUMIF('CF.2'!$K$31:$K$60,'CF.1'!E106,'CF.2'!$M$31:$M$60)</f>
        <v>0</v>
      </c>
      <c r="P106" s="1529">
        <f>SUMIF('CF.2'!$H$65:$H$108,'CF.1'!E106,'CF.2'!$J$65:$J$108)+SUMIF('CF.2'!$K$65:$K$108,'CF.1'!E106,'CF.2'!$M$65:$M$108)</f>
        <v>0</v>
      </c>
      <c r="Q106" s="1529">
        <f>SUMIF('CF.2'!$H$112:$H$118,'CF.1'!E106,'CF.2'!$J$112:$J$118)+SUMIF('CF.2'!$K$112:$K$118,'CF.1'!E106,'CF.2'!$M$112:$M$118)</f>
        <v>0</v>
      </c>
      <c r="R106" s="1529">
        <f>SUMIF('CF.2'!$H$123:$H$134,'CF.1'!E106,'CF.2'!$J$123:$J$134)+SUMIF('CF.2'!$K$123:$K$134,'CF.1'!E106,'CF.2'!$M$123:$M$134)</f>
        <v>0</v>
      </c>
      <c r="S106" s="1530">
        <f t="shared" si="12"/>
        <v>0</v>
      </c>
      <c r="U106" s="1532">
        <f t="shared" si="13"/>
        <v>0</v>
      </c>
    </row>
    <row r="107" spans="3:26" ht="18" customHeight="1">
      <c r="C107" s="1359">
        <v>1</v>
      </c>
      <c r="D107" s="1527" t="s">
        <v>865</v>
      </c>
      <c r="E107" s="1501" t="s">
        <v>865</v>
      </c>
      <c r="F107" s="1528"/>
      <c r="G107" s="1501" t="s">
        <v>866</v>
      </c>
      <c r="H107" s="1825">
        <v>0</v>
      </c>
      <c r="I107" s="1826">
        <v>0</v>
      </c>
      <c r="J107" s="1826">
        <v>0</v>
      </c>
      <c r="K107" s="1826">
        <v>0</v>
      </c>
      <c r="L107" s="1530">
        <f t="shared" si="11"/>
        <v>0</v>
      </c>
      <c r="N107" s="1531">
        <f>SUMIF('CF.2'!$H$5:$H$25,'CF.1'!E107,'CF.2'!$J$5:$J$25)-SUMIF('CF.2'!$K$5:$K$25,'CF.1'!E107,'CF.2'!$M$5:$M$25)</f>
        <v>0</v>
      </c>
      <c r="O107" s="1529">
        <f>SUMIF('CF.2'!$H$31:$H$60,'CF.1'!E107,'CF.2'!$J$31:$J$60)+SUMIF('CF.2'!$K$31:$K$60,'CF.1'!E107,'CF.2'!$M$31:$M$60)</f>
        <v>0</v>
      </c>
      <c r="P107" s="1529">
        <f>SUMIF('CF.2'!$H$65:$H$108,'CF.1'!E107,'CF.2'!$J$65:$J$108)+SUMIF('CF.2'!$K$65:$K$108,'CF.1'!E107,'CF.2'!$M$65:$M$108)</f>
        <v>0</v>
      </c>
      <c r="Q107" s="1529">
        <f>SUMIF('CF.2'!$H$112:$H$118,'CF.1'!E107,'CF.2'!$J$112:$J$118)+SUMIF('CF.2'!$K$112:$K$118,'CF.1'!E107,'CF.2'!$M$112:$M$118)</f>
        <v>0</v>
      </c>
      <c r="R107" s="1529">
        <f>SUMIF('CF.2'!$H$123:$H$134,'CF.1'!E107,'CF.2'!$J$123:$J$134)+SUMIF('CF.2'!$K$123:$K$134,'CF.1'!E107,'CF.2'!$M$123:$M$134)</f>
        <v>0</v>
      </c>
      <c r="S107" s="1530">
        <f t="shared" si="12"/>
        <v>0</v>
      </c>
      <c r="U107" s="1532">
        <f t="shared" si="13"/>
        <v>0</v>
      </c>
    </row>
    <row r="108" spans="3:26" ht="18" customHeight="1">
      <c r="C108" s="1359">
        <v>1</v>
      </c>
      <c r="D108" s="1527" t="s">
        <v>867</v>
      </c>
      <c r="E108" s="1501" t="s">
        <v>867</v>
      </c>
      <c r="F108" s="1528"/>
      <c r="G108" s="1501" t="s">
        <v>868</v>
      </c>
      <c r="H108" s="1825">
        <v>0</v>
      </c>
      <c r="I108" s="1826">
        <v>0</v>
      </c>
      <c r="J108" s="1826">
        <v>0</v>
      </c>
      <c r="K108" s="1826">
        <v>0</v>
      </c>
      <c r="L108" s="1530">
        <f t="shared" ref="L108:L126" si="14">SUM(H108:K108)</f>
        <v>0</v>
      </c>
      <c r="N108" s="1531">
        <f>SUMIF('CF.2'!$H$5:$H$25,'CF.1'!E108,'CF.2'!$J$5:$J$25)-SUMIF('CF.2'!$K$5:$K$25,'CF.1'!E108,'CF.2'!$M$5:$M$25)</f>
        <v>0</v>
      </c>
      <c r="O108" s="1529">
        <f>SUMIF('CF.2'!$H$31:$H$60,'CF.1'!E108,'CF.2'!$J$31:$J$60)+SUMIF('CF.2'!$K$31:$K$60,'CF.1'!E108,'CF.2'!$M$31:$M$60)</f>
        <v>0</v>
      </c>
      <c r="P108" s="1529">
        <f>SUMIF('CF.2'!$H$65:$H$108,'CF.1'!E108,'CF.2'!$J$65:$J$108)+SUMIF('CF.2'!$K$65:$K$108,'CF.1'!E108,'CF.2'!$M$65:$M$108)</f>
        <v>0</v>
      </c>
      <c r="Q108" s="1529">
        <f>SUMIF('CF.2'!$H$112:$H$118,'CF.1'!E108,'CF.2'!$J$112:$J$118)+SUMIF('CF.2'!$K$112:$K$118,'CF.1'!E108,'CF.2'!$M$112:$M$118)</f>
        <v>0</v>
      </c>
      <c r="R108" s="1529">
        <f>SUMIF('CF.2'!$H$123:$H$134,'CF.1'!E108,'CF.2'!$J$123:$J$134)+SUMIF('CF.2'!$K$123:$K$134,'CF.1'!E108,'CF.2'!$M$123:$M$134)</f>
        <v>0</v>
      </c>
      <c r="S108" s="1530">
        <f t="shared" ref="S108:S126" si="15">SUM(N108:R108)</f>
        <v>0</v>
      </c>
      <c r="U108" s="1532">
        <f t="shared" ref="U108:U126" si="16">ROUND(S108+L108,0)</f>
        <v>0</v>
      </c>
    </row>
    <row r="109" spans="3:26" ht="18" customHeight="1">
      <c r="C109" s="1359">
        <v>1</v>
      </c>
      <c r="D109" s="1527" t="s">
        <v>869</v>
      </c>
      <c r="E109" s="1501" t="s">
        <v>869</v>
      </c>
      <c r="F109" s="1528" t="s">
        <v>870</v>
      </c>
      <c r="G109" s="1501" t="s">
        <v>870</v>
      </c>
      <c r="H109" s="1427">
        <v>0</v>
      </c>
      <c r="I109" s="1826">
        <v>0</v>
      </c>
      <c r="J109" s="1826">
        <v>0</v>
      </c>
      <c r="K109" s="1826">
        <v>0</v>
      </c>
      <c r="L109" s="1530">
        <f t="shared" si="14"/>
        <v>0</v>
      </c>
      <c r="N109" s="1531">
        <f>SUMIF('CF.2'!$H$5:$H$25,'CF.1'!E109,'CF.2'!$J$5:$J$25)-SUMIF('CF.2'!$K$5:$K$25,'CF.1'!E109,'CF.2'!$M$5:$M$25)</f>
        <v>0</v>
      </c>
      <c r="O109" s="1529">
        <f>SUMIF('CF.2'!$H$31:$H$60,'CF.1'!E109,'CF.2'!$J$31:$J$60)+SUMIF('CF.2'!$K$31:$K$60,'CF.1'!E109,'CF.2'!$M$31:$M$60)</f>
        <v>0</v>
      </c>
      <c r="P109" s="1529">
        <f>SUMIF('CF.2'!$H$65:$H$108,'CF.1'!E109,'CF.2'!$J$65:$J$108)+SUMIF('CF.2'!$K$65:$K$108,'CF.1'!E109,'CF.2'!$M$65:$M$108)</f>
        <v>0</v>
      </c>
      <c r="Q109" s="1529">
        <f>SUMIF('CF.2'!$H$112:$H$118,'CF.1'!E109,'CF.2'!$J$112:$J$118)+SUMIF('CF.2'!$K$112:$K$118,'CF.1'!E109,'CF.2'!$M$112:$M$118)</f>
        <v>0</v>
      </c>
      <c r="R109" s="1529">
        <f>SUMIF('CF.2'!$H$123:$H$134,'CF.1'!E109,'CF.2'!$J$123:$J$134)+SUMIF('CF.2'!$K$123:$K$134,'CF.1'!E109,'CF.2'!$M$123:$M$134)</f>
        <v>0</v>
      </c>
      <c r="S109" s="1530">
        <f t="shared" si="15"/>
        <v>0</v>
      </c>
      <c r="U109" s="1532">
        <f t="shared" si="16"/>
        <v>0</v>
      </c>
      <c r="W109" s="1359" t="b">
        <f>U109=T_IS!X40</f>
        <v>0</v>
      </c>
    </row>
    <row r="110" spans="3:26" ht="18" customHeight="1">
      <c r="C110" s="1359">
        <v>1</v>
      </c>
      <c r="D110" s="1527" t="s">
        <v>871</v>
      </c>
      <c r="E110" s="1501" t="s">
        <v>871</v>
      </c>
      <c r="F110" s="1528"/>
      <c r="G110" s="1501" t="s">
        <v>872</v>
      </c>
      <c r="H110" s="1825">
        <v>0</v>
      </c>
      <c r="I110" s="1826">
        <v>0</v>
      </c>
      <c r="J110" s="1826">
        <v>0</v>
      </c>
      <c r="K110" s="1826">
        <v>0</v>
      </c>
      <c r="L110" s="1530">
        <f t="shared" si="14"/>
        <v>0</v>
      </c>
      <c r="N110" s="1531">
        <f>SUMIF('CF.2'!$H$5:$H$25,'CF.1'!E110,'CF.2'!$J$5:$J$25)-SUMIF('CF.2'!$K$5:$K$25,'CF.1'!E110,'CF.2'!$M$5:$M$25)</f>
        <v>0</v>
      </c>
      <c r="O110" s="1529">
        <f>SUMIF('CF.2'!$H$31:$H$60,'CF.1'!E110,'CF.2'!$J$31:$J$60)+SUMIF('CF.2'!$K$31:$K$60,'CF.1'!E110,'CF.2'!$M$31:$M$60)</f>
        <v>0</v>
      </c>
      <c r="P110" s="1529">
        <f>SUMIF('CF.2'!$H$65:$H$108,'CF.1'!E110,'CF.2'!$J$65:$J$108)+SUMIF('CF.2'!$K$65:$K$108,'CF.1'!E110,'CF.2'!$M$65:$M$108)</f>
        <v>0</v>
      </c>
      <c r="Q110" s="1529">
        <f>SUMIF('CF.2'!$H$112:$H$118,'CF.1'!E110,'CF.2'!$J$112:$J$118)+SUMIF('CF.2'!$K$112:$K$118,'CF.1'!E110,'CF.2'!$M$112:$M$118)</f>
        <v>0</v>
      </c>
      <c r="R110" s="1529">
        <f>SUMIF('CF.2'!$H$123:$H$134,'CF.1'!E110,'CF.2'!$J$123:$J$134)+SUMIF('CF.2'!$K$123:$K$134,'CF.1'!E110,'CF.2'!$M$123:$M$134)</f>
        <v>0</v>
      </c>
      <c r="S110" s="1530">
        <f t="shared" si="15"/>
        <v>0</v>
      </c>
      <c r="U110" s="1532">
        <f t="shared" si="16"/>
        <v>0</v>
      </c>
    </row>
    <row r="111" spans="3:26" ht="18" customHeight="1">
      <c r="C111" s="1359">
        <v>1</v>
      </c>
      <c r="D111" s="1527" t="s">
        <v>873</v>
      </c>
      <c r="E111" s="1501" t="s">
        <v>873</v>
      </c>
      <c r="F111" s="1528" t="s">
        <v>673</v>
      </c>
      <c r="G111" s="1501" t="s">
        <v>673</v>
      </c>
      <c r="H111" s="1825">
        <v>-1680822924</v>
      </c>
      <c r="I111" s="1826">
        <v>-5363942</v>
      </c>
      <c r="J111" s="1826"/>
      <c r="K111" s="1826">
        <v>-27641124</v>
      </c>
      <c r="L111" s="1530">
        <f t="shared" si="14"/>
        <v>-1713827990</v>
      </c>
      <c r="N111" s="1531">
        <f>SUMIF('CF.2'!$H$5:$H$25,'CF.1'!E111,'CF.2'!$J$5:$J$25)-SUMIF('CF.2'!$K$5:$K$25,'CF.1'!E111,'CF.2'!$M$5:$M$25)</f>
        <v>0</v>
      </c>
      <c r="O111" s="1529">
        <f>SUMIF('CF.2'!$H$31:$H$60,'CF.1'!E111,'CF.2'!$J$31:$J$60)+SUMIF('CF.2'!$K$31:$K$60,'CF.1'!E111,'CF.2'!$M$31:$M$60)</f>
        <v>0</v>
      </c>
      <c r="P111" s="1529">
        <f>SUMIF('CF.2'!$H$65:$H$108,'CF.1'!E111,'CF.2'!$J$65:$J$108)+SUMIF('CF.2'!$K$65:$K$108,'CF.1'!E111,'CF.2'!$M$65:$M$108)</f>
        <v>46841095</v>
      </c>
      <c r="Q111" s="1529">
        <f>SUMIF('CF.2'!$H$112:$H$118,'CF.1'!E111,'CF.2'!$J$112:$J$118)+SUMIF('CF.2'!$K$112:$K$118,'CF.1'!E111,'CF.2'!$M$112:$M$118)</f>
        <v>0</v>
      </c>
      <c r="R111" s="1529">
        <f>SUMIF('CF.2'!$H$123:$H$134,'CF.1'!E111,'CF.2'!$J$123:$J$134)+SUMIF('CF.2'!$K$123:$K$134,'CF.1'!E111,'CF.2'!$M$123:$M$134)</f>
        <v>0</v>
      </c>
      <c r="S111" s="1530">
        <f t="shared" si="15"/>
        <v>46841095</v>
      </c>
      <c r="U111" s="1537">
        <f t="shared" si="16"/>
        <v>-1666986895</v>
      </c>
      <c r="V111" s="1086"/>
      <c r="W111" s="925" t="b">
        <f>U111=-SUM(T_IS!X77:X78)</f>
        <v>0</v>
      </c>
      <c r="X111" s="1086"/>
      <c r="Y111" s="1086"/>
      <c r="Z111" s="1086"/>
    </row>
    <row r="112" spans="3:26" ht="18" customHeight="1">
      <c r="C112" s="1359">
        <v>1</v>
      </c>
      <c r="D112" s="1527" t="s">
        <v>874</v>
      </c>
      <c r="E112" s="1501" t="s">
        <v>874</v>
      </c>
      <c r="F112" s="1528"/>
      <c r="G112" s="1501" t="s">
        <v>875</v>
      </c>
      <c r="H112" s="1825">
        <v>0</v>
      </c>
      <c r="I112" s="1826">
        <v>0</v>
      </c>
      <c r="J112" s="1826">
        <v>0</v>
      </c>
      <c r="K112" s="1826">
        <v>0</v>
      </c>
      <c r="L112" s="1530">
        <f t="shared" si="14"/>
        <v>0</v>
      </c>
      <c r="N112" s="1531">
        <f>SUMIF('CF.2'!$H$5:$H$25,'CF.1'!E112,'CF.2'!$J$5:$J$25)-SUMIF('CF.2'!$K$5:$K$25,'CF.1'!E112,'CF.2'!$M$5:$M$25)</f>
        <v>0</v>
      </c>
      <c r="O112" s="1529">
        <f>SUMIF('CF.2'!$H$31:$H$60,'CF.1'!E112,'CF.2'!$J$31:$J$60)+SUMIF('CF.2'!$K$31:$K$60,'CF.1'!E112,'CF.2'!$M$31:$M$60)</f>
        <v>0</v>
      </c>
      <c r="P112" s="1529">
        <f>SUMIF('CF.2'!$H$65:$H$108,'CF.1'!E112,'CF.2'!$J$65:$J$108)+SUMIF('CF.2'!$K$65:$K$108,'CF.1'!E112,'CF.2'!$M$65:$M$108)</f>
        <v>0</v>
      </c>
      <c r="Q112" s="1529">
        <f>SUMIF('CF.2'!$H$112:$H$118,'CF.1'!E112,'CF.2'!$J$112:$J$118)+SUMIF('CF.2'!$K$112:$K$118,'CF.1'!E112,'CF.2'!$M$112:$M$118)</f>
        <v>0</v>
      </c>
      <c r="R112" s="1529">
        <f>SUMIF('CF.2'!$H$123:$H$134,'CF.1'!E112,'CF.2'!$J$123:$J$134)+SUMIF('CF.2'!$K$123:$K$134,'CF.1'!E112,'CF.2'!$M$123:$M$134)</f>
        <v>0</v>
      </c>
      <c r="S112" s="1530">
        <f t="shared" si="15"/>
        <v>0</v>
      </c>
      <c r="U112" s="1532">
        <f t="shared" si="16"/>
        <v>0</v>
      </c>
    </row>
    <row r="113" spans="3:30" ht="18" customHeight="1">
      <c r="C113" s="1359">
        <v>1</v>
      </c>
      <c r="D113" s="1527" t="s">
        <v>876</v>
      </c>
      <c r="E113" s="1501" t="s">
        <v>876</v>
      </c>
      <c r="F113" s="1528"/>
      <c r="G113" s="1501" t="s">
        <v>877</v>
      </c>
      <c r="H113" s="1825">
        <v>0</v>
      </c>
      <c r="I113" s="1826">
        <v>0</v>
      </c>
      <c r="J113" s="1826">
        <v>0</v>
      </c>
      <c r="K113" s="1826">
        <v>0</v>
      </c>
      <c r="L113" s="1530">
        <f t="shared" si="14"/>
        <v>0</v>
      </c>
      <c r="N113" s="1531">
        <f>SUMIF('CF.2'!$H$5:$H$25,'CF.1'!E113,'CF.2'!$J$5:$J$25)-SUMIF('CF.2'!$K$5:$K$25,'CF.1'!E113,'CF.2'!$M$5:$M$25)</f>
        <v>0</v>
      </c>
      <c r="O113" s="1529">
        <f>SUMIF('CF.2'!$H$31:$H$60,'CF.1'!E113,'CF.2'!$J$31:$J$60)+SUMIF('CF.2'!$K$31:$K$60,'CF.1'!E113,'CF.2'!$M$31:$M$60)</f>
        <v>0</v>
      </c>
      <c r="P113" s="1529">
        <f>SUMIF('CF.2'!$H$65:$H$108,'CF.1'!E113,'CF.2'!$J$65:$J$108)+SUMIF('CF.2'!$K$65:$K$108,'CF.1'!E113,'CF.2'!$M$65:$M$108)</f>
        <v>0</v>
      </c>
      <c r="Q113" s="1529">
        <f>SUMIF('CF.2'!$H$112:$H$118,'CF.1'!E113,'CF.2'!$J$112:$J$118)+SUMIF('CF.2'!$K$112:$K$118,'CF.1'!E113,'CF.2'!$M$112:$M$118)</f>
        <v>0</v>
      </c>
      <c r="R113" s="1529">
        <f>SUMIF('CF.2'!$H$123:$H$134,'CF.1'!E113,'CF.2'!$J$123:$J$134)+SUMIF('CF.2'!$K$123:$K$134,'CF.1'!E113,'CF.2'!$M$123:$M$134)</f>
        <v>0</v>
      </c>
      <c r="S113" s="1530">
        <f t="shared" si="15"/>
        <v>0</v>
      </c>
      <c r="U113" s="1532">
        <f t="shared" si="16"/>
        <v>0</v>
      </c>
    </row>
    <row r="114" spans="3:30" ht="18" customHeight="1">
      <c r="C114" s="1359">
        <v>1</v>
      </c>
      <c r="D114" s="1527" t="s">
        <v>878</v>
      </c>
      <c r="E114" s="1501" t="s">
        <v>878</v>
      </c>
      <c r="F114" s="1528"/>
      <c r="G114" s="1501" t="s">
        <v>879</v>
      </c>
      <c r="H114" s="1825">
        <v>0</v>
      </c>
      <c r="I114" s="1826">
        <v>0</v>
      </c>
      <c r="J114" s="1826">
        <v>0</v>
      </c>
      <c r="K114" s="1826">
        <v>0</v>
      </c>
      <c r="L114" s="1530">
        <f t="shared" si="14"/>
        <v>0</v>
      </c>
      <c r="N114" s="1531">
        <f>SUMIF('CF.2'!$H$5:$H$25,'CF.1'!E114,'CF.2'!$J$5:$J$25)-SUMIF('CF.2'!$K$5:$K$25,'CF.1'!E114,'CF.2'!$M$5:$M$25)</f>
        <v>0</v>
      </c>
      <c r="O114" s="1529">
        <f>SUMIF('CF.2'!$H$31:$H$60,'CF.1'!E114,'CF.2'!$J$31:$J$60)+SUMIF('CF.2'!$K$31:$K$60,'CF.1'!E114,'CF.2'!$M$31:$M$60)</f>
        <v>0</v>
      </c>
      <c r="P114" s="1529">
        <f>SUMIF('CF.2'!$H$65:$H$108,'CF.1'!E114,'CF.2'!$J$65:$J$108)+SUMIF('CF.2'!$K$65:$K$108,'CF.1'!E114,'CF.2'!$M$65:$M$108)</f>
        <v>0</v>
      </c>
      <c r="Q114" s="1529">
        <f>SUMIF('CF.2'!$H$112:$H$118,'CF.1'!E114,'CF.2'!$J$112:$J$118)+SUMIF('CF.2'!$K$112:$K$118,'CF.1'!E114,'CF.2'!$M$112:$M$118)</f>
        <v>0</v>
      </c>
      <c r="R114" s="1529">
        <f>SUMIF('CF.2'!$H$123:$H$134,'CF.1'!E114,'CF.2'!$J$123:$J$134)+SUMIF('CF.2'!$K$123:$K$134,'CF.1'!E114,'CF.2'!$M$123:$M$134)</f>
        <v>0</v>
      </c>
      <c r="S114" s="1530">
        <f t="shared" si="15"/>
        <v>0</v>
      </c>
      <c r="U114" s="1532">
        <f t="shared" si="16"/>
        <v>0</v>
      </c>
    </row>
    <row r="115" spans="3:30" s="1547" customFormat="1" ht="18" customHeight="1">
      <c r="C115" s="1359">
        <v>1</v>
      </c>
      <c r="D115" s="1541" t="s">
        <v>809</v>
      </c>
      <c r="E115" s="1542" t="s">
        <v>880</v>
      </c>
      <c r="F115" s="1543" t="s">
        <v>1418</v>
      </c>
      <c r="G115" s="1542" t="s">
        <v>881</v>
      </c>
      <c r="H115" s="1825">
        <v>0</v>
      </c>
      <c r="I115" s="1826">
        <v>0</v>
      </c>
      <c r="J115" s="1826">
        <v>0</v>
      </c>
      <c r="K115" s="1826">
        <v>0</v>
      </c>
      <c r="L115" s="1530">
        <f t="shared" si="14"/>
        <v>0</v>
      </c>
      <c r="N115" s="1545">
        <f>SUMIF('CF.2'!$H$5:$H$25,'CF.1'!E115,'CF.2'!$J$5:$J$25)-SUMIF('CF.2'!$K$5:$K$25,'CF.1'!E115,'CF.2'!$M$5:$M$25)</f>
        <v>0</v>
      </c>
      <c r="O115" s="1546">
        <f>SUMIF('CF.2'!$H$31:$H$60,'CF.1'!E115,'CF.2'!$J$31:$J$60)+SUMIF('CF.2'!$K$31:$K$60,'CF.1'!E115,'CF.2'!$M$31:$M$60)</f>
        <v>0</v>
      </c>
      <c r="P115" s="1546">
        <f>SUMIF('CF.2'!$H$65:$H$108,'CF.1'!E115,'CF.2'!$J$65:$J$108)+SUMIF('CF.2'!$K$65:$K$108,'CF.1'!E115,'CF.2'!$M$65:$M$108)</f>
        <v>0</v>
      </c>
      <c r="Q115" s="1546">
        <f>SUMIF('CF.2'!$H$112:$H$118,'CF.1'!E115,'CF.2'!$J$112:$J$118)+SUMIF('CF.2'!$K$112:$K$118,'CF.1'!E115,'CF.2'!$M$112:$M$118)</f>
        <v>0</v>
      </c>
      <c r="R115" s="1546">
        <f>SUMIF('CF.2'!$H$123:$H$134,'CF.1'!E115,'CF.2'!$J$123:$J$134)+SUMIF('CF.2'!$K$123:$K$134,'CF.1'!E115,'CF.2'!$M$123:$M$134)</f>
        <v>0</v>
      </c>
      <c r="S115" s="1544">
        <f t="shared" si="15"/>
        <v>0</v>
      </c>
      <c r="U115" s="1532">
        <f t="shared" si="16"/>
        <v>0</v>
      </c>
      <c r="X115" s="1359"/>
      <c r="Y115" s="1359"/>
      <c r="Z115" s="1359"/>
      <c r="AD115" s="1359"/>
    </row>
    <row r="116" spans="3:30" s="1547" customFormat="1" ht="18" customHeight="1">
      <c r="C116" s="1359">
        <v>1</v>
      </c>
      <c r="D116" s="1541" t="s">
        <v>2564</v>
      </c>
      <c r="E116" s="1542" t="s">
        <v>882</v>
      </c>
      <c r="F116" s="1543" t="s">
        <v>1419</v>
      </c>
      <c r="G116" s="1542" t="s">
        <v>883</v>
      </c>
      <c r="H116" s="1825">
        <v>-3510625687</v>
      </c>
      <c r="I116" s="1826">
        <v>0</v>
      </c>
      <c r="J116" s="1826">
        <v>0</v>
      </c>
      <c r="K116" s="1826">
        <v>0</v>
      </c>
      <c r="L116" s="1530">
        <f t="shared" si="14"/>
        <v>-3510625687</v>
      </c>
      <c r="N116" s="1545">
        <f>SUMIF('CF.2'!$H$5:$H$25,'CF.1'!E116,'CF.2'!$J$5:$J$25)-SUMIF('CF.2'!$K$5:$K$25,'CF.1'!E116,'CF.2'!$M$5:$M$25)</f>
        <v>0</v>
      </c>
      <c r="O116" s="1546">
        <f>SUMIF('CF.2'!$H$31:$H$60,'CF.1'!E116,'CF.2'!$J$31:$J$60)+SUMIF('CF.2'!$K$31:$K$60,'CF.1'!E116,'CF.2'!$M$31:$M$60)</f>
        <v>0</v>
      </c>
      <c r="P116" s="1546">
        <f>SUMIF('CF.2'!$H$65:$H$108,'CF.1'!E116,'CF.2'!$J$65:$J$108)+SUMIF('CF.2'!$K$65:$K$108,'CF.1'!E116,'CF.2'!$M$65:$M$108)</f>
        <v>0</v>
      </c>
      <c r="Q116" s="1546">
        <f>SUMIF('CF.2'!$H$112:$H$118,'CF.1'!E116,'CF.2'!$J$112:$J$118)+SUMIF('CF.2'!$K$112:$K$118,'CF.1'!E116,'CF.2'!$M$112:$M$118)</f>
        <v>0</v>
      </c>
      <c r="R116" s="1546">
        <f>SUMIF('CF.2'!$H$123:$H$134,'CF.1'!E116,'CF.2'!$J$123:$J$134)+SUMIF('CF.2'!$K$123:$K$134,'CF.1'!E116,'CF.2'!$M$123:$M$134)</f>
        <v>0</v>
      </c>
      <c r="S116" s="1544">
        <f t="shared" si="15"/>
        <v>0</v>
      </c>
      <c r="U116" s="1532">
        <f t="shared" si="16"/>
        <v>-3510625687</v>
      </c>
      <c r="W116" s="710" t="b">
        <f>U116=-T_IS!X86</f>
        <v>1</v>
      </c>
      <c r="Y116" s="1359"/>
      <c r="AD116" s="1359"/>
    </row>
    <row r="117" spans="3:30" ht="18" customHeight="1">
      <c r="C117" s="1359">
        <v>1</v>
      </c>
      <c r="D117" s="1527" t="s">
        <v>884</v>
      </c>
      <c r="E117" s="1501" t="s">
        <v>884</v>
      </c>
      <c r="F117" s="1528"/>
      <c r="G117" s="1501" t="s">
        <v>885</v>
      </c>
      <c r="H117" s="1825">
        <v>0</v>
      </c>
      <c r="I117" s="1826">
        <v>0</v>
      </c>
      <c r="J117" s="1826">
        <v>0</v>
      </c>
      <c r="K117" s="1826">
        <v>0</v>
      </c>
      <c r="L117" s="1530">
        <f t="shared" si="14"/>
        <v>0</v>
      </c>
      <c r="N117" s="1531">
        <f>SUMIF('CF.2'!$H$5:$H$25,'CF.1'!E117,'CF.2'!$J$5:$J$25)-SUMIF('CF.2'!$K$5:$K$25,'CF.1'!E117,'CF.2'!$M$5:$M$25)</f>
        <v>0</v>
      </c>
      <c r="O117" s="1529">
        <f>SUMIF('CF.2'!$H$31:$H$60,'CF.1'!E117,'CF.2'!$J$31:$J$60)+SUMIF('CF.2'!$K$31:$K$60,'CF.1'!E117,'CF.2'!$M$31:$M$60)</f>
        <v>0</v>
      </c>
      <c r="P117" s="1529">
        <f>SUMIF('CF.2'!$H$65:$H$108,'CF.1'!E117,'CF.2'!$J$65:$J$108)+SUMIF('CF.2'!$K$65:$K$108,'CF.1'!E117,'CF.2'!$M$65:$M$108)</f>
        <v>0</v>
      </c>
      <c r="Q117" s="1529">
        <f>SUMIF('CF.2'!$H$112:$H$118,'CF.1'!E117,'CF.2'!$J$112:$J$118)+SUMIF('CF.2'!$K$112:$K$118,'CF.1'!E117,'CF.2'!$M$112:$M$118)</f>
        <v>0</v>
      </c>
      <c r="R117" s="1529">
        <f>SUMIF('CF.2'!$H$123:$H$134,'CF.1'!E117,'CF.2'!$J$123:$J$134)+SUMIF('CF.2'!$K$123:$K$134,'CF.1'!E117,'CF.2'!$M$123:$M$134)</f>
        <v>0</v>
      </c>
      <c r="S117" s="1530">
        <f t="shared" si="15"/>
        <v>0</v>
      </c>
      <c r="U117" s="1532">
        <f t="shared" si="16"/>
        <v>0</v>
      </c>
      <c r="X117" s="1547"/>
      <c r="Z117" s="1547"/>
    </row>
    <row r="118" spans="3:30" ht="18" customHeight="1">
      <c r="C118" s="1359">
        <v>1</v>
      </c>
      <c r="D118" s="1527" t="s">
        <v>886</v>
      </c>
      <c r="E118" s="1501" t="s">
        <v>886</v>
      </c>
      <c r="F118" s="1528"/>
      <c r="G118" s="1501" t="s">
        <v>887</v>
      </c>
      <c r="H118" s="1825">
        <v>0</v>
      </c>
      <c r="I118" s="1826">
        <v>0</v>
      </c>
      <c r="J118" s="1826">
        <v>0</v>
      </c>
      <c r="K118" s="1826">
        <v>0</v>
      </c>
      <c r="L118" s="1530">
        <f t="shared" si="14"/>
        <v>0</v>
      </c>
      <c r="N118" s="1531">
        <f>SUMIF('CF.2'!$H$5:$H$25,'CF.1'!E118,'CF.2'!$J$5:$J$25)-SUMIF('CF.2'!$K$5:$K$25,'CF.1'!E118,'CF.2'!$M$5:$M$25)</f>
        <v>0</v>
      </c>
      <c r="O118" s="1529">
        <f>SUMIF('CF.2'!$H$31:$H$60,'CF.1'!E118,'CF.2'!$J$31:$J$60)+SUMIF('CF.2'!$K$31:$K$60,'CF.1'!E118,'CF.2'!$M$31:$M$60)</f>
        <v>0</v>
      </c>
      <c r="P118" s="1529">
        <f>SUMIF('CF.2'!$H$65:$H$108,'CF.1'!E118,'CF.2'!$J$65:$J$108)+SUMIF('CF.2'!$K$65:$K$108,'CF.1'!E118,'CF.2'!$M$65:$M$108)</f>
        <v>0</v>
      </c>
      <c r="Q118" s="1529">
        <f>SUMIF('CF.2'!$H$112:$H$118,'CF.1'!E118,'CF.2'!$J$112:$J$118)+SUMIF('CF.2'!$K$112:$K$118,'CF.1'!E118,'CF.2'!$M$112:$M$118)</f>
        <v>0</v>
      </c>
      <c r="R118" s="1529">
        <f>SUMIF('CF.2'!$H$123:$H$134,'CF.1'!E118,'CF.2'!$J$123:$J$134)+SUMIF('CF.2'!$K$123:$K$134,'CF.1'!E118,'CF.2'!$M$123:$M$134)</f>
        <v>0</v>
      </c>
      <c r="S118" s="1530">
        <f t="shared" si="15"/>
        <v>0</v>
      </c>
      <c r="U118" s="1532">
        <f t="shared" si="16"/>
        <v>0</v>
      </c>
    </row>
    <row r="119" spans="3:30" ht="18" customHeight="1">
      <c r="C119" s="1359">
        <v>1</v>
      </c>
      <c r="D119" s="1527" t="s">
        <v>888</v>
      </c>
      <c r="E119" s="1501" t="s">
        <v>888</v>
      </c>
      <c r="F119" s="1528"/>
      <c r="G119" s="1501" t="s">
        <v>889</v>
      </c>
      <c r="H119" s="1825">
        <v>0</v>
      </c>
      <c r="I119" s="1826">
        <v>0</v>
      </c>
      <c r="J119" s="1826">
        <v>0</v>
      </c>
      <c r="K119" s="1826">
        <v>0</v>
      </c>
      <c r="L119" s="1530">
        <f t="shared" si="14"/>
        <v>0</v>
      </c>
      <c r="N119" s="1531">
        <f>SUMIF('CF.2'!$H$5:$H$25,'CF.1'!E119,'CF.2'!$J$5:$J$25)-SUMIF('CF.2'!$K$5:$K$25,'CF.1'!E119,'CF.2'!$M$5:$M$25)</f>
        <v>0</v>
      </c>
      <c r="O119" s="1529">
        <f>SUMIF('CF.2'!$H$31:$H$60,'CF.1'!E119,'CF.2'!$J$31:$J$60)+SUMIF('CF.2'!$K$31:$K$60,'CF.1'!E119,'CF.2'!$M$31:$M$60)</f>
        <v>0</v>
      </c>
      <c r="P119" s="1529">
        <f>SUMIF('CF.2'!$H$65:$H$108,'CF.1'!E119,'CF.2'!$J$65:$J$108)+SUMIF('CF.2'!$K$65:$K$108,'CF.1'!E119,'CF.2'!$M$65:$M$108)</f>
        <v>0</v>
      </c>
      <c r="Q119" s="1529">
        <f>SUMIF('CF.2'!$H$112:$H$118,'CF.1'!E119,'CF.2'!$J$112:$J$118)+SUMIF('CF.2'!$K$112:$K$118,'CF.1'!E119,'CF.2'!$M$112:$M$118)</f>
        <v>0</v>
      </c>
      <c r="R119" s="1529">
        <f>SUMIF('CF.2'!$H$123:$H$134,'CF.1'!E119,'CF.2'!$J$123:$J$134)+SUMIF('CF.2'!$K$123:$K$134,'CF.1'!E119,'CF.2'!$M$123:$M$134)</f>
        <v>0</v>
      </c>
      <c r="S119" s="1530">
        <f t="shared" si="15"/>
        <v>0</v>
      </c>
      <c r="U119" s="1532">
        <f t="shared" si="16"/>
        <v>0</v>
      </c>
    </row>
    <row r="120" spans="3:30" ht="18" customHeight="1">
      <c r="C120" s="1359">
        <v>1</v>
      </c>
      <c r="D120" s="1527" t="s">
        <v>890</v>
      </c>
      <c r="E120" s="1501" t="s">
        <v>890</v>
      </c>
      <c r="F120" s="1528"/>
      <c r="G120" s="1501" t="s">
        <v>891</v>
      </c>
      <c r="H120" s="1825">
        <v>0</v>
      </c>
      <c r="I120" s="1826">
        <v>0</v>
      </c>
      <c r="J120" s="1826">
        <v>0</v>
      </c>
      <c r="K120" s="1826">
        <v>0</v>
      </c>
      <c r="L120" s="1530">
        <f t="shared" si="14"/>
        <v>0</v>
      </c>
      <c r="N120" s="1531">
        <f>SUMIF('CF.2'!$H$5:$H$25,'CF.1'!E120,'CF.2'!$J$5:$J$25)-SUMIF('CF.2'!$K$5:$K$25,'CF.1'!E120,'CF.2'!$M$5:$M$25)</f>
        <v>0</v>
      </c>
      <c r="O120" s="1529">
        <f>SUMIF('CF.2'!$H$31:$H$60,'CF.1'!E120,'CF.2'!$J$31:$J$60)+SUMIF('CF.2'!$K$31:$K$60,'CF.1'!E120,'CF.2'!$M$31:$M$60)</f>
        <v>0</v>
      </c>
      <c r="P120" s="1529">
        <f>SUMIF('CF.2'!$H$65:$H$108,'CF.1'!E120,'CF.2'!$J$65:$J$108)+SUMIF('CF.2'!$K$65:$K$108,'CF.1'!E120,'CF.2'!$M$65:$M$108)</f>
        <v>0</v>
      </c>
      <c r="Q120" s="1529">
        <f>SUMIF('CF.2'!$H$112:$H$118,'CF.1'!E120,'CF.2'!$J$112:$J$118)+SUMIF('CF.2'!$K$112:$K$118,'CF.1'!E120,'CF.2'!$M$112:$M$118)</f>
        <v>0</v>
      </c>
      <c r="R120" s="1529">
        <f>SUMIF('CF.2'!$H$123:$H$134,'CF.1'!E120,'CF.2'!$J$123:$J$134)+SUMIF('CF.2'!$K$123:$K$134,'CF.1'!E120,'CF.2'!$M$123:$M$134)</f>
        <v>0</v>
      </c>
      <c r="S120" s="1530">
        <f t="shared" si="15"/>
        <v>0</v>
      </c>
      <c r="U120" s="1532">
        <f t="shared" si="16"/>
        <v>0</v>
      </c>
    </row>
    <row r="121" spans="3:30" ht="18" customHeight="1">
      <c r="C121" s="1359">
        <v>1</v>
      </c>
      <c r="D121" s="1527" t="s">
        <v>892</v>
      </c>
      <c r="E121" s="1501" t="s">
        <v>892</v>
      </c>
      <c r="F121" s="1528"/>
      <c r="G121" s="1501" t="s">
        <v>893</v>
      </c>
      <c r="H121" s="1825">
        <v>0</v>
      </c>
      <c r="I121" s="1826">
        <v>0</v>
      </c>
      <c r="J121" s="1826">
        <v>0</v>
      </c>
      <c r="K121" s="1826">
        <v>0</v>
      </c>
      <c r="L121" s="1530">
        <f t="shared" si="14"/>
        <v>0</v>
      </c>
      <c r="N121" s="1531">
        <f>SUMIF('CF.2'!$H$5:$H$25,'CF.1'!E121,'CF.2'!$J$5:$J$25)-SUMIF('CF.2'!$K$5:$K$25,'CF.1'!E121,'CF.2'!$M$5:$M$25)</f>
        <v>0</v>
      </c>
      <c r="O121" s="1529">
        <f>SUMIF('CF.2'!$H$31:$H$60,'CF.1'!E121,'CF.2'!$J$31:$J$60)+SUMIF('CF.2'!$K$31:$K$60,'CF.1'!E121,'CF.2'!$M$31:$M$60)</f>
        <v>0</v>
      </c>
      <c r="P121" s="1529">
        <f>SUMIF('CF.2'!$H$65:$H$108,'CF.1'!E121,'CF.2'!$J$65:$J$108)+SUMIF('CF.2'!$K$65:$K$108,'CF.1'!E121,'CF.2'!$M$65:$M$108)</f>
        <v>0</v>
      </c>
      <c r="Q121" s="1529">
        <f>SUMIF('CF.2'!$H$112:$H$118,'CF.1'!E121,'CF.2'!$J$112:$J$118)+SUMIF('CF.2'!$K$112:$K$118,'CF.1'!E121,'CF.2'!$M$112:$M$118)</f>
        <v>0</v>
      </c>
      <c r="R121" s="1529">
        <f>SUMIF('CF.2'!$H$123:$H$134,'CF.1'!E121,'CF.2'!$J$123:$J$134)+SUMIF('CF.2'!$K$123:$K$134,'CF.1'!E121,'CF.2'!$M$123:$M$134)</f>
        <v>0</v>
      </c>
      <c r="S121" s="1530">
        <f t="shared" si="15"/>
        <v>0</v>
      </c>
      <c r="U121" s="1532">
        <f t="shared" si="16"/>
        <v>0</v>
      </c>
    </row>
    <row r="122" spans="3:30" ht="18" customHeight="1">
      <c r="C122" s="1359">
        <v>1</v>
      </c>
      <c r="D122" s="1527" t="s">
        <v>894</v>
      </c>
      <c r="E122" s="1501" t="s">
        <v>894</v>
      </c>
      <c r="F122" s="1528"/>
      <c r="G122" s="1501" t="s">
        <v>895</v>
      </c>
      <c r="H122" s="1825">
        <v>0</v>
      </c>
      <c r="I122" s="1826">
        <v>0</v>
      </c>
      <c r="J122" s="1826">
        <v>0</v>
      </c>
      <c r="K122" s="1826">
        <v>0</v>
      </c>
      <c r="L122" s="1530">
        <f t="shared" si="14"/>
        <v>0</v>
      </c>
      <c r="N122" s="1531">
        <f>SUMIF('CF.2'!$H$5:$H$25,'CF.1'!E122,'CF.2'!$J$5:$J$25)-SUMIF('CF.2'!$K$5:$K$25,'CF.1'!E122,'CF.2'!$M$5:$M$25)</f>
        <v>0</v>
      </c>
      <c r="O122" s="1529">
        <f>SUMIF('CF.2'!$H$31:$H$60,'CF.1'!E122,'CF.2'!$J$31:$J$60)+SUMIF('CF.2'!$K$31:$K$60,'CF.1'!E122,'CF.2'!$M$31:$M$60)</f>
        <v>0</v>
      </c>
      <c r="P122" s="1529">
        <f>SUMIF('CF.2'!$H$65:$H$108,'CF.1'!E122,'CF.2'!$J$65:$J$108)+SUMIF('CF.2'!$K$65:$K$108,'CF.1'!E122,'CF.2'!$M$65:$M$108)</f>
        <v>0</v>
      </c>
      <c r="Q122" s="1529">
        <f>SUMIF('CF.2'!$H$112:$H$118,'CF.1'!E122,'CF.2'!$J$112:$J$118)+SUMIF('CF.2'!$K$112:$K$118,'CF.1'!E122,'CF.2'!$M$112:$M$118)</f>
        <v>0</v>
      </c>
      <c r="R122" s="1529">
        <f>SUMIF('CF.2'!$H$123:$H$134,'CF.1'!E122,'CF.2'!$J$123:$J$134)+SUMIF('CF.2'!$K$123:$K$134,'CF.1'!E122,'CF.2'!$M$123:$M$134)</f>
        <v>0</v>
      </c>
      <c r="S122" s="1530">
        <f t="shared" si="15"/>
        <v>0</v>
      </c>
      <c r="U122" s="1532">
        <f t="shared" si="16"/>
        <v>0</v>
      </c>
    </row>
    <row r="123" spans="3:30" ht="18" customHeight="1">
      <c r="C123" s="1359">
        <v>1</v>
      </c>
      <c r="D123" s="1527" t="s">
        <v>896</v>
      </c>
      <c r="E123" s="1501" t="s">
        <v>896</v>
      </c>
      <c r="F123" s="1528"/>
      <c r="G123" s="1501" t="s">
        <v>897</v>
      </c>
      <c r="H123" s="1825">
        <v>0</v>
      </c>
      <c r="I123" s="1826">
        <v>0</v>
      </c>
      <c r="J123" s="1826">
        <v>0</v>
      </c>
      <c r="K123" s="1826">
        <v>0</v>
      </c>
      <c r="L123" s="1530">
        <f t="shared" si="14"/>
        <v>0</v>
      </c>
      <c r="N123" s="1531">
        <f>SUMIF('CF.2'!$H$5:$H$25,'CF.1'!E123,'CF.2'!$J$5:$J$25)-SUMIF('CF.2'!$K$5:$K$25,'CF.1'!E123,'CF.2'!$M$5:$M$25)</f>
        <v>0</v>
      </c>
      <c r="O123" s="1529">
        <f>SUMIF('CF.2'!$H$31:$H$60,'CF.1'!E123,'CF.2'!$J$31:$J$60)+SUMIF('CF.2'!$K$31:$K$60,'CF.1'!E123,'CF.2'!$M$31:$M$60)</f>
        <v>0</v>
      </c>
      <c r="P123" s="1529">
        <f>SUMIF('CF.2'!$H$65:$H$108,'CF.1'!E123,'CF.2'!$J$65:$J$108)+SUMIF('CF.2'!$K$65:$K$108,'CF.1'!E123,'CF.2'!$M$65:$M$108)</f>
        <v>0</v>
      </c>
      <c r="Q123" s="1529">
        <f>SUMIF('CF.2'!$H$112:$H$118,'CF.1'!E123,'CF.2'!$J$112:$J$118)+SUMIF('CF.2'!$K$112:$K$118,'CF.1'!E123,'CF.2'!$M$112:$M$118)</f>
        <v>0</v>
      </c>
      <c r="R123" s="1529">
        <f>SUMIF('CF.2'!$H$123:$H$134,'CF.1'!E123,'CF.2'!$J$123:$J$134)+SUMIF('CF.2'!$K$123:$K$134,'CF.1'!E123,'CF.2'!$M$123:$M$134)</f>
        <v>0</v>
      </c>
      <c r="S123" s="1530">
        <f t="shared" si="15"/>
        <v>0</v>
      </c>
      <c r="U123" s="1532">
        <f t="shared" si="16"/>
        <v>0</v>
      </c>
    </row>
    <row r="124" spans="3:30" ht="18" customHeight="1">
      <c r="C124" s="1359">
        <v>1</v>
      </c>
      <c r="D124" s="1527" t="s">
        <v>898</v>
      </c>
      <c r="E124" s="1501" t="s">
        <v>898</v>
      </c>
      <c r="F124" s="1528"/>
      <c r="G124" s="1501" t="s">
        <v>899</v>
      </c>
      <c r="H124" s="1825">
        <v>0</v>
      </c>
      <c r="I124" s="1826">
        <v>0</v>
      </c>
      <c r="J124" s="1826">
        <v>0</v>
      </c>
      <c r="K124" s="1826">
        <v>0</v>
      </c>
      <c r="L124" s="1530">
        <f t="shared" si="14"/>
        <v>0</v>
      </c>
      <c r="N124" s="1531">
        <f>SUMIF('CF.2'!$H$5:$H$25,'CF.1'!E124,'CF.2'!$J$5:$J$25)-SUMIF('CF.2'!$K$5:$K$25,'CF.1'!E124,'CF.2'!$M$5:$M$25)</f>
        <v>0</v>
      </c>
      <c r="O124" s="1529">
        <f>SUMIF('CF.2'!$H$31:$H$60,'CF.1'!E124,'CF.2'!$J$31:$J$60)+SUMIF('CF.2'!$K$31:$K$60,'CF.1'!E124,'CF.2'!$M$31:$M$60)</f>
        <v>0</v>
      </c>
      <c r="P124" s="1529">
        <f>SUMIF('CF.2'!$H$65:$H$108,'CF.1'!E124,'CF.2'!$J$65:$J$108)+SUMIF('CF.2'!$K$65:$K$108,'CF.1'!E124,'CF.2'!$M$65:$M$108)</f>
        <v>0</v>
      </c>
      <c r="Q124" s="1529">
        <f>SUMIF('CF.2'!$H$112:$H$118,'CF.1'!E124,'CF.2'!$J$112:$J$118)+SUMIF('CF.2'!$K$112:$K$118,'CF.1'!E124,'CF.2'!$M$112:$M$118)</f>
        <v>0</v>
      </c>
      <c r="R124" s="1529">
        <f>SUMIF('CF.2'!$H$123:$H$134,'CF.1'!E124,'CF.2'!$J$123:$J$134)+SUMIF('CF.2'!$K$123:$K$134,'CF.1'!E124,'CF.2'!$M$123:$M$134)</f>
        <v>0</v>
      </c>
      <c r="S124" s="1530">
        <f t="shared" si="15"/>
        <v>0</v>
      </c>
      <c r="U124" s="1532">
        <f t="shared" si="16"/>
        <v>0</v>
      </c>
    </row>
    <row r="125" spans="3:30" ht="18" customHeight="1">
      <c r="C125" s="1086">
        <v>1</v>
      </c>
      <c r="D125" s="1533" t="s">
        <v>2502</v>
      </c>
      <c r="E125" s="1271" t="s">
        <v>892</v>
      </c>
      <c r="F125" s="1534" t="s">
        <v>2541</v>
      </c>
      <c r="G125" s="1254" t="s">
        <v>893</v>
      </c>
      <c r="H125" s="1825">
        <v>-41363014942</v>
      </c>
      <c r="I125" s="1826">
        <v>0</v>
      </c>
      <c r="J125" s="1826">
        <v>0</v>
      </c>
      <c r="K125" s="1826"/>
      <c r="L125" s="1530">
        <f t="shared" si="14"/>
        <v>-41363014942</v>
      </c>
      <c r="N125" s="1531">
        <f>SUMIF('CF.2'!$H$5:$H$25,'CF.1'!E125,'CF.2'!$J$5:$J$25)-SUMIF('CF.2'!$K$5:$K$25,'CF.1'!E125,'CF.2'!$M$5:$M$25)</f>
        <v>0</v>
      </c>
      <c r="O125" s="1529">
        <f>SUMIF('CF.2'!$H$31:$H$60,'CF.1'!E125,'CF.2'!$J$31:$J$60)+SUMIF('CF.2'!$K$31:$K$60,'CF.1'!E125,'CF.2'!$M$31:$M$60)</f>
        <v>0</v>
      </c>
      <c r="P125" s="1529">
        <f>SUMIF('CF.2'!$H$65:$H$108,'CF.1'!E125,'CF.2'!$J$65:$J$108)+SUMIF('CF.2'!$K$65:$K$108,'CF.1'!E125,'CF.2'!$M$65:$M$108)</f>
        <v>0</v>
      </c>
      <c r="Q125" s="1529">
        <f>SUMIF('CF.2'!$H$112:$H$118,'CF.1'!E125,'CF.2'!$J$112:$J$118)+SUMIF('CF.2'!$K$112:$K$118,'CF.1'!E125,'CF.2'!$M$112:$M$118)</f>
        <v>0</v>
      </c>
      <c r="R125" s="1529">
        <f>SUMIF('CF.2'!$H$123:$H$134,'CF.1'!E125,'CF.2'!$J$123:$J$134)+SUMIF('CF.2'!$K$123:$K$134,'CF.1'!E125,'CF.2'!$M$123:$M$134)</f>
        <v>0</v>
      </c>
      <c r="S125" s="1530">
        <f t="shared" si="15"/>
        <v>0</v>
      </c>
      <c r="U125" s="1532">
        <f t="shared" si="16"/>
        <v>-41363014942</v>
      </c>
      <c r="W125" s="1359" t="b">
        <f>U125=-T_IS!X85</f>
        <v>0</v>
      </c>
    </row>
    <row r="126" spans="3:30" s="1086" customFormat="1" ht="18" customHeight="1">
      <c r="C126" s="1086">
        <v>1</v>
      </c>
      <c r="D126" s="1533" t="s">
        <v>900</v>
      </c>
      <c r="E126" s="1271" t="s">
        <v>900</v>
      </c>
      <c r="F126" s="1534" t="s">
        <v>901</v>
      </c>
      <c r="G126" s="1271" t="s">
        <v>901</v>
      </c>
      <c r="H126" s="1824">
        <v>-61773000</v>
      </c>
      <c r="I126" s="1827">
        <v>0</v>
      </c>
      <c r="J126" s="1827">
        <v>0</v>
      </c>
      <c r="K126" s="1827">
        <v>0</v>
      </c>
      <c r="L126" s="1536">
        <f t="shared" si="14"/>
        <v>-61773000</v>
      </c>
      <c r="N126" s="1550">
        <f>SUMIF('CF.2'!$H$5:$H$25,'CF.1'!E126,'CF.2'!$J$5:$J$25)-SUMIF('CF.2'!$K$5:$K$25,'CF.1'!E126,'CF.2'!$M$5:$M$25)</f>
        <v>0</v>
      </c>
      <c r="O126" s="1535">
        <f>SUMIF('CF.2'!$H$31:$H$60,'CF.1'!E126,'CF.2'!$J$31:$J$60)+SUMIF('CF.2'!$K$31:$K$60,'CF.1'!E126,'CF.2'!$M$31:$M$60)</f>
        <v>0</v>
      </c>
      <c r="P126" s="1535">
        <f>SUMIF('CF.2'!$H$65:$H$108,'CF.1'!E126,'CF.2'!$J$65:$J$108)+SUMIF('CF.2'!$K$65:$K$108,'CF.1'!E126,'CF.2'!$M$65:$M$108)</f>
        <v>0</v>
      </c>
      <c r="Q126" s="1535">
        <f>SUMIF('CF.2'!$H$112:$H$118,'CF.1'!E126,'CF.2'!$J$112:$J$118)+SUMIF('CF.2'!$K$112:$K$118,'CF.1'!E126,'CF.2'!$M$112:$M$118)</f>
        <v>0</v>
      </c>
      <c r="R126" s="1535">
        <f>SUMIF('CF.2'!$H$123:$H$134,'CF.1'!E126,'CF.2'!$J$123:$J$134)+SUMIF('CF.2'!$K$123:$K$134,'CF.1'!E126,'CF.2'!$M$123:$M$134)</f>
        <v>0</v>
      </c>
      <c r="S126" s="1536">
        <f t="shared" si="15"/>
        <v>0</v>
      </c>
      <c r="U126" s="1537">
        <f t="shared" si="16"/>
        <v>-61773000</v>
      </c>
    </row>
    <row r="127" spans="3:30" ht="18" customHeight="1">
      <c r="C127" s="1359">
        <v>1</v>
      </c>
      <c r="D127" s="1520" t="s">
        <v>902</v>
      </c>
      <c r="E127" s="1521" t="s">
        <v>902</v>
      </c>
      <c r="F127" s="1522"/>
      <c r="G127" s="1521" t="s">
        <v>903</v>
      </c>
      <c r="H127" s="1823">
        <f>SUM(H128:H176)</f>
        <v>4098513720</v>
      </c>
      <c r="I127" s="1823">
        <f>SUM(I128:I176)</f>
        <v>229507926</v>
      </c>
      <c r="J127" s="1823">
        <f>SUM(J128:J176)</f>
        <v>-30532289</v>
      </c>
      <c r="K127" s="1823">
        <f>SUM(K128:K176)</f>
        <v>-1996350537</v>
      </c>
      <c r="L127" s="1524">
        <f>SUM(L128:L176)</f>
        <v>2301138820</v>
      </c>
      <c r="N127" s="1525">
        <f t="shared" ref="N127:S127" si="17">SUM(N128:N176)</f>
        <v>0</v>
      </c>
      <c r="O127" s="1523">
        <f t="shared" si="17"/>
        <v>165946831</v>
      </c>
      <c r="P127" s="1523">
        <f t="shared" si="17"/>
        <v>0</v>
      </c>
      <c r="Q127" s="1523">
        <f t="shared" si="17"/>
        <v>0</v>
      </c>
      <c r="R127" s="1523">
        <f t="shared" si="17"/>
        <v>0</v>
      </c>
      <c r="S127" s="1524">
        <f t="shared" si="17"/>
        <v>165946831</v>
      </c>
      <c r="U127" s="1526">
        <f>SUM(U128:U176)</f>
        <v>2467085651</v>
      </c>
      <c r="V127" s="1359" t="b">
        <f>U127=SUM(U128:U176)</f>
        <v>1</v>
      </c>
      <c r="W127" s="509" t="b">
        <f>U127='CFS(연간)'!K105</f>
        <v>1</v>
      </c>
      <c r="X127" s="1086"/>
      <c r="Y127" s="1086"/>
      <c r="Z127" s="1086"/>
    </row>
    <row r="128" spans="3:30" ht="18" customHeight="1">
      <c r="C128" s="1359">
        <v>1</v>
      </c>
      <c r="D128" s="1527" t="s">
        <v>904</v>
      </c>
      <c r="E128" s="1501" t="s">
        <v>904</v>
      </c>
      <c r="F128" s="1548" t="s">
        <v>2265</v>
      </c>
      <c r="G128" s="1501" t="s">
        <v>905</v>
      </c>
      <c r="H128" s="1825">
        <v>-2430362412</v>
      </c>
      <c r="I128" s="1826">
        <v>519755500</v>
      </c>
      <c r="J128" s="1826">
        <v>-2808560</v>
      </c>
      <c r="K128" s="1826">
        <v>-3097180716</v>
      </c>
      <c r="L128" s="1530">
        <f t="shared" ref="L128:L159" si="18">SUM(H128:K128)</f>
        <v>-5010596188</v>
      </c>
      <c r="N128" s="1531">
        <f>SUMIF('CF.2'!$H$5:$H$25,'CF.1'!E128,'CF.2'!$J$5:$J$25)-SUMIF('CF.2'!$K$5:$K$25,'CF.1'!E128,'CF.2'!$M$5:$M$25)</f>
        <v>0</v>
      </c>
      <c r="O128" s="1529">
        <f>SUMIF('CF.2'!$H$31:$H$60,'CF.1'!E128,'CF.2'!$J$31:$J$60)+SUMIF('CF.2'!$K$31:$K$60,'CF.1'!E128,'CF.2'!$M$31:$M$60)</f>
        <v>0</v>
      </c>
      <c r="P128" s="1529">
        <f>SUMIF('CF.2'!$H$65:$H$108,'CF.1'!E128,'CF.2'!$J$65:$J$108)+SUMIF('CF.2'!$K$65:$K$108,'CF.1'!E128,'CF.2'!$M$65:$M$108)</f>
        <v>-688623115</v>
      </c>
      <c r="Q128" s="1529">
        <f>SUMIF('CF.2'!$H$112:$H$118,'CF.1'!E128,'CF.2'!$J$112:$J$118)+SUMIF('CF.2'!$K$112:$K$118,'CF.1'!E128,'CF.2'!$M$112:$M$118)</f>
        <v>0</v>
      </c>
      <c r="R128" s="1529">
        <f>SUMIF('CF.2'!$H$123:$H$134,'CF.1'!E128,'CF.2'!$J$123:$J$134)+SUMIF('CF.2'!$K$123:$K$134,'CF.1'!E128,'CF.2'!$M$123:$M$134)</f>
        <v>0</v>
      </c>
      <c r="S128" s="1530">
        <f t="shared" ref="S128:S159" si="19">SUM(N128:R128)</f>
        <v>-688623115</v>
      </c>
      <c r="U128" s="1532">
        <f t="shared" ref="U128:U159" si="20">ROUND(S128+L128,0)</f>
        <v>-5699219303</v>
      </c>
      <c r="X128" s="1086"/>
      <c r="Y128" s="1086"/>
      <c r="Z128" s="1086"/>
    </row>
    <row r="129" spans="3:26" ht="18" customHeight="1">
      <c r="C129" s="1359">
        <v>1</v>
      </c>
      <c r="D129" s="1527" t="s">
        <v>906</v>
      </c>
      <c r="E129" s="1501" t="s">
        <v>906</v>
      </c>
      <c r="F129" s="1528" t="s">
        <v>1423</v>
      </c>
      <c r="G129" s="1501" t="s">
        <v>907</v>
      </c>
      <c r="H129" s="1825">
        <v>1362027268</v>
      </c>
      <c r="I129" s="1826">
        <v>0</v>
      </c>
      <c r="J129" s="1826">
        <v>-491579</v>
      </c>
      <c r="K129" s="1826">
        <v>7124334</v>
      </c>
      <c r="L129" s="1530">
        <f t="shared" si="18"/>
        <v>1368660023</v>
      </c>
      <c r="N129" s="1531">
        <f>SUMIF('CF.2'!$H$5:$H$25,'CF.1'!E129,'CF.2'!$J$5:$J$25)-SUMIF('CF.2'!$K$5:$K$25,'CF.1'!E129,'CF.2'!$M$5:$M$25)</f>
        <v>0</v>
      </c>
      <c r="O129" s="1529">
        <f>SUMIF('CF.2'!$H$31:$H$60,'CF.1'!E129,'CF.2'!$J$31:$J$60)+SUMIF('CF.2'!$K$31:$K$60,'CF.1'!E129,'CF.2'!$M$31:$M$60)</f>
        <v>0</v>
      </c>
      <c r="P129" s="1529">
        <f>SUMIF('CF.2'!$H$65:$H$108,'CF.1'!E129,'CF.2'!$J$65:$J$108)+SUMIF('CF.2'!$K$65:$K$108,'CF.1'!E129,'CF.2'!$M$65:$M$108)</f>
        <v>0</v>
      </c>
      <c r="Q129" s="1529">
        <f>SUMIF('CF.2'!$H$112:$H$118,'CF.1'!E129,'CF.2'!$J$112:$J$118)+SUMIF('CF.2'!$K$112:$K$118,'CF.1'!E129,'CF.2'!$M$112:$M$118)</f>
        <v>0</v>
      </c>
      <c r="R129" s="1529">
        <f>SUMIF('CF.2'!$H$123:$H$134,'CF.1'!E129,'CF.2'!$J$123:$J$134)+SUMIF('CF.2'!$K$123:$K$134,'CF.1'!E129,'CF.2'!$M$123:$M$134)</f>
        <v>0</v>
      </c>
      <c r="S129" s="1530">
        <f t="shared" si="19"/>
        <v>0</v>
      </c>
      <c r="U129" s="1532">
        <f t="shared" si="20"/>
        <v>1368660023</v>
      </c>
    </row>
    <row r="130" spans="3:26" ht="18" customHeight="1">
      <c r="C130" s="1359">
        <v>1</v>
      </c>
      <c r="D130" s="1527" t="s">
        <v>908</v>
      </c>
      <c r="E130" s="1501" t="s">
        <v>908</v>
      </c>
      <c r="F130" s="1528" t="s">
        <v>1423</v>
      </c>
      <c r="G130" s="1501" t="s">
        <v>909</v>
      </c>
      <c r="H130" s="1825">
        <v>-198862193</v>
      </c>
      <c r="I130" s="1826">
        <v>0</v>
      </c>
      <c r="J130" s="1826">
        <v>0</v>
      </c>
      <c r="K130" s="1826">
        <v>0</v>
      </c>
      <c r="L130" s="1530">
        <f t="shared" si="18"/>
        <v>-198862193</v>
      </c>
      <c r="N130" s="1531">
        <f>SUMIF('CF.2'!$H$5:$H$25,'CF.1'!E130,'CF.2'!$J$5:$J$25)-SUMIF('CF.2'!$K$5:$K$25,'CF.1'!E130,'CF.2'!$M$5:$M$25)</f>
        <v>0</v>
      </c>
      <c r="O130" s="1529">
        <f>SUMIF('CF.2'!$H$31:$H$60,'CF.1'!E130,'CF.2'!$J$31:$J$60)+SUMIF('CF.2'!$K$31:$K$60,'CF.1'!E130,'CF.2'!$M$31:$M$60)</f>
        <v>0</v>
      </c>
      <c r="P130" s="1535">
        <f>SUMIF('CF.2'!$H$65:$H$108,'CF.1'!E130,'CF.2'!$J$65:$J$108)+SUMIF('CF.2'!$K$65:$K$108,'CF.1'!E130,'CF.2'!$M$65:$M$108)</f>
        <v>-87715070</v>
      </c>
      <c r="Q130" s="1529">
        <f>SUMIF('CF.2'!$H$112:$H$118,'CF.1'!E130,'CF.2'!$J$112:$J$118)+SUMIF('CF.2'!$K$112:$K$118,'CF.1'!E130,'CF.2'!$M$112:$M$118)</f>
        <v>0</v>
      </c>
      <c r="R130" s="1529">
        <f>SUMIF('CF.2'!$H$123:$H$134,'CF.1'!E130,'CF.2'!$J$123:$J$134)+SUMIF('CF.2'!$K$123:$K$134,'CF.1'!E130,'CF.2'!$M$123:$M$134)</f>
        <v>0</v>
      </c>
      <c r="S130" s="1530">
        <f t="shared" si="19"/>
        <v>-87715070</v>
      </c>
      <c r="U130" s="1532">
        <f t="shared" si="20"/>
        <v>-286577263</v>
      </c>
    </row>
    <row r="131" spans="3:26" ht="18" customHeight="1">
      <c r="C131" s="1359">
        <v>1</v>
      </c>
      <c r="D131" s="1527" t="s">
        <v>910</v>
      </c>
      <c r="E131" s="1501" t="s">
        <v>910</v>
      </c>
      <c r="F131" s="1528" t="s">
        <v>1424</v>
      </c>
      <c r="G131" s="1501" t="s">
        <v>911</v>
      </c>
      <c r="H131" s="1825">
        <v>7203024098</v>
      </c>
      <c r="I131" s="1826">
        <v>-3780681</v>
      </c>
      <c r="J131" s="1826">
        <v>-5814237</v>
      </c>
      <c r="K131" s="1826">
        <v>-4246610</v>
      </c>
      <c r="L131" s="1530">
        <f t="shared" si="18"/>
        <v>7189182570</v>
      </c>
      <c r="N131" s="1531">
        <f>SUMIF('CF.2'!$H$5:$H$25,'CF.1'!E131,'CF.2'!$J$5:$J$25)-SUMIF('CF.2'!$K$5:$K$25,'CF.1'!E131,'CF.2'!$M$5:$M$25)</f>
        <v>0</v>
      </c>
      <c r="O131" s="1529">
        <f>SUMIF('CF.2'!$H$31:$H$60,'CF.1'!E131,'CF.2'!$J$31:$J$60)+SUMIF('CF.2'!$K$31:$K$60,'CF.1'!E131,'CF.2'!$M$31:$M$60)</f>
        <v>193111111</v>
      </c>
      <c r="P131" s="1529">
        <f>SUMIF('CF.2'!$H$65:$H$108,'CF.1'!E131,'CF.2'!$J$65:$J$108)+SUMIF('CF.2'!$K$65:$K$108,'CF.1'!E131,'CF.2'!$M$65:$M$108)</f>
        <v>0</v>
      </c>
      <c r="Q131" s="1529">
        <f>SUMIF('CF.2'!$H$112:$H$118,'CF.1'!E131,'CF.2'!$J$112:$J$118)+SUMIF('CF.2'!$K$112:$K$118,'CF.1'!E131,'CF.2'!$M$112:$M$118)</f>
        <v>0</v>
      </c>
      <c r="R131" s="1529">
        <f>SUMIF('CF.2'!$H$123:$H$134,'CF.1'!E131,'CF.2'!$J$123:$J$134)+SUMIF('CF.2'!$K$123:$K$134,'CF.1'!E131,'CF.2'!$M$123:$M$134)</f>
        <v>0</v>
      </c>
      <c r="S131" s="1530">
        <f t="shared" si="19"/>
        <v>193111111</v>
      </c>
      <c r="U131" s="1532">
        <f t="shared" si="20"/>
        <v>7382293681</v>
      </c>
      <c r="X131" s="1086"/>
      <c r="Y131" s="1086"/>
      <c r="Z131" s="1086"/>
    </row>
    <row r="132" spans="3:26" ht="18" customHeight="1">
      <c r="C132" s="1359">
        <v>1</v>
      </c>
      <c r="D132" s="1527" t="s">
        <v>912</v>
      </c>
      <c r="E132" s="1501" t="s">
        <v>912</v>
      </c>
      <c r="F132" s="1528"/>
      <c r="G132" s="1501" t="s">
        <v>913</v>
      </c>
      <c r="H132" s="1825">
        <v>0</v>
      </c>
      <c r="I132" s="1826">
        <v>0</v>
      </c>
      <c r="J132" s="1826">
        <v>0</v>
      </c>
      <c r="K132" s="1826">
        <v>0</v>
      </c>
      <c r="L132" s="1530">
        <f t="shared" si="18"/>
        <v>0</v>
      </c>
      <c r="N132" s="1531">
        <f>SUMIF('CF.2'!$H$5:$H$25,'CF.1'!E132,'CF.2'!$J$5:$J$25)-SUMIF('CF.2'!$K$5:$K$25,'CF.1'!E132,'CF.2'!$M$5:$M$25)</f>
        <v>0</v>
      </c>
      <c r="O132" s="1529">
        <f>SUMIF('CF.2'!$H$31:$H$60,'CF.1'!E132,'CF.2'!$J$31:$J$60)+SUMIF('CF.2'!$K$31:$K$60,'CF.1'!E132,'CF.2'!$M$31:$M$60)</f>
        <v>0</v>
      </c>
      <c r="P132" s="1529">
        <f>SUMIF('CF.2'!$H$65:$H$108,'CF.1'!E132,'CF.2'!$J$65:$J$108)+SUMIF('CF.2'!$K$65:$K$108,'CF.1'!E132,'CF.2'!$M$65:$M$108)</f>
        <v>0</v>
      </c>
      <c r="Q132" s="1529">
        <f>SUMIF('CF.2'!$H$112:$H$118,'CF.1'!E132,'CF.2'!$J$112:$J$118)+SUMIF('CF.2'!$K$112:$K$118,'CF.1'!E132,'CF.2'!$M$112:$M$118)</f>
        <v>0</v>
      </c>
      <c r="R132" s="1529">
        <f>SUMIF('CF.2'!$H$123:$H$134,'CF.1'!E132,'CF.2'!$J$123:$J$134)+SUMIF('CF.2'!$K$123:$K$134,'CF.1'!E132,'CF.2'!$M$123:$M$134)</f>
        <v>0</v>
      </c>
      <c r="S132" s="1530">
        <f t="shared" si="19"/>
        <v>0</v>
      </c>
      <c r="U132" s="1532">
        <f t="shared" si="20"/>
        <v>0</v>
      </c>
    </row>
    <row r="133" spans="3:26" ht="18" customHeight="1">
      <c r="C133" s="1359">
        <v>1</v>
      </c>
      <c r="D133" s="1527" t="s">
        <v>914</v>
      </c>
      <c r="E133" s="1501" t="s">
        <v>914</v>
      </c>
      <c r="F133" s="1528" t="s">
        <v>1424</v>
      </c>
      <c r="G133" s="1501" t="s">
        <v>915</v>
      </c>
      <c r="H133" s="1825">
        <v>377957856</v>
      </c>
      <c r="I133" s="1826">
        <v>0</v>
      </c>
      <c r="J133" s="1826">
        <v>0</v>
      </c>
      <c r="K133" s="1826">
        <v>-6040079</v>
      </c>
      <c r="L133" s="1530">
        <f t="shared" si="18"/>
        <v>371917777</v>
      </c>
      <c r="N133" s="1531">
        <f>SUMIF('CF.2'!$H$5:$H$25,'CF.1'!E133,'CF.2'!$J$5:$J$25)-SUMIF('CF.2'!$K$5:$K$25,'CF.1'!E133,'CF.2'!$M$5:$M$25)</f>
        <v>0</v>
      </c>
      <c r="O133" s="1529">
        <f>SUMIF('CF.2'!$H$31:$H$60,'CF.1'!E133,'CF.2'!$J$31:$J$60)+SUMIF('CF.2'!$K$31:$K$60,'CF.1'!E133,'CF.2'!$M$31:$M$60)</f>
        <v>0</v>
      </c>
      <c r="P133" s="1529">
        <f>SUMIF('CF.2'!$H$65:$H$108,'CF.1'!E133,'CF.2'!$J$65:$J$108)+SUMIF('CF.2'!$K$65:$K$108,'CF.1'!E133,'CF.2'!$M$65:$M$108)</f>
        <v>0</v>
      </c>
      <c r="Q133" s="1529">
        <f>SUMIF('CF.2'!$H$112:$H$118,'CF.1'!E133,'CF.2'!$J$112:$J$118)+SUMIF('CF.2'!$K$112:$K$118,'CF.1'!E133,'CF.2'!$M$112:$M$118)</f>
        <v>0</v>
      </c>
      <c r="R133" s="1529">
        <f>SUMIF('CF.2'!$H$123:$H$134,'CF.1'!E133,'CF.2'!$J$123:$J$134)+SUMIF('CF.2'!$K$123:$K$134,'CF.1'!E133,'CF.2'!$M$123:$M$134)</f>
        <v>0</v>
      </c>
      <c r="S133" s="1530">
        <f t="shared" si="19"/>
        <v>0</v>
      </c>
      <c r="U133" s="1532">
        <f t="shared" si="20"/>
        <v>371917777</v>
      </c>
    </row>
    <row r="134" spans="3:26" ht="18" customHeight="1">
      <c r="C134" s="1359">
        <v>1</v>
      </c>
      <c r="D134" s="1527" t="s">
        <v>916</v>
      </c>
      <c r="E134" s="1501" t="s">
        <v>916</v>
      </c>
      <c r="F134" s="1528" t="s">
        <v>1423</v>
      </c>
      <c r="G134" s="1501" t="s">
        <v>917</v>
      </c>
      <c r="H134" s="1825">
        <v>0</v>
      </c>
      <c r="I134" s="1826">
        <v>0</v>
      </c>
      <c r="J134" s="1826">
        <v>0</v>
      </c>
      <c r="K134" s="1826">
        <v>0</v>
      </c>
      <c r="L134" s="1530">
        <f t="shared" si="18"/>
        <v>0</v>
      </c>
      <c r="N134" s="1531">
        <f>SUMIF('CF.2'!$H$5:$H$25,'CF.1'!E134,'CF.2'!$J$5:$J$25)-SUMIF('CF.2'!$K$5:$K$25,'CF.1'!E134,'CF.2'!$M$5:$M$25)</f>
        <v>0</v>
      </c>
      <c r="O134" s="1529">
        <f>SUMIF('CF.2'!$H$31:$H$60,'CF.1'!E134,'CF.2'!$J$31:$J$60)+SUMIF('CF.2'!$K$31:$K$60,'CF.1'!E134,'CF.2'!$M$31:$M$60)</f>
        <v>0</v>
      </c>
      <c r="P134" s="1529">
        <f>SUMIF('CF.2'!$H$65:$H$108,'CF.1'!E134,'CF.2'!$J$65:$J$108)+SUMIF('CF.2'!$K$65:$K$108,'CF.1'!E134,'CF.2'!$M$65:$M$108)</f>
        <v>0</v>
      </c>
      <c r="Q134" s="1529">
        <f>SUMIF('CF.2'!$H$112:$H$118,'CF.1'!E134,'CF.2'!$J$112:$J$118)+SUMIF('CF.2'!$K$112:$K$118,'CF.1'!E134,'CF.2'!$M$112:$M$118)</f>
        <v>0</v>
      </c>
      <c r="R134" s="1529">
        <f>SUMIF('CF.2'!$H$123:$H$134,'CF.1'!E134,'CF.2'!$J$123:$J$134)+SUMIF('CF.2'!$K$123:$K$134,'CF.1'!E134,'CF.2'!$M$123:$M$134)</f>
        <v>0</v>
      </c>
      <c r="S134" s="1530">
        <f t="shared" si="19"/>
        <v>0</v>
      </c>
      <c r="U134" s="1532">
        <f t="shared" si="20"/>
        <v>0</v>
      </c>
    </row>
    <row r="135" spans="3:26" ht="18" customHeight="1">
      <c r="C135" s="1359">
        <v>1</v>
      </c>
      <c r="D135" s="1527" t="s">
        <v>918</v>
      </c>
      <c r="E135" s="1501" t="s">
        <v>918</v>
      </c>
      <c r="F135" s="1528"/>
      <c r="G135" s="1501" t="s">
        <v>919</v>
      </c>
      <c r="H135" s="1825">
        <v>0</v>
      </c>
      <c r="I135" s="1826">
        <v>0</v>
      </c>
      <c r="J135" s="1826">
        <v>0</v>
      </c>
      <c r="K135" s="1826">
        <v>0</v>
      </c>
      <c r="L135" s="1530">
        <f t="shared" si="18"/>
        <v>0</v>
      </c>
      <c r="N135" s="1531">
        <f>SUMIF('CF.2'!$H$5:$H$25,'CF.1'!E135,'CF.2'!$J$5:$J$25)-SUMIF('CF.2'!$K$5:$K$25,'CF.1'!E135,'CF.2'!$M$5:$M$25)</f>
        <v>0</v>
      </c>
      <c r="O135" s="1529">
        <f>SUMIF('CF.2'!$H$31:$H$60,'CF.1'!E135,'CF.2'!$J$31:$J$60)+SUMIF('CF.2'!$K$31:$K$60,'CF.1'!E135,'CF.2'!$M$31:$M$60)</f>
        <v>0</v>
      </c>
      <c r="P135" s="1529">
        <f>SUMIF('CF.2'!$H$65:$H$108,'CF.1'!E135,'CF.2'!$J$65:$J$108)+SUMIF('CF.2'!$K$65:$K$108,'CF.1'!E135,'CF.2'!$M$65:$M$108)</f>
        <v>0</v>
      </c>
      <c r="Q135" s="1529">
        <f>SUMIF('CF.2'!$H$112:$H$118,'CF.1'!E135,'CF.2'!$J$112:$J$118)+SUMIF('CF.2'!$K$112:$K$118,'CF.1'!E135,'CF.2'!$M$112:$M$118)</f>
        <v>0</v>
      </c>
      <c r="R135" s="1529">
        <f>SUMIF('CF.2'!$H$123:$H$134,'CF.1'!E135,'CF.2'!$J$123:$J$134)+SUMIF('CF.2'!$K$123:$K$134,'CF.1'!E135,'CF.2'!$M$123:$M$134)</f>
        <v>0</v>
      </c>
      <c r="S135" s="1530">
        <f t="shared" si="19"/>
        <v>0</v>
      </c>
      <c r="U135" s="1532">
        <f t="shared" si="20"/>
        <v>0</v>
      </c>
    </row>
    <row r="136" spans="3:26" ht="18" customHeight="1">
      <c r="C136" s="1359">
        <v>1</v>
      </c>
      <c r="D136" s="1527" t="s">
        <v>920</v>
      </c>
      <c r="E136" s="1501" t="s">
        <v>920</v>
      </c>
      <c r="F136" s="1528" t="s">
        <v>1424</v>
      </c>
      <c r="G136" s="1501" t="s">
        <v>921</v>
      </c>
      <c r="H136" s="1825">
        <v>778050</v>
      </c>
      <c r="I136" s="1826">
        <v>0</v>
      </c>
      <c r="J136" s="1826">
        <v>0</v>
      </c>
      <c r="K136" s="1826">
        <v>-761699924</v>
      </c>
      <c r="L136" s="1530">
        <f t="shared" si="18"/>
        <v>-760921874</v>
      </c>
      <c r="N136" s="1531">
        <f>SUMIF('CF.2'!$H$5:$H$25,'CF.1'!E136,'CF.2'!$J$5:$J$25)-SUMIF('CF.2'!$K$5:$K$25,'CF.1'!E136,'CF.2'!$M$5:$M$25)</f>
        <v>0</v>
      </c>
      <c r="O136" s="1529">
        <f>SUMIF('CF.2'!$H$31:$H$60,'CF.1'!E136,'CF.2'!$J$31:$J$60)+SUMIF('CF.2'!$K$31:$K$60,'CF.1'!E136,'CF.2'!$M$31:$M$60)</f>
        <v>0</v>
      </c>
      <c r="P136" s="1529">
        <f>SUMIF('CF.2'!$H$65:$H$108,'CF.1'!E136,'CF.2'!$J$65:$J$108)+SUMIF('CF.2'!$K$65:$K$108,'CF.1'!E136,'CF.2'!$M$65:$M$108)</f>
        <v>0</v>
      </c>
      <c r="Q136" s="1529">
        <f>SUMIF('CF.2'!$H$112:$H$118,'CF.1'!E136,'CF.2'!$J$112:$J$118)+SUMIF('CF.2'!$K$112:$K$118,'CF.1'!E136,'CF.2'!$M$112:$M$118)</f>
        <v>0</v>
      </c>
      <c r="R136" s="1529">
        <f>SUMIF('CF.2'!$H$123:$H$134,'CF.1'!E136,'CF.2'!$J$123:$J$134)+SUMIF('CF.2'!$K$123:$K$134,'CF.1'!E136,'CF.2'!$M$123:$M$134)</f>
        <v>1512524639</v>
      </c>
      <c r="S136" s="1530">
        <f t="shared" si="19"/>
        <v>1512524639</v>
      </c>
      <c r="U136" s="1532">
        <f t="shared" si="20"/>
        <v>751602765</v>
      </c>
    </row>
    <row r="137" spans="3:26" ht="18" customHeight="1">
      <c r="C137" s="1359">
        <v>1</v>
      </c>
      <c r="D137" s="1527" t="s">
        <v>922</v>
      </c>
      <c r="E137" s="1501" t="s">
        <v>922</v>
      </c>
      <c r="F137" s="1528" t="s">
        <v>2266</v>
      </c>
      <c r="G137" s="1501" t="s">
        <v>923</v>
      </c>
      <c r="H137" s="1824">
        <v>-6143216745</v>
      </c>
      <c r="I137" s="1825">
        <v>0</v>
      </c>
      <c r="J137" s="1826">
        <v>-3789936</v>
      </c>
      <c r="K137" s="1826">
        <v>-457504958</v>
      </c>
      <c r="L137" s="1530">
        <f t="shared" si="18"/>
        <v>-6604511639</v>
      </c>
      <c r="N137" s="1531">
        <f>SUMIF('CF.2'!$H$5:$H$25,'CF.1'!E137,'CF.2'!$J$5:$J$25)-SUMIF('CF.2'!$K$5:$K$25,'CF.1'!E137,'CF.2'!$M$5:$M$25)</f>
        <v>0</v>
      </c>
      <c r="O137" s="1529">
        <f>SUMIF('CF.2'!$H$31:$H$60,'CF.1'!E137,'CF.2'!$J$31:$J$60)+SUMIF('CF.2'!$K$31:$K$60,'CF.1'!E137,'CF.2'!$M$31:$M$60)</f>
        <v>-27164280</v>
      </c>
      <c r="P137" s="1529">
        <f>SUMIF('CF.2'!$H$65:$H$108,'CF.1'!E137,'CF.2'!$J$65:$J$108)+SUMIF('CF.2'!$K$65:$K$108,'CF.1'!E137,'CF.2'!$M$65:$M$108)</f>
        <v>0</v>
      </c>
      <c r="Q137" s="1529">
        <f>SUMIF('CF.2'!$H$112:$H$118,'CF.1'!E137,'CF.2'!$J$112:$J$118)+SUMIF('CF.2'!$K$112:$K$118,'CF.1'!E137,'CF.2'!$M$112:$M$118)</f>
        <v>0</v>
      </c>
      <c r="R137" s="1529">
        <f>SUMIF('CF.2'!$H$123:$H$134,'CF.1'!E137,'CF.2'!$J$123:$J$134)+SUMIF('CF.2'!$K$123:$K$134,'CF.1'!E137,'CF.2'!$M$123:$M$134)</f>
        <v>0</v>
      </c>
      <c r="S137" s="1530">
        <f t="shared" si="19"/>
        <v>-27164280</v>
      </c>
      <c r="U137" s="1532">
        <f t="shared" si="20"/>
        <v>-6631675919</v>
      </c>
    </row>
    <row r="138" spans="3:26" ht="18" customHeight="1">
      <c r="C138" s="1359">
        <v>1</v>
      </c>
      <c r="D138" s="1527" t="s">
        <v>924</v>
      </c>
      <c r="E138" s="1501" t="s">
        <v>924</v>
      </c>
      <c r="F138" s="1528"/>
      <c r="G138" s="1501" t="s">
        <v>925</v>
      </c>
      <c r="H138" s="1825">
        <v>0</v>
      </c>
      <c r="I138" s="1825">
        <v>0</v>
      </c>
      <c r="J138" s="1826">
        <v>0</v>
      </c>
      <c r="K138" s="1826">
        <v>0</v>
      </c>
      <c r="L138" s="1530">
        <f t="shared" si="18"/>
        <v>0</v>
      </c>
      <c r="N138" s="1531">
        <f>SUMIF('CF.2'!$H$5:$H$25,'CF.1'!E138,'CF.2'!$J$5:$J$25)-SUMIF('CF.2'!$K$5:$K$25,'CF.1'!E138,'CF.2'!$M$5:$M$25)</f>
        <v>0</v>
      </c>
      <c r="O138" s="1529">
        <f>SUMIF('CF.2'!$H$31:$H$60,'CF.1'!E138,'CF.2'!$J$31:$J$60)+SUMIF('CF.2'!$K$31:$K$60,'CF.1'!E138,'CF.2'!$M$31:$M$60)</f>
        <v>0</v>
      </c>
      <c r="P138" s="1529">
        <f>SUMIF('CF.2'!$H$65:$H$108,'CF.1'!E138,'CF.2'!$J$65:$J$108)+SUMIF('CF.2'!$K$65:$K$108,'CF.1'!E138,'CF.2'!$M$65:$M$108)</f>
        <v>0</v>
      </c>
      <c r="Q138" s="1529">
        <f>SUMIF('CF.2'!$H$112:$H$118,'CF.1'!E138,'CF.2'!$J$112:$J$118)+SUMIF('CF.2'!$K$112:$K$118,'CF.1'!E138,'CF.2'!$M$112:$M$118)</f>
        <v>0</v>
      </c>
      <c r="R138" s="1529">
        <f>SUMIF('CF.2'!$H$123:$H$134,'CF.1'!E138,'CF.2'!$J$123:$J$134)+SUMIF('CF.2'!$K$123:$K$134,'CF.1'!E138,'CF.2'!$M$123:$M$134)</f>
        <v>0</v>
      </c>
      <c r="S138" s="1530">
        <f t="shared" si="19"/>
        <v>0</v>
      </c>
      <c r="U138" s="1532">
        <f t="shared" si="20"/>
        <v>0</v>
      </c>
    </row>
    <row r="139" spans="3:26" ht="18" customHeight="1">
      <c r="C139" s="1359">
        <v>1</v>
      </c>
      <c r="D139" s="1527" t="s">
        <v>926</v>
      </c>
      <c r="E139" s="1501" t="s">
        <v>926</v>
      </c>
      <c r="F139" s="1528"/>
      <c r="G139" s="1501" t="s">
        <v>927</v>
      </c>
      <c r="H139" s="1825">
        <v>0</v>
      </c>
      <c r="I139" s="1826">
        <v>0</v>
      </c>
      <c r="J139" s="1826">
        <v>0</v>
      </c>
      <c r="K139" s="1826">
        <v>0</v>
      </c>
      <c r="L139" s="1530">
        <f t="shared" si="18"/>
        <v>0</v>
      </c>
      <c r="N139" s="1531">
        <f>SUMIF('CF.2'!$H$5:$H$25,'CF.1'!E139,'CF.2'!$J$5:$J$25)-SUMIF('CF.2'!$K$5:$K$25,'CF.1'!E139,'CF.2'!$M$5:$M$25)</f>
        <v>0</v>
      </c>
      <c r="O139" s="1529">
        <f>SUMIF('CF.2'!$H$31:$H$60,'CF.1'!E139,'CF.2'!$J$31:$J$60)+SUMIF('CF.2'!$K$31:$K$60,'CF.1'!E139,'CF.2'!$M$31:$M$60)</f>
        <v>0</v>
      </c>
      <c r="P139" s="1529">
        <f>SUMIF('CF.2'!$H$65:$H$108,'CF.1'!E139,'CF.2'!$J$65:$J$108)+SUMIF('CF.2'!$K$65:$K$108,'CF.1'!E139,'CF.2'!$M$65:$M$108)</f>
        <v>0</v>
      </c>
      <c r="Q139" s="1529">
        <f>SUMIF('CF.2'!$H$112:$H$118,'CF.1'!E139,'CF.2'!$J$112:$J$118)+SUMIF('CF.2'!$K$112:$K$118,'CF.1'!E139,'CF.2'!$M$112:$M$118)</f>
        <v>0</v>
      </c>
      <c r="R139" s="1529">
        <f>SUMIF('CF.2'!$H$123:$H$134,'CF.1'!E139,'CF.2'!$J$123:$J$134)+SUMIF('CF.2'!$K$123:$K$134,'CF.1'!E139,'CF.2'!$M$123:$M$134)</f>
        <v>0</v>
      </c>
      <c r="S139" s="1530">
        <f t="shared" si="19"/>
        <v>0</v>
      </c>
      <c r="U139" s="1532">
        <f t="shared" si="20"/>
        <v>0</v>
      </c>
    </row>
    <row r="140" spans="3:26" ht="18" customHeight="1">
      <c r="C140" s="1359">
        <v>1</v>
      </c>
      <c r="D140" s="1527" t="s">
        <v>928</v>
      </c>
      <c r="E140" s="1501" t="s">
        <v>928</v>
      </c>
      <c r="F140" s="1528"/>
      <c r="G140" s="1501" t="s">
        <v>929</v>
      </c>
      <c r="H140" s="1825">
        <v>0</v>
      </c>
      <c r="I140" s="1826">
        <v>0</v>
      </c>
      <c r="J140" s="1826">
        <v>0</v>
      </c>
      <c r="K140" s="1826">
        <v>0</v>
      </c>
      <c r="L140" s="1530">
        <f t="shared" si="18"/>
        <v>0</v>
      </c>
      <c r="N140" s="1531">
        <f>SUMIF('CF.2'!$H$5:$H$25,'CF.1'!E140,'CF.2'!$J$5:$J$25)-SUMIF('CF.2'!$K$5:$K$25,'CF.1'!E140,'CF.2'!$M$5:$M$25)</f>
        <v>0</v>
      </c>
      <c r="O140" s="1529">
        <f>SUMIF('CF.2'!$H$31:$H$60,'CF.1'!E140,'CF.2'!$J$31:$J$60)+SUMIF('CF.2'!$K$31:$K$60,'CF.1'!E140,'CF.2'!$M$31:$M$60)</f>
        <v>0</v>
      </c>
      <c r="P140" s="1529">
        <f>SUMIF('CF.2'!$H$65:$H$108,'CF.1'!E140,'CF.2'!$J$65:$J$108)+SUMIF('CF.2'!$K$65:$K$108,'CF.1'!E140,'CF.2'!$M$65:$M$108)</f>
        <v>0</v>
      </c>
      <c r="Q140" s="1529">
        <f>SUMIF('CF.2'!$H$112:$H$118,'CF.1'!E140,'CF.2'!$J$112:$J$118)+SUMIF('CF.2'!$K$112:$K$118,'CF.1'!E140,'CF.2'!$M$112:$M$118)</f>
        <v>0</v>
      </c>
      <c r="R140" s="1529">
        <f>SUMIF('CF.2'!$H$123:$H$134,'CF.1'!E140,'CF.2'!$J$123:$J$134)+SUMIF('CF.2'!$K$123:$K$134,'CF.1'!E140,'CF.2'!$M$123:$M$134)</f>
        <v>0</v>
      </c>
      <c r="S140" s="1530">
        <f t="shared" si="19"/>
        <v>0</v>
      </c>
      <c r="U140" s="1532">
        <f t="shared" si="20"/>
        <v>0</v>
      </c>
    </row>
    <row r="141" spans="3:26" ht="18" customHeight="1">
      <c r="C141" s="1359">
        <v>1</v>
      </c>
      <c r="D141" s="1527" t="s">
        <v>930</v>
      </c>
      <c r="E141" s="1501" t="s">
        <v>930</v>
      </c>
      <c r="F141" s="1528"/>
      <c r="G141" s="1501" t="s">
        <v>931</v>
      </c>
      <c r="H141" s="1825">
        <v>0</v>
      </c>
      <c r="I141" s="1826">
        <v>0</v>
      </c>
      <c r="J141" s="1826">
        <v>0</v>
      </c>
      <c r="K141" s="1826">
        <v>0</v>
      </c>
      <c r="L141" s="1530">
        <f t="shared" si="18"/>
        <v>0</v>
      </c>
      <c r="N141" s="1531">
        <f>SUMIF('CF.2'!$H$5:$H$25,'CF.1'!E141,'CF.2'!$J$5:$J$25)-SUMIF('CF.2'!$K$5:$K$25,'CF.1'!E141,'CF.2'!$M$5:$M$25)</f>
        <v>0</v>
      </c>
      <c r="O141" s="1529">
        <f>SUMIF('CF.2'!$H$31:$H$60,'CF.1'!E141,'CF.2'!$J$31:$J$60)+SUMIF('CF.2'!$K$31:$K$60,'CF.1'!E141,'CF.2'!$M$31:$M$60)</f>
        <v>0</v>
      </c>
      <c r="P141" s="1529">
        <f>SUMIF('CF.2'!$H$65:$H$108,'CF.1'!E141,'CF.2'!$J$65:$J$108)+SUMIF('CF.2'!$K$65:$K$108,'CF.1'!E141,'CF.2'!$M$65:$M$108)</f>
        <v>0</v>
      </c>
      <c r="Q141" s="1529">
        <f>SUMIF('CF.2'!$H$112:$H$118,'CF.1'!E141,'CF.2'!$J$112:$J$118)+SUMIF('CF.2'!$K$112:$K$118,'CF.1'!E141,'CF.2'!$M$112:$M$118)</f>
        <v>0</v>
      </c>
      <c r="R141" s="1529">
        <f>SUMIF('CF.2'!$H$123:$H$134,'CF.1'!E141,'CF.2'!$J$123:$J$134)+SUMIF('CF.2'!$K$123:$K$134,'CF.1'!E141,'CF.2'!$M$123:$M$134)</f>
        <v>0</v>
      </c>
      <c r="S141" s="1530">
        <f t="shared" si="19"/>
        <v>0</v>
      </c>
      <c r="U141" s="1532">
        <f t="shared" si="20"/>
        <v>0</v>
      </c>
    </row>
    <row r="142" spans="3:26" ht="18" customHeight="1">
      <c r="C142" s="1359">
        <v>1</v>
      </c>
      <c r="D142" s="1527" t="s">
        <v>932</v>
      </c>
      <c r="E142" s="1501" t="s">
        <v>932</v>
      </c>
      <c r="F142" s="1528"/>
      <c r="G142" s="1501" t="s">
        <v>933</v>
      </c>
      <c r="H142" s="1825">
        <v>0</v>
      </c>
      <c r="I142" s="1826">
        <v>0</v>
      </c>
      <c r="J142" s="1826">
        <v>0</v>
      </c>
      <c r="K142" s="1826">
        <v>0</v>
      </c>
      <c r="L142" s="1530">
        <f t="shared" si="18"/>
        <v>0</v>
      </c>
      <c r="N142" s="1531">
        <f>SUMIF('CF.2'!$H$5:$H$25,'CF.1'!E142,'CF.2'!$J$5:$J$25)-SUMIF('CF.2'!$K$5:$K$25,'CF.1'!E142,'CF.2'!$M$5:$M$25)</f>
        <v>0</v>
      </c>
      <c r="O142" s="1529">
        <f>SUMIF('CF.2'!$H$31:$H$60,'CF.1'!E142,'CF.2'!$J$31:$J$60)+SUMIF('CF.2'!$K$31:$K$60,'CF.1'!E142,'CF.2'!$M$31:$M$60)</f>
        <v>0</v>
      </c>
      <c r="P142" s="1529">
        <f>SUMIF('CF.2'!$H$65:$H$108,'CF.1'!E142,'CF.2'!$J$65:$J$108)+SUMIF('CF.2'!$K$65:$K$108,'CF.1'!E142,'CF.2'!$M$65:$M$108)</f>
        <v>0</v>
      </c>
      <c r="Q142" s="1529">
        <f>SUMIF('CF.2'!$H$112:$H$118,'CF.1'!E142,'CF.2'!$J$112:$J$118)+SUMIF('CF.2'!$K$112:$K$118,'CF.1'!E142,'CF.2'!$M$112:$M$118)</f>
        <v>0</v>
      </c>
      <c r="R142" s="1529">
        <f>SUMIF('CF.2'!$H$123:$H$134,'CF.1'!E142,'CF.2'!$J$123:$J$134)+SUMIF('CF.2'!$K$123:$K$134,'CF.1'!E142,'CF.2'!$M$123:$M$134)</f>
        <v>0</v>
      </c>
      <c r="S142" s="1530">
        <f t="shared" si="19"/>
        <v>0</v>
      </c>
      <c r="U142" s="1532">
        <f t="shared" si="20"/>
        <v>0</v>
      </c>
    </row>
    <row r="143" spans="3:26" ht="18" customHeight="1">
      <c r="C143" s="1359">
        <v>1</v>
      </c>
      <c r="D143" s="1527" t="s">
        <v>934</v>
      </c>
      <c r="E143" s="1501" t="s">
        <v>934</v>
      </c>
      <c r="F143" s="1528" t="s">
        <v>1955</v>
      </c>
      <c r="G143" s="1501" t="s">
        <v>935</v>
      </c>
      <c r="H143" s="1825">
        <v>0</v>
      </c>
      <c r="I143" s="1826">
        <v>0</v>
      </c>
      <c r="J143" s="1826">
        <v>0</v>
      </c>
      <c r="K143" s="1826">
        <v>0</v>
      </c>
      <c r="L143" s="1530">
        <f t="shared" si="18"/>
        <v>0</v>
      </c>
      <c r="N143" s="1531">
        <f>SUMIF('CF.2'!$H$5:$H$25,'CF.1'!E143,'CF.2'!$J$5:$J$25)-SUMIF('CF.2'!$K$5:$K$25,'CF.1'!E143,'CF.2'!$M$5:$M$25)</f>
        <v>0</v>
      </c>
      <c r="O143" s="1529">
        <f>SUMIF('CF.2'!$H$31:$H$60,'CF.1'!E143,'CF.2'!$J$31:$J$60)+SUMIF('CF.2'!$K$31:$K$60,'CF.1'!E143,'CF.2'!$M$31:$M$60)</f>
        <v>0</v>
      </c>
      <c r="P143" s="1529">
        <f>SUMIF('CF.2'!$H$65:$H$108,'CF.1'!E143,'CF.2'!$J$65:$J$108)+SUMIF('CF.2'!$K$65:$K$108,'CF.1'!E143,'CF.2'!$M$65:$M$108)</f>
        <v>0</v>
      </c>
      <c r="Q143" s="1529">
        <f>SUMIF('CF.2'!$H$112:$H$118,'CF.1'!E143,'CF.2'!$J$112:$J$118)+SUMIF('CF.2'!$K$112:$K$118,'CF.1'!E143,'CF.2'!$M$112:$M$118)</f>
        <v>0</v>
      </c>
      <c r="R143" s="1529">
        <f>SUMIF('CF.2'!$H$123:$H$134,'CF.1'!E143,'CF.2'!$J$123:$J$134)+SUMIF('CF.2'!$K$123:$K$134,'CF.1'!E143,'CF.2'!$M$123:$M$134)</f>
        <v>0</v>
      </c>
      <c r="S143" s="1530">
        <f t="shared" si="19"/>
        <v>0</v>
      </c>
      <c r="U143" s="1532">
        <f t="shared" si="20"/>
        <v>0</v>
      </c>
    </row>
    <row r="144" spans="3:26" ht="18" customHeight="1">
      <c r="C144" s="1359">
        <v>1</v>
      </c>
      <c r="D144" s="1527" t="s">
        <v>936</v>
      </c>
      <c r="E144" s="1501" t="s">
        <v>936</v>
      </c>
      <c r="F144" s="1528"/>
      <c r="G144" s="1501" t="s">
        <v>937</v>
      </c>
      <c r="H144" s="1825">
        <v>0</v>
      </c>
      <c r="I144" s="1826">
        <v>0</v>
      </c>
      <c r="J144" s="1826">
        <v>0</v>
      </c>
      <c r="K144" s="1826">
        <v>0</v>
      </c>
      <c r="L144" s="1530">
        <f t="shared" si="18"/>
        <v>0</v>
      </c>
      <c r="N144" s="1531">
        <f>SUMIF('CF.2'!$H$5:$H$25,'CF.1'!E144,'CF.2'!$J$5:$J$25)-SUMIF('CF.2'!$K$5:$K$25,'CF.1'!E144,'CF.2'!$M$5:$M$25)</f>
        <v>0</v>
      </c>
      <c r="O144" s="1529">
        <f>SUMIF('CF.2'!$H$31:$H$60,'CF.1'!E144,'CF.2'!$J$31:$J$60)+SUMIF('CF.2'!$K$31:$K$60,'CF.1'!E144,'CF.2'!$M$31:$M$60)</f>
        <v>0</v>
      </c>
      <c r="P144" s="1529">
        <f>SUMIF('CF.2'!$H$65:$H$108,'CF.1'!E144,'CF.2'!$J$65:$J$108)+SUMIF('CF.2'!$K$65:$K$108,'CF.1'!E144,'CF.2'!$M$65:$M$108)</f>
        <v>0</v>
      </c>
      <c r="Q144" s="1529">
        <f>SUMIF('CF.2'!$H$112:$H$118,'CF.1'!E144,'CF.2'!$J$112:$J$118)+SUMIF('CF.2'!$K$112:$K$118,'CF.1'!E144,'CF.2'!$M$112:$M$118)</f>
        <v>0</v>
      </c>
      <c r="R144" s="1529">
        <f>SUMIF('CF.2'!$H$123:$H$134,'CF.1'!E144,'CF.2'!$J$123:$J$134)+SUMIF('CF.2'!$K$123:$K$134,'CF.1'!E144,'CF.2'!$M$123:$M$134)</f>
        <v>0</v>
      </c>
      <c r="S144" s="1530">
        <f t="shared" si="19"/>
        <v>0</v>
      </c>
      <c r="U144" s="1532">
        <f t="shared" si="20"/>
        <v>0</v>
      </c>
    </row>
    <row r="145" spans="3:26" ht="18" customHeight="1">
      <c r="C145" s="1359">
        <v>1</v>
      </c>
      <c r="D145" s="1527" t="s">
        <v>938</v>
      </c>
      <c r="E145" s="1501" t="s">
        <v>938</v>
      </c>
      <c r="F145" s="1528" t="s">
        <v>1676</v>
      </c>
      <c r="G145" s="1501" t="s">
        <v>939</v>
      </c>
      <c r="H145" s="1825">
        <v>0</v>
      </c>
      <c r="I145" s="1826">
        <v>0</v>
      </c>
      <c r="J145" s="1826">
        <v>0</v>
      </c>
      <c r="K145" s="1826">
        <v>0</v>
      </c>
      <c r="L145" s="1530">
        <f t="shared" si="18"/>
        <v>0</v>
      </c>
      <c r="N145" s="1531">
        <f>SUMIF('CF.2'!$H$5:$H$25,'CF.1'!E145,'CF.2'!$J$5:$J$25)-SUMIF('CF.2'!$K$5:$K$25,'CF.1'!E145,'CF.2'!$M$5:$M$25)</f>
        <v>0</v>
      </c>
      <c r="O145" s="1529">
        <f>SUMIF('CF.2'!$H$31:$H$60,'CF.1'!E145,'CF.2'!$J$31:$J$60)+SUMIF('CF.2'!$K$31:$K$60,'CF.1'!E145,'CF.2'!$M$31:$M$60)</f>
        <v>0</v>
      </c>
      <c r="P145" s="1529">
        <f>SUMIF('CF.2'!$H$65:$H$108,'CF.1'!E145,'CF.2'!$J$65:$J$108)+SUMIF('CF.2'!$K$65:$K$108,'CF.1'!E145,'CF.2'!$M$65:$M$108)</f>
        <v>0</v>
      </c>
      <c r="Q145" s="1529">
        <f>SUMIF('CF.2'!$H$112:$H$118,'CF.1'!E145,'CF.2'!$J$112:$J$118)+SUMIF('CF.2'!$K$112:$K$118,'CF.1'!E145,'CF.2'!$M$112:$M$118)</f>
        <v>0</v>
      </c>
      <c r="R145" s="1529">
        <f>SUMIF('CF.2'!$H$123:$H$134,'CF.1'!E145,'CF.2'!$J$123:$J$134)+SUMIF('CF.2'!$K$123:$K$134,'CF.1'!E145,'CF.2'!$M$123:$M$134)</f>
        <v>0</v>
      </c>
      <c r="S145" s="1530">
        <f t="shared" si="19"/>
        <v>0</v>
      </c>
      <c r="U145" s="1532">
        <f t="shared" si="20"/>
        <v>0</v>
      </c>
    </row>
    <row r="146" spans="3:26" ht="18" customHeight="1">
      <c r="C146" s="1359">
        <v>1</v>
      </c>
      <c r="D146" s="1527" t="s">
        <v>940</v>
      </c>
      <c r="E146" s="1501" t="s">
        <v>940</v>
      </c>
      <c r="F146" s="1528" t="s">
        <v>2267</v>
      </c>
      <c r="G146" s="1501" t="s">
        <v>941</v>
      </c>
      <c r="H146" s="1825">
        <v>4642050097</v>
      </c>
      <c r="I146" s="1826">
        <v>83217980</v>
      </c>
      <c r="J146" s="1826">
        <v>8213526</v>
      </c>
      <c r="K146" s="1826">
        <v>672049143</v>
      </c>
      <c r="L146" s="1530">
        <f t="shared" si="18"/>
        <v>5405530746</v>
      </c>
      <c r="N146" s="1531">
        <f>SUMIF('CF.2'!$H$5:$H$25,'CF.1'!E146,'CF.2'!$J$5:$J$25)-SUMIF('CF.2'!$K$5:$K$25,'CF.1'!E146,'CF.2'!$M$5:$M$25)</f>
        <v>0</v>
      </c>
      <c r="O146" s="1529">
        <f>SUMIF('CF.2'!$H$31:$H$60,'CF.1'!E146,'CF.2'!$J$31:$J$60)+SUMIF('CF.2'!$K$31:$K$60,'CF.1'!E146,'CF.2'!$M$31:$M$60)</f>
        <v>0</v>
      </c>
      <c r="P146" s="1529">
        <f>SUMIF('CF.2'!$H$65:$H$108,'CF.1'!E146,'CF.2'!$J$65:$J$108)+SUMIF('CF.2'!$K$65:$K$108,'CF.1'!E146,'CF.2'!$M$65:$M$108)</f>
        <v>114327915</v>
      </c>
      <c r="Q146" s="1529">
        <f>SUMIF('CF.2'!$H$112:$H$118,'CF.1'!E146,'CF.2'!$J$112:$J$118)+SUMIF('CF.2'!$K$112:$K$118,'CF.1'!E146,'CF.2'!$M$112:$M$118)</f>
        <v>0</v>
      </c>
      <c r="R146" s="1529">
        <f>SUMIF('CF.2'!$H$123:$H$134,'CF.1'!E146,'CF.2'!$J$123:$J$134)+SUMIF('CF.2'!$K$123:$K$134,'CF.1'!E146,'CF.2'!$M$123:$M$134)</f>
        <v>0</v>
      </c>
      <c r="S146" s="1530">
        <f t="shared" si="19"/>
        <v>114327915</v>
      </c>
      <c r="U146" s="1532">
        <f t="shared" si="20"/>
        <v>5519858661</v>
      </c>
      <c r="X146" s="1086"/>
      <c r="Y146" s="1086"/>
      <c r="Z146" s="1086"/>
    </row>
    <row r="147" spans="3:26" ht="18" customHeight="1">
      <c r="C147" s="1359">
        <v>1</v>
      </c>
      <c r="D147" s="1527" t="s">
        <v>998</v>
      </c>
      <c r="E147" s="1501" t="s">
        <v>942</v>
      </c>
      <c r="F147" s="1528" t="s">
        <v>1428</v>
      </c>
      <c r="G147" s="1501" t="s">
        <v>943</v>
      </c>
      <c r="H147" s="1825">
        <v>-413728014</v>
      </c>
      <c r="I147" s="1826">
        <v>0</v>
      </c>
      <c r="J147" s="1826">
        <v>0</v>
      </c>
      <c r="K147" s="1826">
        <v>0</v>
      </c>
      <c r="L147" s="1530">
        <f t="shared" si="18"/>
        <v>-413728014</v>
      </c>
      <c r="N147" s="1531">
        <f>SUMIF('CF.2'!$H$5:$H$25,'CF.1'!E147,'CF.2'!$J$5:$J$25)-SUMIF('CF.2'!$K$5:$K$25,'CF.1'!E147,'CF.2'!$M$5:$M$25)</f>
        <v>0</v>
      </c>
      <c r="O147" s="1529">
        <f>SUMIF('CF.2'!$H$31:$H$60,'CF.1'!E147,'CF.2'!$J$31:$J$60)+SUMIF('CF.2'!$K$31:$K$60,'CF.1'!E147,'CF.2'!$M$31:$M$60)</f>
        <v>0</v>
      </c>
      <c r="P147" s="1529">
        <f>SUMIF('CF.2'!$H$65:$H$108,'CF.1'!E147,'CF.2'!$J$65:$J$108)+SUMIF('CF.2'!$K$65:$K$108,'CF.1'!E147,'CF.2'!$M$65:$M$108)</f>
        <v>0</v>
      </c>
      <c r="Q147" s="1529">
        <f>SUMIF('CF.2'!$H$112:$H$118,'CF.1'!E147,'CF.2'!$J$112:$J$118)+SUMIF('CF.2'!$K$112:$K$118,'CF.1'!E147,'CF.2'!$M$112:$M$118)</f>
        <v>0</v>
      </c>
      <c r="R147" s="1529">
        <f>SUMIF('CF.2'!$H$123:$H$134,'CF.1'!E147,'CF.2'!$J$123:$J$134)+SUMIF('CF.2'!$K$123:$K$134,'CF.1'!E147,'CF.2'!$M$123:$M$134)</f>
        <v>0</v>
      </c>
      <c r="S147" s="1530">
        <f t="shared" si="19"/>
        <v>0</v>
      </c>
      <c r="U147" s="1532">
        <f t="shared" si="20"/>
        <v>-413728014</v>
      </c>
    </row>
    <row r="148" spans="3:26" ht="18" customHeight="1">
      <c r="C148" s="1359">
        <v>1</v>
      </c>
      <c r="D148" s="1527" t="s">
        <v>944</v>
      </c>
      <c r="E148" s="1501" t="s">
        <v>944</v>
      </c>
      <c r="F148" s="1528" t="s">
        <v>1428</v>
      </c>
      <c r="G148" s="1501" t="s">
        <v>945</v>
      </c>
      <c r="H148" s="1825">
        <v>-213819602</v>
      </c>
      <c r="I148" s="1826">
        <v>-77358430</v>
      </c>
      <c r="J148" s="1826">
        <v>-25715653</v>
      </c>
      <c r="K148" s="1826">
        <v>215319</v>
      </c>
      <c r="L148" s="1530">
        <f t="shared" si="18"/>
        <v>-316678366</v>
      </c>
      <c r="N148" s="1531">
        <f>SUMIF('CF.2'!$H$5:$H$25,'CF.1'!E148,'CF.2'!$J$5:$J$25)-SUMIF('CF.2'!$K$5:$K$25,'CF.1'!E148,'CF.2'!$M$5:$M$25)</f>
        <v>0</v>
      </c>
      <c r="O148" s="1529">
        <f>SUMIF('CF.2'!$H$31:$H$60,'CF.1'!E148,'CF.2'!$J$31:$J$60)+SUMIF('CF.2'!$K$31:$K$60,'CF.1'!E148,'CF.2'!$M$31:$M$60)</f>
        <v>0</v>
      </c>
      <c r="P148" s="1529">
        <f>SUMIF('CF.2'!$H$65:$H$108,'CF.1'!E148,'CF.2'!$J$65:$J$108)+SUMIF('CF.2'!$K$65:$K$108,'CF.1'!E148,'CF.2'!$M$65:$M$108)</f>
        <v>0</v>
      </c>
      <c r="Q148" s="1529">
        <f>SUMIF('CF.2'!$H$112:$H$118,'CF.1'!E148,'CF.2'!$J$112:$J$118)+SUMIF('CF.2'!$K$112:$K$118,'CF.1'!E148,'CF.2'!$M$112:$M$118)</f>
        <v>0</v>
      </c>
      <c r="R148" s="1529">
        <f>SUMIF('CF.2'!$H$123:$H$134,'CF.1'!E148,'CF.2'!$J$123:$J$134)+SUMIF('CF.2'!$K$123:$K$134,'CF.1'!E148,'CF.2'!$M$123:$M$134)</f>
        <v>0</v>
      </c>
      <c r="S148" s="1530">
        <f t="shared" si="19"/>
        <v>0</v>
      </c>
      <c r="U148" s="1532">
        <f t="shared" si="20"/>
        <v>-316678366</v>
      </c>
      <c r="X148" s="1086"/>
      <c r="Y148" s="1086"/>
      <c r="Z148" s="1086"/>
    </row>
    <row r="149" spans="3:26" ht="18" customHeight="1">
      <c r="C149" s="1359">
        <v>1</v>
      </c>
      <c r="D149" s="1527" t="s">
        <v>998</v>
      </c>
      <c r="E149" s="1501" t="s">
        <v>946</v>
      </c>
      <c r="F149" s="1528" t="s">
        <v>1428</v>
      </c>
      <c r="G149" s="1501" t="s">
        <v>947</v>
      </c>
      <c r="H149" s="1825">
        <v>-547389273</v>
      </c>
      <c r="I149" s="1826">
        <v>1386301</v>
      </c>
      <c r="J149" s="1826">
        <v>0</v>
      </c>
      <c r="K149" s="1826">
        <v>0</v>
      </c>
      <c r="L149" s="1530">
        <f t="shared" si="18"/>
        <v>-546002972</v>
      </c>
      <c r="N149" s="1531">
        <f>SUMIF('CF.2'!$H$5:$H$25,'CF.1'!E149,'CF.2'!$J$5:$J$25)-SUMIF('CF.2'!$K$5:$K$25,'CF.1'!E149,'CF.2'!$M$5:$M$25)</f>
        <v>0</v>
      </c>
      <c r="O149" s="1529">
        <f>SUMIF('CF.2'!$H$31:$H$60,'CF.1'!E149,'CF.2'!$J$31:$J$60)+SUMIF('CF.2'!$K$31:$K$60,'CF.1'!E149,'CF.2'!$M$31:$M$60)</f>
        <v>0</v>
      </c>
      <c r="P149" s="1529">
        <f>SUMIF('CF.2'!$H$65:$H$108,'CF.1'!E149,'CF.2'!$J$65:$J$108)+SUMIF('CF.2'!$K$65:$K$108,'CF.1'!E149,'CF.2'!$M$65:$M$108)</f>
        <v>0</v>
      </c>
      <c r="Q149" s="1529">
        <f>SUMIF('CF.2'!$H$112:$H$118,'CF.1'!E149,'CF.2'!$J$112:$J$118)+SUMIF('CF.2'!$K$112:$K$118,'CF.1'!E149,'CF.2'!$M$112:$M$118)</f>
        <v>0</v>
      </c>
      <c r="R149" s="1529">
        <f>SUMIF('CF.2'!$H$123:$H$134,'CF.1'!E149,'CF.2'!$J$123:$J$134)+SUMIF('CF.2'!$K$123:$K$134,'CF.1'!E149,'CF.2'!$M$123:$M$134)</f>
        <v>0</v>
      </c>
      <c r="S149" s="1530">
        <f t="shared" si="19"/>
        <v>0</v>
      </c>
      <c r="U149" s="1532">
        <f t="shared" si="20"/>
        <v>-546002972</v>
      </c>
      <c r="X149" s="1086"/>
      <c r="Y149" s="1086"/>
      <c r="Z149" s="1086"/>
    </row>
    <row r="150" spans="3:26" s="1086" customFormat="1" ht="18" customHeight="1">
      <c r="C150" s="1086">
        <v>1</v>
      </c>
      <c r="D150" s="1533" t="s">
        <v>948</v>
      </c>
      <c r="E150" s="1271" t="s">
        <v>948</v>
      </c>
      <c r="F150" s="1534" t="s">
        <v>2268</v>
      </c>
      <c r="G150" s="1271" t="s">
        <v>949</v>
      </c>
      <c r="H150" s="1824">
        <v>3143367671</v>
      </c>
      <c r="I150" s="1827">
        <v>-54369881</v>
      </c>
      <c r="J150" s="1827">
        <v>5530790</v>
      </c>
      <c r="K150" s="1827">
        <v>774286612</v>
      </c>
      <c r="L150" s="1536">
        <f t="shared" si="18"/>
        <v>3868815192</v>
      </c>
      <c r="N150" s="1550">
        <f>SUMIF('CF.2'!$H$5:$H$25,'CF.1'!E150,'CF.2'!$J$5:$J$25)-SUMIF('CF.2'!$K$5:$K$25,'CF.1'!E150,'CF.2'!$M$5:$M$25)</f>
        <v>0</v>
      </c>
      <c r="O150" s="1535">
        <f>SUMIF('CF.2'!$H$31:$H$60,'CF.1'!E150,'CF.2'!$J$31:$J$60)+SUMIF('CF.2'!$K$31:$K$60,'CF.1'!E150,'CF.2'!$M$31:$M$60)</f>
        <v>0</v>
      </c>
      <c r="P150" s="1535">
        <f>SUMIF('CF.2'!$H$65:$H$108,'CF.1'!E150,'CF.2'!$J$65:$J$108)+SUMIF('CF.2'!$K$65:$K$108,'CF.1'!E150,'CF.2'!$M$65:$M$108)</f>
        <v>574295200</v>
      </c>
      <c r="Q150" s="1535">
        <f>SUMIF('CF.2'!$H$112:$H$118,'CF.1'!E150,'CF.2'!$J$112:$J$118)+SUMIF('CF.2'!$K$112:$K$118,'CF.1'!E150,'CF.2'!$M$112:$M$118)</f>
        <v>0</v>
      </c>
      <c r="R150" s="1535">
        <f>SUMIF('CF.2'!$H$123:$H$134,'CF.1'!E150,'CF.2'!$J$123:$J$134)+SUMIF('CF.2'!$K$123:$K$134,'CF.1'!E150,'CF.2'!$M$123:$M$134)</f>
        <v>0</v>
      </c>
      <c r="S150" s="1536">
        <f t="shared" si="19"/>
        <v>574295200</v>
      </c>
      <c r="U150" s="1537">
        <f t="shared" si="20"/>
        <v>4443110392</v>
      </c>
      <c r="V150" s="1359"/>
      <c r="W150" s="1359"/>
    </row>
    <row r="151" spans="3:26" s="1086" customFormat="1" ht="18" customHeight="1">
      <c r="C151" s="1086">
        <v>1</v>
      </c>
      <c r="D151" s="1533" t="s">
        <v>950</v>
      </c>
      <c r="E151" s="1271" t="s">
        <v>950</v>
      </c>
      <c r="F151" s="1534" t="s">
        <v>2268</v>
      </c>
      <c r="G151" s="1271" t="s">
        <v>951</v>
      </c>
      <c r="H151" s="1824">
        <v>-1765730393</v>
      </c>
      <c r="I151" s="1827">
        <v>-209295529</v>
      </c>
      <c r="J151" s="1827">
        <v>-7924220</v>
      </c>
      <c r="K151" s="1827">
        <v>0</v>
      </c>
      <c r="L151" s="1536">
        <f t="shared" si="18"/>
        <v>-1982950142</v>
      </c>
      <c r="N151" s="1550">
        <f>SUMIF('CF.2'!$H$5:$H$25,'CF.1'!E151,'CF.2'!$J$5:$J$25)-SUMIF('CF.2'!$K$5:$K$25,'CF.1'!E151,'CF.2'!$M$5:$M$25)</f>
        <v>0</v>
      </c>
      <c r="O151" s="1535">
        <f>SUMIF('CF.2'!$H$31:$H$60,'CF.1'!E151,'CF.2'!$J$31:$J$60)+SUMIF('CF.2'!$K$31:$K$60,'CF.1'!E151,'CF.2'!$M$31:$M$60)</f>
        <v>0</v>
      </c>
      <c r="P151" s="1535">
        <f>SUMIF('CF.2'!$H$65:$H$108,'CF.1'!E151,'CF.2'!$J$65:$J$108)+SUMIF('CF.2'!$K$65:$K$108,'CF.1'!E151,'CF.2'!$M$65:$M$108)</f>
        <v>87715070</v>
      </c>
      <c r="Q151" s="1535">
        <f>SUMIF('CF.2'!$H$112:$H$118,'CF.1'!E151,'CF.2'!$J$112:$J$118)+SUMIF('CF.2'!$K$112:$K$118,'CF.1'!E151,'CF.2'!$M$112:$M$118)</f>
        <v>0</v>
      </c>
      <c r="R151" s="1535">
        <f>SUMIF('CF.2'!$H$123:$H$134,'CF.1'!E151,'CF.2'!$J$123:$J$134)+SUMIF('CF.2'!$K$123:$K$134,'CF.1'!E151,'CF.2'!$M$123:$M$134)</f>
        <v>0</v>
      </c>
      <c r="S151" s="1536">
        <f t="shared" si="19"/>
        <v>87715070</v>
      </c>
      <c r="U151" s="1537">
        <f t="shared" si="20"/>
        <v>-1895235072</v>
      </c>
      <c r="V151" s="1359"/>
      <c r="W151" s="1359"/>
    </row>
    <row r="152" spans="3:26" s="1086" customFormat="1" ht="18" customHeight="1">
      <c r="C152" s="1086">
        <v>1</v>
      </c>
      <c r="D152" s="1533" t="s">
        <v>952</v>
      </c>
      <c r="E152" s="1271" t="s">
        <v>952</v>
      </c>
      <c r="F152" s="1534" t="s">
        <v>1428</v>
      </c>
      <c r="G152" s="1271" t="s">
        <v>953</v>
      </c>
      <c r="H152" s="1824">
        <v>-1393112142</v>
      </c>
      <c r="I152" s="1824">
        <v>13542896</v>
      </c>
      <c r="J152" s="1827">
        <v>2267580</v>
      </c>
      <c r="K152" s="1827">
        <v>880613445</v>
      </c>
      <c r="L152" s="1536">
        <f t="shared" si="18"/>
        <v>-496688221</v>
      </c>
      <c r="N152" s="1531">
        <f>SUMIF('CF.2'!$H$5:$H$25,'CF.1'!E152,'CF.2'!$J$5:$J$25)-SUMIF('CF.2'!$K$5:$K$25,'CF.1'!E152,'CF.2'!$M$5:$M$25)</f>
        <v>0</v>
      </c>
      <c r="O152" s="1529">
        <f>SUMIF('CF.2'!$H$31:$H$60,'CF.1'!E152,'CF.2'!$J$31:$J$60)+SUMIF('CF.2'!$K$31:$K$60,'CF.1'!E152,'CF.2'!$M$31:$M$60)</f>
        <v>0</v>
      </c>
      <c r="P152" s="1529">
        <f>SUMIF('CF.2'!$H$65:$H$108,'CF.1'!E152,'CF.2'!$J$65:$J$108)+SUMIF('CF.2'!$K$65:$K$108,'CF.1'!E152,'CF.2'!$M$65:$M$108)</f>
        <v>0</v>
      </c>
      <c r="Q152" s="1529">
        <f>SUMIF('CF.2'!$H$112:$H$118,'CF.1'!E152,'CF.2'!$J$112:$J$118)+SUMIF('CF.2'!$K$112:$K$118,'CF.1'!E152,'CF.2'!$M$112:$M$118)</f>
        <v>0</v>
      </c>
      <c r="R152" s="1529">
        <f>SUMIF('CF.2'!$H$123:$H$134,'CF.1'!E152,'CF.2'!$J$123:$J$134)+SUMIF('CF.2'!$K$123:$K$134,'CF.1'!E152,'CF.2'!$M$123:$M$134)</f>
        <v>-1512524639</v>
      </c>
      <c r="S152" s="1530">
        <f t="shared" si="19"/>
        <v>-1512524639</v>
      </c>
      <c r="U152" s="1537">
        <f t="shared" si="20"/>
        <v>-2009212860</v>
      </c>
      <c r="V152" s="1359"/>
      <c r="W152" s="509"/>
    </row>
    <row r="153" spans="3:26" ht="18" customHeight="1">
      <c r="C153" s="1359">
        <v>1</v>
      </c>
      <c r="D153" s="1527" t="s">
        <v>954</v>
      </c>
      <c r="E153" s="1501" t="s">
        <v>954</v>
      </c>
      <c r="F153" s="1528"/>
      <c r="G153" s="1501" t="s">
        <v>955</v>
      </c>
      <c r="H153" s="1825">
        <v>0</v>
      </c>
      <c r="I153" s="1826">
        <v>0</v>
      </c>
      <c r="J153" s="1826">
        <v>0</v>
      </c>
      <c r="K153" s="1826">
        <v>0</v>
      </c>
      <c r="L153" s="1530">
        <f t="shared" si="18"/>
        <v>0</v>
      </c>
      <c r="N153" s="1531">
        <f>SUMIF('CF.2'!$H$5:$H$25,'CF.1'!E153,'CF.2'!$J$5:$J$25)-SUMIF('CF.2'!$K$5:$K$25,'CF.1'!E153,'CF.2'!$M$5:$M$25)</f>
        <v>0</v>
      </c>
      <c r="O153" s="1529">
        <f>SUMIF('CF.2'!$H$31:$H$60,'CF.1'!E153,'CF.2'!$J$31:$J$60)+SUMIF('CF.2'!$K$31:$K$60,'CF.1'!E153,'CF.2'!$M$31:$M$60)</f>
        <v>0</v>
      </c>
      <c r="P153" s="1529">
        <f>SUMIF('CF.2'!$H$65:$H$108,'CF.1'!E153,'CF.2'!$J$65:$J$108)+SUMIF('CF.2'!$K$65:$K$108,'CF.1'!E153,'CF.2'!$M$65:$M$108)</f>
        <v>0</v>
      </c>
      <c r="Q153" s="1529">
        <f>SUMIF('CF.2'!$H$112:$H$118,'CF.1'!E153,'CF.2'!$J$112:$J$118)+SUMIF('CF.2'!$K$112:$K$118,'CF.1'!E153,'CF.2'!$M$112:$M$118)</f>
        <v>0</v>
      </c>
      <c r="R153" s="1529">
        <f>SUMIF('CF.2'!$H$123:$H$134,'CF.1'!E153,'CF.2'!$J$123:$J$134)+SUMIF('CF.2'!$K$123:$K$134,'CF.1'!E153,'CF.2'!$M$123:$M$134)</f>
        <v>0</v>
      </c>
      <c r="S153" s="1530">
        <f t="shared" si="19"/>
        <v>0</v>
      </c>
      <c r="U153" s="1532">
        <f t="shared" si="20"/>
        <v>0</v>
      </c>
    </row>
    <row r="154" spans="3:26" ht="18" customHeight="1">
      <c r="C154" s="1359">
        <v>1</v>
      </c>
      <c r="D154" s="1527" t="s">
        <v>956</v>
      </c>
      <c r="E154" s="1501" t="s">
        <v>956</v>
      </c>
      <c r="F154" s="1528"/>
      <c r="G154" s="1501" t="s">
        <v>957</v>
      </c>
      <c r="H154" s="1825">
        <v>0</v>
      </c>
      <c r="I154" s="1826">
        <v>0</v>
      </c>
      <c r="J154" s="1826">
        <v>0</v>
      </c>
      <c r="K154" s="1826">
        <v>0</v>
      </c>
      <c r="L154" s="1530">
        <f t="shared" si="18"/>
        <v>0</v>
      </c>
      <c r="N154" s="1531">
        <f>SUMIF('CF.2'!$H$5:$H$25,'CF.1'!E154,'CF.2'!$J$5:$J$25)-SUMIF('CF.2'!$K$5:$K$25,'CF.1'!E154,'CF.2'!$M$5:$M$25)</f>
        <v>0</v>
      </c>
      <c r="O154" s="1529">
        <f>SUMIF('CF.2'!$H$31:$H$60,'CF.1'!E154,'CF.2'!$J$31:$J$60)+SUMIF('CF.2'!$K$31:$K$60,'CF.1'!E154,'CF.2'!$M$31:$M$60)</f>
        <v>0</v>
      </c>
      <c r="P154" s="1529">
        <f>SUMIF('CF.2'!$H$65:$H$108,'CF.1'!E154,'CF.2'!$J$65:$J$108)+SUMIF('CF.2'!$K$65:$K$108,'CF.1'!E154,'CF.2'!$M$65:$M$108)</f>
        <v>0</v>
      </c>
      <c r="Q154" s="1529">
        <f>SUMIF('CF.2'!$H$112:$H$118,'CF.1'!E154,'CF.2'!$J$112:$J$118)+SUMIF('CF.2'!$K$112:$K$118,'CF.1'!E154,'CF.2'!$M$112:$M$118)</f>
        <v>0</v>
      </c>
      <c r="R154" s="1529">
        <f>SUMIF('CF.2'!$H$123:$H$134,'CF.1'!E154,'CF.2'!$J$123:$J$134)+SUMIF('CF.2'!$K$123:$K$134,'CF.1'!E154,'CF.2'!$M$123:$M$134)</f>
        <v>0</v>
      </c>
      <c r="S154" s="1530">
        <f t="shared" si="19"/>
        <v>0</v>
      </c>
      <c r="U154" s="1532">
        <f t="shared" si="20"/>
        <v>0</v>
      </c>
    </row>
    <row r="155" spans="3:26" ht="18" customHeight="1">
      <c r="C155" s="1359">
        <v>1</v>
      </c>
      <c r="D155" s="1527" t="s">
        <v>958</v>
      </c>
      <c r="E155" s="1501" t="s">
        <v>958</v>
      </c>
      <c r="F155" s="1528" t="s">
        <v>1428</v>
      </c>
      <c r="G155" s="1501" t="s">
        <v>959</v>
      </c>
      <c r="H155" s="1825">
        <v>0</v>
      </c>
      <c r="I155" s="1826">
        <v>0</v>
      </c>
      <c r="J155" s="1826">
        <v>0</v>
      </c>
      <c r="K155" s="1826">
        <v>0</v>
      </c>
      <c r="L155" s="1530">
        <f t="shared" si="18"/>
        <v>0</v>
      </c>
      <c r="N155" s="1531">
        <f>SUMIF('CF.2'!$H$5:$H$25,'CF.1'!E155,'CF.2'!$J$5:$J$25)-SUMIF('CF.2'!$K$5:$K$25,'CF.1'!E155,'CF.2'!$M$5:$M$25)</f>
        <v>0</v>
      </c>
      <c r="O155" s="1529">
        <f>SUMIF('CF.2'!$H$31:$H$60,'CF.1'!E155,'CF.2'!$J$31:$J$60)+SUMIF('CF.2'!$K$31:$K$60,'CF.1'!E155,'CF.2'!$M$31:$M$60)</f>
        <v>0</v>
      </c>
      <c r="P155" s="1529">
        <f>SUMIF('CF.2'!$H$65:$H$108,'CF.1'!E155,'CF.2'!$J$65:$J$108)+SUMIF('CF.2'!$K$65:$K$108,'CF.1'!E155,'CF.2'!$M$65:$M$108)</f>
        <v>0</v>
      </c>
      <c r="Q155" s="1529">
        <f>SUMIF('CF.2'!$H$112:$H$118,'CF.1'!E155,'CF.2'!$J$112:$J$118)+SUMIF('CF.2'!$K$112:$K$118,'CF.1'!E155,'CF.2'!$M$112:$M$118)</f>
        <v>0</v>
      </c>
      <c r="R155" s="1529">
        <f>SUMIF('CF.2'!$H$123:$H$134,'CF.1'!E155,'CF.2'!$J$123:$J$134)+SUMIF('CF.2'!$K$123:$K$134,'CF.1'!E155,'CF.2'!$M$123:$M$134)</f>
        <v>0</v>
      </c>
      <c r="S155" s="1530">
        <f t="shared" si="19"/>
        <v>0</v>
      </c>
      <c r="U155" s="1532">
        <f t="shared" si="20"/>
        <v>0</v>
      </c>
    </row>
    <row r="156" spans="3:26" ht="18" customHeight="1">
      <c r="C156" s="1359">
        <v>1</v>
      </c>
      <c r="D156" s="1527" t="s">
        <v>960</v>
      </c>
      <c r="E156" s="1501" t="s">
        <v>960</v>
      </c>
      <c r="F156" s="1528" t="s">
        <v>2269</v>
      </c>
      <c r="G156" s="1501" t="s">
        <v>961</v>
      </c>
      <c r="H156" s="1824">
        <v>0</v>
      </c>
      <c r="I156" s="1826">
        <v>0</v>
      </c>
      <c r="J156" s="1826">
        <v>0</v>
      </c>
      <c r="K156" s="1826">
        <v>0</v>
      </c>
      <c r="L156" s="1530">
        <f t="shared" si="18"/>
        <v>0</v>
      </c>
      <c r="N156" s="1531">
        <f>SUMIF('CF.2'!$H$5:$H$25,'CF.1'!E156,'CF.2'!$J$5:$J$25)-SUMIF('CF.2'!$K$5:$K$25,'CF.1'!E156,'CF.2'!$M$5:$M$25)</f>
        <v>0</v>
      </c>
      <c r="O156" s="1529">
        <f>SUMIF('CF.2'!$H$31:$H$60,'CF.1'!E156,'CF.2'!$J$31:$J$60)+SUMIF('CF.2'!$K$31:$K$60,'CF.1'!E156,'CF.2'!$M$31:$M$60)</f>
        <v>0</v>
      </c>
      <c r="P156" s="1529">
        <f>SUMIF('CF.2'!$H$65:$H$108,'CF.1'!E156,'CF.2'!$J$65:$J$108)+SUMIF('CF.2'!$K$65:$K$108,'CF.1'!E156,'CF.2'!$M$65:$M$108)</f>
        <v>0</v>
      </c>
      <c r="Q156" s="1529">
        <f>SUMIF('CF.2'!$H$112:$H$118,'CF.1'!E156,'CF.2'!$J$112:$J$118)+SUMIF('CF.2'!$K$112:$K$118,'CF.1'!E156,'CF.2'!$M$112:$M$118)</f>
        <v>0</v>
      </c>
      <c r="R156" s="1529">
        <f>SUMIF('CF.2'!$H$123:$H$134,'CF.1'!E156,'CF.2'!$J$123:$J$134)+SUMIF('CF.2'!$K$123:$K$134,'CF.1'!E156,'CF.2'!$M$123:$M$134)</f>
        <v>0</v>
      </c>
      <c r="S156" s="1530">
        <f t="shared" si="19"/>
        <v>0</v>
      </c>
      <c r="U156" s="1532">
        <f t="shared" si="20"/>
        <v>0</v>
      </c>
    </row>
    <row r="157" spans="3:26" ht="18" customHeight="1">
      <c r="C157" s="1359">
        <v>1</v>
      </c>
      <c r="D157" s="1527" t="s">
        <v>962</v>
      </c>
      <c r="E157" s="1501" t="s">
        <v>962</v>
      </c>
      <c r="F157" s="1528"/>
      <c r="G157" s="1501" t="s">
        <v>963</v>
      </c>
      <c r="H157" s="1825">
        <v>0</v>
      </c>
      <c r="I157" s="1826">
        <v>0</v>
      </c>
      <c r="J157" s="1826">
        <v>0</v>
      </c>
      <c r="K157" s="1826">
        <v>0</v>
      </c>
      <c r="L157" s="1530">
        <f t="shared" si="18"/>
        <v>0</v>
      </c>
      <c r="N157" s="1531">
        <f>SUMIF('CF.2'!$H$5:$H$25,'CF.1'!E157,'CF.2'!$J$5:$J$25)-SUMIF('CF.2'!$K$5:$K$25,'CF.1'!E157,'CF.2'!$M$5:$M$25)</f>
        <v>0</v>
      </c>
      <c r="O157" s="1529">
        <f>SUMIF('CF.2'!$H$31:$H$60,'CF.1'!E157,'CF.2'!$J$31:$J$60)+SUMIF('CF.2'!$K$31:$K$60,'CF.1'!E157,'CF.2'!$M$31:$M$60)</f>
        <v>0</v>
      </c>
      <c r="P157" s="1529">
        <f>SUMIF('CF.2'!$H$65:$H$108,'CF.1'!E157,'CF.2'!$J$65:$J$108)+SUMIF('CF.2'!$K$65:$K$108,'CF.1'!E157,'CF.2'!$M$65:$M$108)</f>
        <v>0</v>
      </c>
      <c r="Q157" s="1529">
        <f>SUMIF('CF.2'!$H$112:$H$118,'CF.1'!E157,'CF.2'!$J$112:$J$118)+SUMIF('CF.2'!$K$112:$K$118,'CF.1'!E157,'CF.2'!$M$112:$M$118)</f>
        <v>0</v>
      </c>
      <c r="R157" s="1529">
        <f>SUMIF('CF.2'!$H$123:$H$134,'CF.1'!E157,'CF.2'!$J$123:$J$134)+SUMIF('CF.2'!$K$123:$K$134,'CF.1'!E157,'CF.2'!$M$123:$M$134)</f>
        <v>0</v>
      </c>
      <c r="S157" s="1530">
        <f t="shared" si="19"/>
        <v>0</v>
      </c>
      <c r="U157" s="1532">
        <f t="shared" si="20"/>
        <v>0</v>
      </c>
    </row>
    <row r="158" spans="3:26" ht="18" customHeight="1">
      <c r="C158" s="1359">
        <v>1</v>
      </c>
      <c r="D158" s="1527" t="s">
        <v>964</v>
      </c>
      <c r="E158" s="1501" t="s">
        <v>964</v>
      </c>
      <c r="F158" s="1528" t="s">
        <v>2269</v>
      </c>
      <c r="G158" s="1501" t="s">
        <v>965</v>
      </c>
      <c r="H158" s="1825">
        <v>784017738</v>
      </c>
      <c r="I158" s="1826">
        <v>0</v>
      </c>
      <c r="J158" s="1826">
        <v>0</v>
      </c>
      <c r="K158" s="1826">
        <v>0</v>
      </c>
      <c r="L158" s="1530">
        <f t="shared" si="18"/>
        <v>784017738</v>
      </c>
      <c r="N158" s="1531">
        <f>SUMIF('CF.2'!$H$5:$H$25,'CF.1'!E158,'CF.2'!$J$5:$J$25)-SUMIF('CF.2'!$K$5:$K$25,'CF.1'!E158,'CF.2'!$M$5:$M$25)</f>
        <v>0</v>
      </c>
      <c r="O158" s="1529">
        <f>SUMIF('CF.2'!$H$31:$H$60,'CF.1'!E158,'CF.2'!$J$31:$J$60)+SUMIF('CF.2'!$K$31:$K$60,'CF.1'!E158,'CF.2'!$M$31:$M$60)</f>
        <v>0</v>
      </c>
      <c r="P158" s="1529">
        <f>SUMIF('CF.2'!$H$65:$H$108,'CF.1'!E158,'CF.2'!$J$65:$J$108)+SUMIF('CF.2'!$K$65:$K$108,'CF.1'!E158,'CF.2'!$M$65:$M$108)</f>
        <v>0</v>
      </c>
      <c r="Q158" s="1529">
        <f>SUMIF('CF.2'!$H$112:$H$118,'CF.1'!E158,'CF.2'!$J$112:$J$118)+SUMIF('CF.2'!$K$112:$K$118,'CF.1'!E158,'CF.2'!$M$112:$M$118)</f>
        <v>0</v>
      </c>
      <c r="R158" s="1529">
        <f>SUMIF('CF.2'!$H$123:$H$134,'CF.1'!E158,'CF.2'!$J$123:$J$134)+SUMIF('CF.2'!$K$123:$K$134,'CF.1'!E158,'CF.2'!$M$123:$M$134)</f>
        <v>0</v>
      </c>
      <c r="S158" s="1530">
        <f t="shared" si="19"/>
        <v>0</v>
      </c>
      <c r="U158" s="1532">
        <f t="shared" si="20"/>
        <v>784017738</v>
      </c>
    </row>
    <row r="159" spans="3:26" ht="18" customHeight="1">
      <c r="C159" s="1359">
        <v>1</v>
      </c>
      <c r="D159" s="1527" t="s">
        <v>966</v>
      </c>
      <c r="E159" s="1501" t="s">
        <v>966</v>
      </c>
      <c r="F159" s="1528"/>
      <c r="G159" s="1501" t="s">
        <v>967</v>
      </c>
      <c r="H159" s="1825">
        <v>0</v>
      </c>
      <c r="I159" s="1826">
        <v>0</v>
      </c>
      <c r="J159" s="1826">
        <v>0</v>
      </c>
      <c r="K159" s="1826">
        <v>0</v>
      </c>
      <c r="L159" s="1530">
        <f t="shared" si="18"/>
        <v>0</v>
      </c>
      <c r="N159" s="1531">
        <f>SUMIF('CF.2'!$H$5:$H$25,'CF.1'!E159,'CF.2'!$J$5:$J$25)-SUMIF('CF.2'!$K$5:$K$25,'CF.1'!E159,'CF.2'!$M$5:$M$25)</f>
        <v>0</v>
      </c>
      <c r="O159" s="1529">
        <f>SUMIF('CF.2'!$H$31:$H$60,'CF.1'!E159,'CF.2'!$J$31:$J$60)+SUMIF('CF.2'!$K$31:$K$60,'CF.1'!E159,'CF.2'!$M$31:$M$60)</f>
        <v>0</v>
      </c>
      <c r="P159" s="1529">
        <f>SUMIF('CF.2'!$H$65:$H$108,'CF.1'!E159,'CF.2'!$J$65:$J$108)+SUMIF('CF.2'!$K$65:$K$108,'CF.1'!E159,'CF.2'!$M$65:$M$108)</f>
        <v>0</v>
      </c>
      <c r="Q159" s="1529">
        <f>SUMIF('CF.2'!$H$112:$H$118,'CF.1'!E159,'CF.2'!$J$112:$J$118)+SUMIF('CF.2'!$K$112:$K$118,'CF.1'!E159,'CF.2'!$M$112:$M$118)</f>
        <v>0</v>
      </c>
      <c r="R159" s="1529">
        <f>SUMIF('CF.2'!$H$123:$H$134,'CF.1'!E159,'CF.2'!$J$123:$J$134)+SUMIF('CF.2'!$K$123:$K$134,'CF.1'!E159,'CF.2'!$M$123:$M$134)</f>
        <v>0</v>
      </c>
      <c r="S159" s="1530">
        <f t="shared" si="19"/>
        <v>0</v>
      </c>
      <c r="U159" s="1532">
        <f t="shared" si="20"/>
        <v>0</v>
      </c>
    </row>
    <row r="160" spans="3:26" ht="18" customHeight="1">
      <c r="C160" s="1359">
        <v>1</v>
      </c>
      <c r="D160" s="1527" t="s">
        <v>968</v>
      </c>
      <c r="E160" s="1501" t="s">
        <v>968</v>
      </c>
      <c r="F160" s="1528"/>
      <c r="G160" s="1501" t="s">
        <v>969</v>
      </c>
      <c r="H160" s="1825">
        <v>0</v>
      </c>
      <c r="I160" s="1826">
        <v>0</v>
      </c>
      <c r="J160" s="1826">
        <v>0</v>
      </c>
      <c r="K160" s="1826">
        <v>0</v>
      </c>
      <c r="L160" s="1530">
        <f t="shared" ref="L160:L176" si="21">SUM(H160:K160)</f>
        <v>0</v>
      </c>
      <c r="N160" s="1531">
        <f>SUMIF('CF.2'!$H$5:$H$25,'CF.1'!E160,'CF.2'!$J$5:$J$25)-SUMIF('CF.2'!$K$5:$K$25,'CF.1'!E160,'CF.2'!$M$5:$M$25)</f>
        <v>0</v>
      </c>
      <c r="O160" s="1529">
        <f>SUMIF('CF.2'!$H$31:$H$60,'CF.1'!E160,'CF.2'!$J$31:$J$60)+SUMIF('CF.2'!$K$31:$K$60,'CF.1'!E160,'CF.2'!$M$31:$M$60)</f>
        <v>0</v>
      </c>
      <c r="P160" s="1529">
        <f>SUMIF('CF.2'!$H$65:$H$108,'CF.1'!E160,'CF.2'!$J$65:$J$108)+SUMIF('CF.2'!$K$65:$K$108,'CF.1'!E160,'CF.2'!$M$65:$M$108)</f>
        <v>0</v>
      </c>
      <c r="Q160" s="1529">
        <f>SUMIF('CF.2'!$H$112:$H$118,'CF.1'!E160,'CF.2'!$J$112:$J$118)+SUMIF('CF.2'!$K$112:$K$118,'CF.1'!E160,'CF.2'!$M$112:$M$118)</f>
        <v>0</v>
      </c>
      <c r="R160" s="1529">
        <f>SUMIF('CF.2'!$H$123:$H$134,'CF.1'!E160,'CF.2'!$J$123:$J$134)+SUMIF('CF.2'!$K$123:$K$134,'CF.1'!E160,'CF.2'!$M$123:$M$134)</f>
        <v>0</v>
      </c>
      <c r="S160" s="1530">
        <f t="shared" ref="S160:S176" si="22">SUM(N160:R160)</f>
        <v>0</v>
      </c>
      <c r="U160" s="1532">
        <f t="shared" ref="U160:U176" si="23">ROUND(S160+L160,0)</f>
        <v>0</v>
      </c>
    </row>
    <row r="161" spans="3:21" ht="18" customHeight="1">
      <c r="C161" s="1359">
        <v>1</v>
      </c>
      <c r="D161" s="1527" t="s">
        <v>970</v>
      </c>
      <c r="E161" s="1501" t="s">
        <v>970</v>
      </c>
      <c r="F161" s="1528" t="s">
        <v>2268</v>
      </c>
      <c r="G161" s="1501" t="s">
        <v>971</v>
      </c>
      <c r="H161" s="1825">
        <v>526577000</v>
      </c>
      <c r="I161" s="1826">
        <v>0</v>
      </c>
      <c r="J161" s="1826">
        <v>0</v>
      </c>
      <c r="K161" s="1826">
        <v>0</v>
      </c>
      <c r="L161" s="1530">
        <f t="shared" si="21"/>
        <v>526577000</v>
      </c>
      <c r="N161" s="1531">
        <f>SUMIF('CF.2'!$H$5:$H$25,'CF.1'!E161,'CF.2'!$J$5:$J$25)-SUMIF('CF.2'!$K$5:$K$25,'CF.1'!E161,'CF.2'!$M$5:$M$25)</f>
        <v>0</v>
      </c>
      <c r="O161" s="1529">
        <f>SUMIF('CF.2'!$H$31:$H$60,'CF.1'!E161,'CF.2'!$J$31:$J$60)+SUMIF('CF.2'!$K$31:$K$60,'CF.1'!E161,'CF.2'!$M$31:$M$60)</f>
        <v>0</v>
      </c>
      <c r="P161" s="1529">
        <f>SUMIF('CF.2'!$H$65:$H$108,'CF.1'!E161,'CF.2'!$J$65:$J$108)+SUMIF('CF.2'!$K$65:$K$108,'CF.1'!E161,'CF.2'!$M$65:$M$108)</f>
        <v>0</v>
      </c>
      <c r="Q161" s="1529">
        <f>SUMIF('CF.2'!$H$112:$H$118,'CF.1'!E161,'CF.2'!$J$112:$J$118)+SUMIF('CF.2'!$K$112:$K$118,'CF.1'!E161,'CF.2'!$M$112:$M$118)</f>
        <v>0</v>
      </c>
      <c r="R161" s="1529">
        <f>SUMIF('CF.2'!$H$123:$H$134,'CF.1'!E161,'CF.2'!$J$123:$J$134)+SUMIF('CF.2'!$K$123:$K$134,'CF.1'!E161,'CF.2'!$M$123:$M$134)</f>
        <v>0</v>
      </c>
      <c r="S161" s="1530">
        <f t="shared" si="22"/>
        <v>0</v>
      </c>
      <c r="U161" s="1532">
        <f t="shared" si="23"/>
        <v>526577000</v>
      </c>
    </row>
    <row r="162" spans="3:21" s="1086" customFormat="1" ht="18" customHeight="1">
      <c r="C162" s="1086">
        <v>1</v>
      </c>
      <c r="D162" s="1533" t="s">
        <v>972</v>
      </c>
      <c r="E162" s="1271" t="s">
        <v>972</v>
      </c>
      <c r="F162" s="1534" t="s">
        <v>1953</v>
      </c>
      <c r="G162" s="1271" t="s">
        <v>973</v>
      </c>
      <c r="H162" s="1824">
        <v>0</v>
      </c>
      <c r="I162" s="1827">
        <v>0</v>
      </c>
      <c r="J162" s="1827">
        <v>0</v>
      </c>
      <c r="K162" s="1827">
        <v>0</v>
      </c>
      <c r="L162" s="1536">
        <f t="shared" si="21"/>
        <v>0</v>
      </c>
      <c r="N162" s="1550">
        <f>SUMIF('CF.2'!$H$5:$H$25,'CF.1'!E162,'CF.2'!$J$5:$J$25)-SUMIF('CF.2'!$K$5:$K$25,'CF.1'!E162,'CF.2'!$M$5:$M$25)</f>
        <v>0</v>
      </c>
      <c r="O162" s="1535">
        <f>SUMIF('CF.2'!$H$31:$H$60,'CF.1'!E162,'CF.2'!$J$31:$J$60)+SUMIF('CF.2'!$K$31:$K$60,'CF.1'!E162,'CF.2'!$M$31:$M$60)</f>
        <v>0</v>
      </c>
      <c r="P162" s="1535">
        <f>SUMIF('CF.2'!$H$65:$H$108,'CF.1'!E162,'CF.2'!$J$65:$J$108)+SUMIF('CF.2'!$K$65:$K$108,'CF.1'!E162,'CF.2'!$M$65:$M$108)</f>
        <v>0</v>
      </c>
      <c r="Q162" s="1535">
        <f>SUMIF('CF.2'!$H$112:$H$118,'CF.1'!E162,'CF.2'!$J$112:$J$118)+SUMIF('CF.2'!$K$112:$K$118,'CF.1'!E162,'CF.2'!$M$112:$M$118)</f>
        <v>0</v>
      </c>
      <c r="R162" s="1535">
        <f>SUMIF('CF.2'!$H$123:$H$134,'CF.1'!E162,'CF.2'!$J$123:$J$134)+SUMIF('CF.2'!$K$123:$K$134,'CF.1'!E162,'CF.2'!$M$123:$M$134)</f>
        <v>0</v>
      </c>
      <c r="S162" s="1536">
        <f t="shared" si="22"/>
        <v>0</v>
      </c>
      <c r="U162" s="1537">
        <f t="shared" si="23"/>
        <v>0</v>
      </c>
    </row>
    <row r="163" spans="3:21" s="1086" customFormat="1" ht="18" customHeight="1">
      <c r="C163" s="1086">
        <v>1</v>
      </c>
      <c r="D163" s="1533" t="s">
        <v>974</v>
      </c>
      <c r="E163" s="1271" t="s">
        <v>974</v>
      </c>
      <c r="F163" s="1534"/>
      <c r="G163" s="1271" t="s">
        <v>975</v>
      </c>
      <c r="H163" s="1824">
        <v>0</v>
      </c>
      <c r="I163" s="1827">
        <v>0</v>
      </c>
      <c r="J163" s="1827">
        <v>0</v>
      </c>
      <c r="K163" s="1827">
        <v>0</v>
      </c>
      <c r="L163" s="1536">
        <f t="shared" si="21"/>
        <v>0</v>
      </c>
      <c r="N163" s="1550">
        <f>SUMIF('CF.2'!$H$5:$H$25,'CF.1'!E163,'CF.2'!$J$5:$J$25)-SUMIF('CF.2'!$K$5:$K$25,'CF.1'!E163,'CF.2'!$M$5:$M$25)</f>
        <v>0</v>
      </c>
      <c r="O163" s="1535">
        <f>SUMIF('CF.2'!$H$31:$H$60,'CF.1'!E163,'CF.2'!$J$31:$J$60)+SUMIF('CF.2'!$K$31:$K$60,'CF.1'!E163,'CF.2'!$M$31:$M$60)</f>
        <v>0</v>
      </c>
      <c r="P163" s="1535">
        <f>SUMIF('CF.2'!$H$65:$H$108,'CF.1'!E163,'CF.2'!$J$65:$J$108)+SUMIF('CF.2'!$K$65:$K$108,'CF.1'!E163,'CF.2'!$M$65:$M$108)</f>
        <v>0</v>
      </c>
      <c r="Q163" s="1535">
        <f>SUMIF('CF.2'!$H$112:$H$118,'CF.1'!E163,'CF.2'!$J$112:$J$118)+SUMIF('CF.2'!$K$112:$K$118,'CF.1'!E163,'CF.2'!$M$112:$M$118)</f>
        <v>0</v>
      </c>
      <c r="R163" s="1535">
        <f>SUMIF('CF.2'!$H$123:$H$134,'CF.1'!E163,'CF.2'!$J$123:$J$134)+SUMIF('CF.2'!$K$123:$K$134,'CF.1'!E163,'CF.2'!$M$123:$M$134)</f>
        <v>0</v>
      </c>
      <c r="S163" s="1536">
        <f t="shared" si="22"/>
        <v>0</v>
      </c>
      <c r="U163" s="1537">
        <f t="shared" si="23"/>
        <v>0</v>
      </c>
    </row>
    <row r="164" spans="3:21" s="1086" customFormat="1" ht="18" customHeight="1">
      <c r="C164" s="1086">
        <v>1</v>
      </c>
      <c r="D164" s="1533" t="s">
        <v>976</v>
      </c>
      <c r="E164" s="1271" t="s">
        <v>976</v>
      </c>
      <c r="F164" s="1534" t="s">
        <v>2269</v>
      </c>
      <c r="G164" s="1271" t="s">
        <v>977</v>
      </c>
      <c r="H164" s="1824">
        <v>-818495987</v>
      </c>
      <c r="I164" s="1827">
        <v>-43590230</v>
      </c>
      <c r="J164" s="1827">
        <v>0</v>
      </c>
      <c r="K164" s="1827">
        <v>-4025226</v>
      </c>
      <c r="L164" s="1536">
        <f t="shared" si="21"/>
        <v>-866111443</v>
      </c>
      <c r="N164" s="1550">
        <f>SUMIF('CF.2'!$H$5:$H$25,'CF.1'!E164,'CF.2'!$J$5:$J$25)-SUMIF('CF.2'!$K$5:$K$25,'CF.1'!E164,'CF.2'!$M$5:$M$25)</f>
        <v>0</v>
      </c>
      <c r="O164" s="1535">
        <f>SUMIF('CF.2'!$H$31:$H$60,'CF.1'!E164,'CF.2'!$J$31:$J$60)+SUMIF('CF.2'!$K$31:$K$60,'CF.1'!E164,'CF.2'!$M$31:$M$60)</f>
        <v>0</v>
      </c>
      <c r="P164" s="1535">
        <f>SUMIF('CF.2'!$H$65:$H$108,'CF.1'!E164,'CF.2'!$J$65:$J$108)+SUMIF('CF.2'!$K$65:$K$108,'CF.1'!E164,'CF.2'!$M$65:$M$108)</f>
        <v>0</v>
      </c>
      <c r="Q164" s="1535">
        <f>SUMIF('CF.2'!$H$112:$H$118,'CF.1'!E164,'CF.2'!$J$112:$J$118)+SUMIF('CF.2'!$K$112:$K$118,'CF.1'!E164,'CF.2'!$M$112:$M$118)</f>
        <v>0</v>
      </c>
      <c r="R164" s="1535">
        <f>SUMIF('CF.2'!$H$123:$H$134,'CF.1'!E164,'CF.2'!$J$123:$J$134)+SUMIF('CF.2'!$K$123:$K$134,'CF.1'!E164,'CF.2'!$M$123:$M$134)</f>
        <v>0</v>
      </c>
      <c r="S164" s="1536">
        <f t="shared" si="22"/>
        <v>0</v>
      </c>
      <c r="U164" s="1537">
        <f t="shared" si="23"/>
        <v>-866111443</v>
      </c>
    </row>
    <row r="165" spans="3:21" s="1086" customFormat="1" ht="18" customHeight="1">
      <c r="C165" s="1086">
        <v>1</v>
      </c>
      <c r="D165" s="1533" t="s">
        <v>978</v>
      </c>
      <c r="E165" s="1271" t="s">
        <v>978</v>
      </c>
      <c r="F165" s="1534" t="s">
        <v>2270</v>
      </c>
      <c r="G165" s="1271" t="s">
        <v>979</v>
      </c>
      <c r="H165" s="1824">
        <v>0</v>
      </c>
      <c r="I165" s="1827">
        <v>0</v>
      </c>
      <c r="J165" s="1827">
        <v>0</v>
      </c>
      <c r="K165" s="1827">
        <v>0</v>
      </c>
      <c r="L165" s="1536">
        <f t="shared" si="21"/>
        <v>0</v>
      </c>
      <c r="N165" s="1550">
        <f>SUMIF('CF.2'!$H$5:$H$25,'CF.1'!E165,'CF.2'!$J$5:$J$25)-SUMIF('CF.2'!$K$5:$K$25,'CF.1'!E165,'CF.2'!$M$5:$M$25)</f>
        <v>0</v>
      </c>
      <c r="O165" s="1535">
        <f>SUMIF('CF.2'!$H$31:$H$60,'CF.1'!E165,'CF.2'!$J$31:$J$60)+SUMIF('CF.2'!$K$31:$K$60,'CF.1'!E165,'CF.2'!$M$31:$M$60)</f>
        <v>0</v>
      </c>
      <c r="P165" s="1535">
        <f>SUMIF('CF.2'!$H$65:$H$108,'CF.1'!E165,'CF.2'!$J$65:$J$108)+SUMIF('CF.2'!$K$65:$K$108,'CF.1'!E165,'CF.2'!$M$65:$M$108)</f>
        <v>0</v>
      </c>
      <c r="Q165" s="1535">
        <f>SUMIF('CF.2'!$H$112:$H$118,'CF.1'!E165,'CF.2'!$J$112:$J$118)+SUMIF('CF.2'!$K$112:$K$118,'CF.1'!E165,'CF.2'!$M$112:$M$118)</f>
        <v>0</v>
      </c>
      <c r="R165" s="1535">
        <f>SUMIF('CF.2'!$H$123:$H$134,'CF.1'!E165,'CF.2'!$J$123:$J$134)+SUMIF('CF.2'!$K$123:$K$134,'CF.1'!E165,'CF.2'!$M$123:$M$134)</f>
        <v>0</v>
      </c>
      <c r="S165" s="1536">
        <f t="shared" si="22"/>
        <v>0</v>
      </c>
      <c r="U165" s="1537">
        <f t="shared" si="23"/>
        <v>0</v>
      </c>
    </row>
    <row r="166" spans="3:21" s="1086" customFormat="1" ht="18" customHeight="1">
      <c r="C166" s="1086">
        <v>1</v>
      </c>
      <c r="D166" s="1533" t="s">
        <v>980</v>
      </c>
      <c r="E166" s="1271" t="s">
        <v>980</v>
      </c>
      <c r="F166" s="1534" t="s">
        <v>1428</v>
      </c>
      <c r="G166" s="1265" t="s">
        <v>981</v>
      </c>
      <c r="H166" s="1827">
        <v>0</v>
      </c>
      <c r="I166" s="1827">
        <v>0</v>
      </c>
      <c r="J166" s="1827">
        <v>0</v>
      </c>
      <c r="K166" s="1827">
        <v>58123</v>
      </c>
      <c r="L166" s="1536">
        <f t="shared" si="21"/>
        <v>58123</v>
      </c>
      <c r="N166" s="1550">
        <f>SUMIF('CF.2'!$H$5:$H$25,'CF.1'!E166,'CF.2'!$J$5:$J$25)-SUMIF('CF.2'!$K$5:$K$25,'CF.1'!E166,'CF.2'!$M$5:$M$25)</f>
        <v>0</v>
      </c>
      <c r="O166" s="1535">
        <f>SUMIF('CF.2'!$H$31:$H$60,'CF.1'!E166,'CF.2'!$J$31:$J$60)+SUMIF('CF.2'!$K$31:$K$60,'CF.1'!E166,'CF.2'!$M$31:$M$60)</f>
        <v>0</v>
      </c>
      <c r="P166" s="1535">
        <f>SUMIF('CF.2'!$H$65:$H$108,'CF.1'!E166,'CF.2'!$J$65:$J$108)+SUMIF('CF.2'!$K$65:$K$108,'CF.1'!E166,'CF.2'!$M$65:$M$108)</f>
        <v>0</v>
      </c>
      <c r="Q166" s="1535">
        <f>SUMIF('CF.2'!$H$112:$H$118,'CF.1'!E166,'CF.2'!$J$112:$J$118)+SUMIF('CF.2'!$K$112:$K$118,'CF.1'!E166,'CF.2'!$M$112:$M$118)</f>
        <v>0</v>
      </c>
      <c r="R166" s="1535">
        <f>SUMIF('CF.2'!$H$123:$H$134,'CF.1'!E166,'CF.2'!$J$123:$J$134)+SUMIF('CF.2'!$K$123:$K$134,'CF.1'!E166,'CF.2'!$M$123:$M$134)</f>
        <v>0</v>
      </c>
      <c r="S166" s="1536">
        <f t="shared" si="22"/>
        <v>0</v>
      </c>
      <c r="U166" s="1537">
        <f t="shared" si="23"/>
        <v>58123</v>
      </c>
    </row>
    <row r="167" spans="3:21" s="1086" customFormat="1" ht="18" customHeight="1">
      <c r="C167" s="1086">
        <v>1</v>
      </c>
      <c r="D167" s="1533" t="s">
        <v>982</v>
      </c>
      <c r="E167" s="1271" t="s">
        <v>982</v>
      </c>
      <c r="F167" s="1534"/>
      <c r="G167" s="1271" t="s">
        <v>983</v>
      </c>
      <c r="H167" s="1824">
        <v>0</v>
      </c>
      <c r="I167" s="1827">
        <v>0</v>
      </c>
      <c r="J167" s="1827">
        <v>0</v>
      </c>
      <c r="K167" s="1827">
        <v>0</v>
      </c>
      <c r="L167" s="1536">
        <f t="shared" si="21"/>
        <v>0</v>
      </c>
      <c r="N167" s="1550">
        <f>SUMIF('CF.2'!$H$5:$H$25,'CF.1'!E167,'CF.2'!$J$5:$J$25)-SUMIF('CF.2'!$K$5:$K$25,'CF.1'!E167,'CF.2'!$M$5:$M$25)</f>
        <v>0</v>
      </c>
      <c r="O167" s="1535">
        <f>SUMIF('CF.2'!$H$31:$H$60,'CF.1'!E167,'CF.2'!$J$31:$J$60)+SUMIF('CF.2'!$K$31:$K$60,'CF.1'!E167,'CF.2'!$M$31:$M$60)</f>
        <v>0</v>
      </c>
      <c r="P167" s="1535">
        <f>SUMIF('CF.2'!$H$65:$H$108,'CF.1'!E167,'CF.2'!$J$65:$J$108)+SUMIF('CF.2'!$K$65:$K$108,'CF.1'!E167,'CF.2'!$M$65:$M$108)</f>
        <v>0</v>
      </c>
      <c r="Q167" s="1535">
        <f>SUMIF('CF.2'!$H$112:$H$118,'CF.1'!E167,'CF.2'!$J$112:$J$118)+SUMIF('CF.2'!$K$112:$K$118,'CF.1'!E167,'CF.2'!$M$112:$M$118)</f>
        <v>0</v>
      </c>
      <c r="R167" s="1535">
        <f>SUMIF('CF.2'!$H$123:$H$134,'CF.1'!E167,'CF.2'!$J$123:$J$134)+SUMIF('CF.2'!$K$123:$K$134,'CF.1'!E167,'CF.2'!$M$123:$M$134)</f>
        <v>0</v>
      </c>
      <c r="S167" s="1536">
        <f t="shared" si="22"/>
        <v>0</v>
      </c>
      <c r="U167" s="1537">
        <f t="shared" si="23"/>
        <v>0</v>
      </c>
    </row>
    <row r="168" spans="3:21" s="1086" customFormat="1" ht="18" customHeight="1">
      <c r="C168" s="1086">
        <v>1</v>
      </c>
      <c r="D168" s="1533" t="s">
        <v>984</v>
      </c>
      <c r="E168" s="1271" t="s">
        <v>984</v>
      </c>
      <c r="F168" s="1534"/>
      <c r="G168" s="1271" t="s">
        <v>985</v>
      </c>
      <c r="H168" s="1824">
        <v>0</v>
      </c>
      <c r="I168" s="1827">
        <v>0</v>
      </c>
      <c r="J168" s="1827">
        <v>0</v>
      </c>
      <c r="K168" s="1827">
        <v>0</v>
      </c>
      <c r="L168" s="1536">
        <f t="shared" si="21"/>
        <v>0</v>
      </c>
      <c r="N168" s="1550">
        <f>SUMIF('CF.2'!$H$5:$H$25,'CF.1'!E168,'CF.2'!$J$5:$J$25)-SUMIF('CF.2'!$K$5:$K$25,'CF.1'!E168,'CF.2'!$M$5:$M$25)</f>
        <v>0</v>
      </c>
      <c r="O168" s="1535">
        <f>SUMIF('CF.2'!$H$31:$H$60,'CF.1'!E168,'CF.2'!$J$31:$J$60)+SUMIF('CF.2'!$K$31:$K$60,'CF.1'!E168,'CF.2'!$M$31:$M$60)</f>
        <v>0</v>
      </c>
      <c r="P168" s="1535">
        <f>SUMIF('CF.2'!$H$65:$H$108,'CF.1'!E168,'CF.2'!$J$65:$J$108)+SUMIF('CF.2'!$K$65:$K$108,'CF.1'!E168,'CF.2'!$M$65:$M$108)</f>
        <v>0</v>
      </c>
      <c r="Q168" s="1535">
        <f>SUMIF('CF.2'!$H$112:$H$118,'CF.1'!E168,'CF.2'!$J$112:$J$118)+SUMIF('CF.2'!$K$112:$K$118,'CF.1'!E168,'CF.2'!$M$112:$M$118)</f>
        <v>0</v>
      </c>
      <c r="R168" s="1535">
        <f>SUMIF('CF.2'!$H$123:$H$134,'CF.1'!E168,'CF.2'!$J$123:$J$134)+SUMIF('CF.2'!$K$123:$K$134,'CF.1'!E168,'CF.2'!$M$123:$M$134)</f>
        <v>0</v>
      </c>
      <c r="S168" s="1536">
        <f t="shared" si="22"/>
        <v>0</v>
      </c>
      <c r="U168" s="1537">
        <f t="shared" si="23"/>
        <v>0</v>
      </c>
    </row>
    <row r="169" spans="3:21" s="1086" customFormat="1" ht="18" customHeight="1">
      <c r="C169" s="1086">
        <v>1</v>
      </c>
      <c r="D169" s="1533" t="s">
        <v>986</v>
      </c>
      <c r="E169" s="1271" t="s">
        <v>986</v>
      </c>
      <c r="F169" s="1534"/>
      <c r="G169" s="1271" t="s">
        <v>987</v>
      </c>
      <c r="H169" s="1824">
        <v>0</v>
      </c>
      <c r="I169" s="1827">
        <v>0</v>
      </c>
      <c r="J169" s="1827">
        <v>0</v>
      </c>
      <c r="K169" s="1827">
        <v>0</v>
      </c>
      <c r="L169" s="1536">
        <f t="shared" si="21"/>
        <v>0</v>
      </c>
      <c r="N169" s="1550">
        <f>SUMIF('CF.2'!$H$5:$H$25,'CF.1'!E169,'CF.2'!$J$5:$J$25)-SUMIF('CF.2'!$K$5:$K$25,'CF.1'!E169,'CF.2'!$M$5:$M$25)</f>
        <v>0</v>
      </c>
      <c r="O169" s="1535">
        <f>SUMIF('CF.2'!$H$31:$H$60,'CF.1'!E169,'CF.2'!$J$31:$J$60)+SUMIF('CF.2'!$K$31:$K$60,'CF.1'!E169,'CF.2'!$M$31:$M$60)</f>
        <v>0</v>
      </c>
      <c r="P169" s="1535">
        <f>SUMIF('CF.2'!$H$65:$H$108,'CF.1'!E169,'CF.2'!$J$65:$J$108)+SUMIF('CF.2'!$K$65:$K$108,'CF.1'!E169,'CF.2'!$M$65:$M$108)</f>
        <v>0</v>
      </c>
      <c r="Q169" s="1535">
        <f>SUMIF('CF.2'!$H$112:$H$118,'CF.1'!E169,'CF.2'!$J$112:$J$118)+SUMIF('CF.2'!$K$112:$K$118,'CF.1'!E169,'CF.2'!$M$112:$M$118)</f>
        <v>0</v>
      </c>
      <c r="R169" s="1535">
        <f>SUMIF('CF.2'!$H$123:$H$134,'CF.1'!E169,'CF.2'!$J$123:$J$134)+SUMIF('CF.2'!$K$123:$K$134,'CF.1'!E169,'CF.2'!$M$123:$M$134)</f>
        <v>0</v>
      </c>
      <c r="S169" s="1536">
        <f t="shared" si="22"/>
        <v>0</v>
      </c>
      <c r="U169" s="1537">
        <f t="shared" si="23"/>
        <v>0</v>
      </c>
    </row>
    <row r="170" spans="3:21" s="1086" customFormat="1" ht="18" customHeight="1">
      <c r="C170" s="1086">
        <v>1</v>
      </c>
      <c r="D170" s="1533" t="s">
        <v>988</v>
      </c>
      <c r="E170" s="1271" t="s">
        <v>988</v>
      </c>
      <c r="F170" s="1534"/>
      <c r="G170" s="1271" t="s">
        <v>989</v>
      </c>
      <c r="H170" s="1824">
        <v>0</v>
      </c>
      <c r="I170" s="1827">
        <v>0</v>
      </c>
      <c r="J170" s="1827">
        <v>0</v>
      </c>
      <c r="K170" s="1827">
        <v>0</v>
      </c>
      <c r="L170" s="1536">
        <f t="shared" si="21"/>
        <v>0</v>
      </c>
      <c r="N170" s="1550">
        <f>SUMIF('CF.2'!$H$5:$H$25,'CF.1'!E170,'CF.2'!$J$5:$J$25)-SUMIF('CF.2'!$K$5:$K$25,'CF.1'!E170,'CF.2'!$M$5:$M$25)</f>
        <v>0</v>
      </c>
      <c r="O170" s="1535">
        <f>SUMIF('CF.2'!$H$31:$H$60,'CF.1'!E170,'CF.2'!$J$31:$J$60)+SUMIF('CF.2'!$K$31:$K$60,'CF.1'!E170,'CF.2'!$M$31:$M$60)</f>
        <v>0</v>
      </c>
      <c r="P170" s="1535">
        <f>SUMIF('CF.2'!$H$65:$H$108,'CF.1'!E170,'CF.2'!$J$65:$J$108)+SUMIF('CF.2'!$K$65:$K$108,'CF.1'!E170,'CF.2'!$M$65:$M$108)</f>
        <v>0</v>
      </c>
      <c r="Q170" s="1535">
        <f>SUMIF('CF.2'!$H$112:$H$118,'CF.1'!E170,'CF.2'!$J$112:$J$118)+SUMIF('CF.2'!$K$112:$K$118,'CF.1'!E170,'CF.2'!$M$112:$M$118)</f>
        <v>0</v>
      </c>
      <c r="R170" s="1535">
        <f>SUMIF('CF.2'!$H$123:$H$134,'CF.1'!E170,'CF.2'!$J$123:$J$134)+SUMIF('CF.2'!$K$123:$K$134,'CF.1'!E170,'CF.2'!$M$123:$M$134)</f>
        <v>0</v>
      </c>
      <c r="S170" s="1536">
        <f t="shared" si="22"/>
        <v>0</v>
      </c>
      <c r="U170" s="1537">
        <f t="shared" si="23"/>
        <v>0</v>
      </c>
    </row>
    <row r="171" spans="3:21" s="1086" customFormat="1" ht="18" customHeight="1">
      <c r="C171" s="1086">
        <v>1</v>
      </c>
      <c r="D171" s="1533" t="s">
        <v>990</v>
      </c>
      <c r="E171" s="1271" t="s">
        <v>990</v>
      </c>
      <c r="F171" s="1534"/>
      <c r="G171" s="1271" t="s">
        <v>991</v>
      </c>
      <c r="H171" s="1824">
        <v>0</v>
      </c>
      <c r="I171" s="1827">
        <v>0</v>
      </c>
      <c r="J171" s="1827">
        <v>0</v>
      </c>
      <c r="K171" s="1827">
        <v>0</v>
      </c>
      <c r="L171" s="1536">
        <f t="shared" si="21"/>
        <v>0</v>
      </c>
      <c r="N171" s="1550">
        <f>SUMIF('CF.2'!$H$5:$H$25,'CF.1'!E171,'CF.2'!$J$5:$J$25)-SUMIF('CF.2'!$K$5:$K$25,'CF.1'!E171,'CF.2'!$M$5:$M$25)</f>
        <v>0</v>
      </c>
      <c r="O171" s="1535">
        <f>SUMIF('CF.2'!$H$31:$H$60,'CF.1'!E171,'CF.2'!$J$31:$J$60)+SUMIF('CF.2'!$K$31:$K$60,'CF.1'!E171,'CF.2'!$M$31:$M$60)</f>
        <v>0</v>
      </c>
      <c r="P171" s="1535">
        <f>SUMIF('CF.2'!$H$65:$H$108,'CF.1'!E171,'CF.2'!$J$65:$J$108)+SUMIF('CF.2'!$K$65:$K$108,'CF.1'!E171,'CF.2'!$M$65:$M$108)</f>
        <v>0</v>
      </c>
      <c r="Q171" s="1535">
        <f>SUMIF('CF.2'!$H$112:$H$118,'CF.1'!E171,'CF.2'!$J$112:$J$118)+SUMIF('CF.2'!$K$112:$K$118,'CF.1'!E171,'CF.2'!$M$112:$M$118)</f>
        <v>0</v>
      </c>
      <c r="R171" s="1535">
        <f>SUMIF('CF.2'!$H$123:$H$134,'CF.1'!E171,'CF.2'!$J$123:$J$134)+SUMIF('CF.2'!$K$123:$K$134,'CF.1'!E171,'CF.2'!$M$123:$M$134)</f>
        <v>0</v>
      </c>
      <c r="S171" s="1536">
        <f t="shared" si="22"/>
        <v>0</v>
      </c>
      <c r="U171" s="1537">
        <f t="shared" si="23"/>
        <v>0</v>
      </c>
    </row>
    <row r="172" spans="3:21" s="1086" customFormat="1" ht="18" customHeight="1">
      <c r="C172" s="1086">
        <v>1</v>
      </c>
      <c r="D172" s="1533" t="s">
        <v>992</v>
      </c>
      <c r="E172" s="1271" t="s">
        <v>992</v>
      </c>
      <c r="F172" s="1534"/>
      <c r="G172" s="1271" t="s">
        <v>993</v>
      </c>
      <c r="H172" s="1824">
        <v>0</v>
      </c>
      <c r="I172" s="1827">
        <v>0</v>
      </c>
      <c r="J172" s="1827">
        <v>0</v>
      </c>
      <c r="K172" s="1827">
        <v>0</v>
      </c>
      <c r="L172" s="1536">
        <f t="shared" si="21"/>
        <v>0</v>
      </c>
      <c r="N172" s="1550">
        <f>SUMIF('CF.2'!$H$5:$H$25,'CF.1'!E172,'CF.2'!$J$5:$J$25)-SUMIF('CF.2'!$K$5:$K$25,'CF.1'!E172,'CF.2'!$M$5:$M$25)</f>
        <v>0</v>
      </c>
      <c r="O172" s="1535">
        <f>SUMIF('CF.2'!$H$31:$H$60,'CF.1'!E172,'CF.2'!$J$31:$J$60)+SUMIF('CF.2'!$K$31:$K$60,'CF.1'!E172,'CF.2'!$M$31:$M$60)</f>
        <v>0</v>
      </c>
      <c r="P172" s="1535">
        <f>SUMIF('CF.2'!$H$65:$H$108,'CF.1'!E172,'CF.2'!$J$65:$J$108)+SUMIF('CF.2'!$K$65:$K$108,'CF.1'!E172,'CF.2'!$M$65:$M$108)</f>
        <v>0</v>
      </c>
      <c r="Q172" s="1535">
        <f>SUMIF('CF.2'!$H$112:$H$118,'CF.1'!E172,'CF.2'!$J$112:$J$118)+SUMIF('CF.2'!$K$112:$K$118,'CF.1'!E172,'CF.2'!$M$112:$M$118)</f>
        <v>0</v>
      </c>
      <c r="R172" s="1535">
        <f>SUMIF('CF.2'!$H$123:$H$134,'CF.1'!E172,'CF.2'!$J$123:$J$134)+SUMIF('CF.2'!$K$123:$K$134,'CF.1'!E172,'CF.2'!$M$123:$M$134)</f>
        <v>0</v>
      </c>
      <c r="S172" s="1536">
        <f t="shared" si="22"/>
        <v>0</v>
      </c>
      <c r="U172" s="1537">
        <f t="shared" si="23"/>
        <v>0</v>
      </c>
    </row>
    <row r="173" spans="3:21" s="1086" customFormat="1" ht="18" customHeight="1">
      <c r="C173" s="1086">
        <v>1</v>
      </c>
      <c r="D173" s="1533" t="s">
        <v>994</v>
      </c>
      <c r="E173" s="1271" t="s">
        <v>994</v>
      </c>
      <c r="F173" s="1534" t="s">
        <v>1424</v>
      </c>
      <c r="G173" s="1271" t="s">
        <v>995</v>
      </c>
      <c r="H173" s="1824">
        <v>19882908</v>
      </c>
      <c r="I173" s="1824">
        <v>0</v>
      </c>
      <c r="J173" s="1827">
        <v>0</v>
      </c>
      <c r="K173" s="1827">
        <v>0</v>
      </c>
      <c r="L173" s="1536">
        <f t="shared" si="21"/>
        <v>19882908</v>
      </c>
      <c r="N173" s="1550">
        <f>SUMIF('CF.2'!$H$5:$H$25,'CF.1'!E173,'CF.2'!$J$5:$J$25)-SUMIF('CF.2'!$K$5:$K$25,'CF.1'!E173,'CF.2'!$M$5:$M$25)</f>
        <v>0</v>
      </c>
      <c r="O173" s="1535">
        <f>SUMIF('CF.2'!$H$31:$H$60,'CF.1'!E173,'CF.2'!$J$31:$J$60)+SUMIF('CF.2'!$K$31:$K$60,'CF.1'!E173,'CF.2'!$M$31:$M$60)</f>
        <v>0</v>
      </c>
      <c r="P173" s="1535">
        <f>SUMIF('CF.2'!$H$65:$H$108,'CF.1'!E173,'CF.2'!$J$65:$J$108)+SUMIF('CF.2'!$K$65:$K$108,'CF.1'!E173,'CF.2'!$M$65:$M$108)</f>
        <v>0</v>
      </c>
      <c r="Q173" s="1535">
        <f>SUMIF('CF.2'!$H$112:$H$118,'CF.1'!E173,'CF.2'!$J$112:$J$118)+SUMIF('CF.2'!$K$112:$K$118,'CF.1'!E173,'CF.2'!$M$112:$M$118)</f>
        <v>0</v>
      </c>
      <c r="R173" s="1535">
        <f>SUMIF('CF.2'!$H$123:$H$134,'CF.1'!E173,'CF.2'!$J$123:$J$134)+SUMIF('CF.2'!$K$123:$K$134,'CF.1'!E173,'CF.2'!$M$123:$M$134)</f>
        <v>0</v>
      </c>
      <c r="S173" s="1536">
        <f t="shared" si="22"/>
        <v>0</v>
      </c>
      <c r="U173" s="1537">
        <f t="shared" si="23"/>
        <v>19882908</v>
      </c>
    </row>
    <row r="174" spans="3:21" ht="18" customHeight="1">
      <c r="C174" s="1359">
        <v>1</v>
      </c>
      <c r="D174" s="1541" t="s">
        <v>996</v>
      </c>
      <c r="E174" s="1501" t="s">
        <v>996</v>
      </c>
      <c r="F174" s="1528"/>
      <c r="G174" s="1501" t="s">
        <v>997</v>
      </c>
      <c r="H174" s="1825">
        <v>0</v>
      </c>
      <c r="I174" s="1826">
        <v>0</v>
      </c>
      <c r="J174" s="1826">
        <v>0</v>
      </c>
      <c r="K174" s="1826">
        <v>0</v>
      </c>
      <c r="L174" s="1530">
        <f t="shared" si="21"/>
        <v>0</v>
      </c>
      <c r="N174" s="1531">
        <f>SUMIF('CF.2'!$H$5:$H$25,'CF.1'!E174,'CF.2'!$J$5:$J$25)-SUMIF('CF.2'!$K$5:$K$25,'CF.1'!E174,'CF.2'!$M$5:$M$25)</f>
        <v>0</v>
      </c>
      <c r="O174" s="1529">
        <f>SUMIF('CF.2'!$H$31:$H$60,'CF.1'!E174,'CF.2'!$J$31:$J$60)+SUMIF('CF.2'!$K$31:$K$60,'CF.1'!E174,'CF.2'!$M$31:$M$60)</f>
        <v>0</v>
      </c>
      <c r="P174" s="1529">
        <f>SUMIF('CF.2'!$H$65:$H$108,'CF.1'!E174,'CF.2'!$J$65:$J$108)+SUMIF('CF.2'!$K$65:$K$108,'CF.1'!E174,'CF.2'!$M$65:$M$108)</f>
        <v>0</v>
      </c>
      <c r="Q174" s="1529">
        <f>SUMIF('CF.2'!$H$112:$H$118,'CF.1'!E174,'CF.2'!$J$112:$J$118)+SUMIF('CF.2'!$K$112:$K$118,'CF.1'!E174,'CF.2'!$M$112:$M$118)</f>
        <v>0</v>
      </c>
      <c r="R174" s="1529">
        <f>SUMIF('CF.2'!$H$123:$H$134,'CF.1'!E174,'CF.2'!$J$123:$J$134)+SUMIF('CF.2'!$K$123:$K$134,'CF.1'!E174,'CF.2'!$M$123:$M$134)</f>
        <v>0</v>
      </c>
      <c r="S174" s="1530">
        <f t="shared" si="22"/>
        <v>0</v>
      </c>
      <c r="U174" s="1532">
        <f t="shared" si="23"/>
        <v>0</v>
      </c>
    </row>
    <row r="175" spans="3:21" ht="18" customHeight="1">
      <c r="C175" s="1359">
        <v>1</v>
      </c>
      <c r="D175" s="1541" t="s">
        <v>992</v>
      </c>
      <c r="E175" s="1501" t="s">
        <v>998</v>
      </c>
      <c r="F175" s="1528" t="s">
        <v>1428</v>
      </c>
      <c r="G175" s="1501" t="s">
        <v>999</v>
      </c>
      <c r="H175" s="1825">
        <v>-36452205</v>
      </c>
      <c r="I175" s="1826">
        <v>0</v>
      </c>
      <c r="J175" s="1826">
        <v>0</v>
      </c>
      <c r="K175" s="1826">
        <v>0</v>
      </c>
      <c r="L175" s="1530">
        <f t="shared" si="21"/>
        <v>-36452205</v>
      </c>
      <c r="N175" s="1531">
        <f>SUMIF('CF.2'!$H$5:$H$25,'CF.1'!E175,'CF.2'!$J$5:$J$25)-SUMIF('CF.2'!$K$5:$K$25,'CF.1'!E175,'CF.2'!$M$5:$M$25)</f>
        <v>0</v>
      </c>
      <c r="O175" s="1529">
        <f>SUMIF('CF.2'!$H$31:$H$60,'CF.1'!E175,'CF.2'!$J$31:$J$60)+SUMIF('CF.2'!$K$31:$K$60,'CF.1'!E175,'CF.2'!$M$31:$M$60)</f>
        <v>0</v>
      </c>
      <c r="P175" s="1529">
        <f>SUMIF('CF.2'!$H$65:$H$108,'CF.1'!E175,'CF.2'!$J$65:$J$108)+SUMIF('CF.2'!$K$65:$K$108,'CF.1'!E175,'CF.2'!$M$65:$M$108)</f>
        <v>0</v>
      </c>
      <c r="Q175" s="1529">
        <f>SUMIF('CF.2'!$H$112:$H$118,'CF.1'!E175,'CF.2'!$J$112:$J$118)+SUMIF('CF.2'!$K$112:$K$118,'CF.1'!E175,'CF.2'!$M$112:$M$118)</f>
        <v>0</v>
      </c>
      <c r="R175" s="1529">
        <f>SUMIF('CF.2'!$H$123:$H$134,'CF.1'!E175,'CF.2'!$J$123:$J$134)+SUMIF('CF.2'!$K$123:$K$134,'CF.1'!E175,'CF.2'!$M$123:$M$134)</f>
        <v>0</v>
      </c>
      <c r="S175" s="1530">
        <f t="shared" si="22"/>
        <v>0</v>
      </c>
      <c r="U175" s="1532">
        <f t="shared" si="23"/>
        <v>-36452205</v>
      </c>
    </row>
    <row r="176" spans="3:21" ht="18" customHeight="1">
      <c r="C176" s="1359">
        <v>1</v>
      </c>
      <c r="D176" s="1527" t="s">
        <v>1000</v>
      </c>
      <c r="E176" s="1501" t="s">
        <v>1000</v>
      </c>
      <c r="F176" s="1528"/>
      <c r="G176" s="1501" t="s">
        <v>1001</v>
      </c>
      <c r="H176" s="1825">
        <v>0</v>
      </c>
      <c r="I176" s="1826">
        <v>0</v>
      </c>
      <c r="J176" s="1826">
        <v>0</v>
      </c>
      <c r="K176" s="1826">
        <v>0</v>
      </c>
      <c r="L176" s="1530">
        <f t="shared" si="21"/>
        <v>0</v>
      </c>
      <c r="N176" s="1531">
        <f>SUMIF('CF.2'!$H$5:$H$25,'CF.1'!E176,'CF.2'!$J$5:$J$25)-SUMIF('CF.2'!$K$5:$K$25,'CF.1'!E176,'CF.2'!$M$5:$M$25)</f>
        <v>0</v>
      </c>
      <c r="O176" s="1529">
        <f>SUMIF('CF.2'!$H$31:$H$60,'CF.1'!E176,'CF.2'!$J$31:$J$60)+SUMIF('CF.2'!$K$31:$K$60,'CF.1'!E176,'CF.2'!$M$31:$M$60)</f>
        <v>0</v>
      </c>
      <c r="P176" s="1529">
        <f>SUMIF('CF.2'!$H$65:$H$108,'CF.1'!E176,'CF.2'!$J$65:$J$108)+SUMIF('CF.2'!$K$65:$K$108,'CF.1'!E176,'CF.2'!$M$65:$M$108)</f>
        <v>0</v>
      </c>
      <c r="Q176" s="1529">
        <f>SUMIF('CF.2'!$H$112:$H$118,'CF.1'!E176,'CF.2'!$J$112:$J$118)+SUMIF('CF.2'!$K$112:$K$118,'CF.1'!E176,'CF.2'!$M$112:$M$118)</f>
        <v>0</v>
      </c>
      <c r="R176" s="1529">
        <f>SUMIF('CF.2'!$H$123:$H$134,'CF.1'!E176,'CF.2'!$J$123:$J$134)+SUMIF('CF.2'!$K$123:$K$134,'CF.1'!E176,'CF.2'!$M$123:$M$134)</f>
        <v>0</v>
      </c>
      <c r="S176" s="1530">
        <f t="shared" si="22"/>
        <v>0</v>
      </c>
      <c r="U176" s="1532">
        <f t="shared" si="23"/>
        <v>0</v>
      </c>
    </row>
    <row r="177" spans="3:22" ht="18" customHeight="1">
      <c r="C177" s="1359">
        <v>1</v>
      </c>
      <c r="D177" s="1520" t="s">
        <v>1002</v>
      </c>
      <c r="E177" s="1521" t="s">
        <v>1002</v>
      </c>
      <c r="F177" s="1522"/>
      <c r="G177" s="1521" t="s">
        <v>1003</v>
      </c>
      <c r="H177" s="1823">
        <f>SUM(H178:H182)</f>
        <v>1057564235</v>
      </c>
      <c r="I177" s="1823">
        <f>SUM(I178:I182)</f>
        <v>-98779046</v>
      </c>
      <c r="J177" s="1823">
        <f>SUM(J178:J182)</f>
        <v>-372693</v>
      </c>
      <c r="K177" s="1823">
        <f>SUM(K178:K182)</f>
        <v>-23837271</v>
      </c>
      <c r="L177" s="1524">
        <f>SUM(L178:L182)</f>
        <v>934575225</v>
      </c>
      <c r="N177" s="1525">
        <f t="shared" ref="N177:S177" si="24">SUM(N178:N182)</f>
        <v>0</v>
      </c>
      <c r="O177" s="1523">
        <f t="shared" si="24"/>
        <v>0</v>
      </c>
      <c r="P177" s="1523">
        <f t="shared" si="24"/>
        <v>0</v>
      </c>
      <c r="Q177" s="1523">
        <f t="shared" si="24"/>
        <v>0</v>
      </c>
      <c r="R177" s="1523">
        <f t="shared" si="24"/>
        <v>0</v>
      </c>
      <c r="S177" s="1524">
        <f t="shared" si="24"/>
        <v>0</v>
      </c>
      <c r="U177" s="1526">
        <f>SUM(U178:U182)</f>
        <v>934575225</v>
      </c>
    </row>
    <row r="178" spans="3:22" ht="18" customHeight="1">
      <c r="C178" s="1359">
        <v>1</v>
      </c>
      <c r="D178" s="1527" t="s">
        <v>1004</v>
      </c>
      <c r="E178" s="1501" t="s">
        <v>1004</v>
      </c>
      <c r="F178" s="1528"/>
      <c r="G178" s="1501" t="s">
        <v>1005</v>
      </c>
      <c r="H178" s="1825">
        <v>0</v>
      </c>
      <c r="I178" s="1826">
        <v>0</v>
      </c>
      <c r="J178" s="1826">
        <v>0</v>
      </c>
      <c r="K178" s="1826">
        <v>0</v>
      </c>
      <c r="L178" s="1530">
        <f>SUM(H178:K178)</f>
        <v>0</v>
      </c>
      <c r="N178" s="1531">
        <f>SUMIF('CF.2'!$H$5:$H$25,'CF.1'!E178,'CF.2'!$J$5:$J$25)-SUMIF('CF.2'!$K$5:$K$25,'CF.1'!E178,'CF.2'!$M$5:$M$25)</f>
        <v>0</v>
      </c>
      <c r="O178" s="1529">
        <f>SUMIF('CF.2'!$H$31:$H$60,'CF.1'!E178,'CF.2'!$J$31:$J$60)+SUMIF('CF.2'!$K$31:$K$60,'CF.1'!E178,'CF.2'!$M$31:$M$60)</f>
        <v>0</v>
      </c>
      <c r="P178" s="1529">
        <f>SUMIF('CF.2'!$H$65:$H$108,'CF.1'!E178,'CF.2'!$J$65:$J$108)+SUMIF('CF.2'!$K$65:$K$108,'CF.1'!E178,'CF.2'!$M$65:$M$108)</f>
        <v>0</v>
      </c>
      <c r="Q178" s="1529">
        <f>SUMIF('CF.2'!$H$112:$H$118,'CF.1'!E178,'CF.2'!$J$112:$J$118)+SUMIF('CF.2'!$K$112:$K$118,'CF.1'!E178,'CF.2'!$M$112:$M$118)</f>
        <v>0</v>
      </c>
      <c r="R178" s="1529">
        <f>SUMIF('CF.2'!$H$123:$H$134,'CF.1'!E178,'CF.2'!$J$123:$J$134)+SUMIF('CF.2'!$K$123:$K$134,'CF.1'!E178,'CF.2'!$M$123:$M$134)</f>
        <v>0</v>
      </c>
      <c r="S178" s="1530">
        <f>SUM(N178:R178)</f>
        <v>0</v>
      </c>
      <c r="U178" s="1532">
        <f>ROUND(S178+L178,0)</f>
        <v>0</v>
      </c>
    </row>
    <row r="179" spans="3:22" ht="18" customHeight="1">
      <c r="C179" s="1359">
        <v>1</v>
      </c>
      <c r="D179" s="1527" t="s">
        <v>1006</v>
      </c>
      <c r="E179" s="1501" t="s">
        <v>1006</v>
      </c>
      <c r="F179" s="1528" t="s">
        <v>1007</v>
      </c>
      <c r="G179" s="1501" t="s">
        <v>1007</v>
      </c>
      <c r="H179" s="1825">
        <v>1575491687</v>
      </c>
      <c r="I179" s="1825">
        <v>589160</v>
      </c>
      <c r="J179" s="1826"/>
      <c r="K179" s="1826">
        <v>396517</v>
      </c>
      <c r="L179" s="1530">
        <f>SUM(H179:K179)</f>
        <v>1576477364</v>
      </c>
      <c r="N179" s="1531">
        <f>SUMIF('CF.2'!$H$5:$H$25,'CF.1'!E179,'CF.2'!$J$5:$J$25)-SUMIF('CF.2'!$K$5:$K$25,'CF.1'!E179,'CF.2'!$M$5:$M$25)</f>
        <v>0</v>
      </c>
      <c r="O179" s="1529">
        <f>SUMIF('CF.2'!$H$31:$H$60,'CF.1'!E179,'CF.2'!$J$31:$J$60)+SUMIF('CF.2'!$K$31:$K$60,'CF.1'!E179,'CF.2'!$M$31:$M$60)</f>
        <v>0</v>
      </c>
      <c r="P179" s="1529">
        <f>SUMIF('CF.2'!$H$65:$H$108,'CF.1'!E179,'CF.2'!$J$65:$J$108)+SUMIF('CF.2'!$K$65:$K$108,'CF.1'!E179,'CF.2'!$M$65:$M$108)</f>
        <v>-90698630.1369863</v>
      </c>
      <c r="Q179" s="1529">
        <f>SUMIF('CF.2'!$H$112:$H$118,'CF.1'!E179,'CF.2'!$J$112:$J$118)+SUMIF('CF.2'!$K$112:$K$118,'CF.1'!E179,'CF.2'!$M$112:$M$118)</f>
        <v>0</v>
      </c>
      <c r="R179" s="1529">
        <f>SUMIF('CF.2'!$H$123:$H$134,'CF.1'!E179,'CF.2'!$J$123:$J$134)+SUMIF('CF.2'!$K$123:$K$134,'CF.1'!E179,'CF.2'!$M$123:$M$134)</f>
        <v>0</v>
      </c>
      <c r="S179" s="1530">
        <f>SUM(N179:R179)</f>
        <v>-90698630.1369863</v>
      </c>
      <c r="U179" s="1532">
        <f>ROUND(S179+L179,0)</f>
        <v>1485778734</v>
      </c>
    </row>
    <row r="180" spans="3:22" ht="18" customHeight="1">
      <c r="C180" s="1359">
        <v>1</v>
      </c>
      <c r="D180" s="1527" t="s">
        <v>1008</v>
      </c>
      <c r="E180" s="1501" t="s">
        <v>1008</v>
      </c>
      <c r="F180" s="1528" t="s">
        <v>1009</v>
      </c>
      <c r="G180" s="1501" t="s">
        <v>1009</v>
      </c>
      <c r="H180" s="1825">
        <v>-140061652</v>
      </c>
      <c r="I180" s="1825">
        <v>-99393496</v>
      </c>
      <c r="J180" s="1826">
        <v>-372693</v>
      </c>
      <c r="K180" s="1826">
        <v>-20086766</v>
      </c>
      <c r="L180" s="1530">
        <f>SUM(H180:K180)</f>
        <v>-259914607</v>
      </c>
      <c r="N180" s="1531">
        <f>SUMIF('CF.2'!$H$5:$H$25,'CF.1'!E180,'CF.2'!$J$5:$J$25)-SUMIF('CF.2'!$K$5:$K$25,'CF.1'!E180,'CF.2'!$M$5:$M$25)</f>
        <v>0</v>
      </c>
      <c r="O180" s="1529">
        <f>SUMIF('CF.2'!$H$31:$H$60,'CF.1'!E180,'CF.2'!$J$31:$J$60)+SUMIF('CF.2'!$K$31:$K$60,'CF.1'!E180,'CF.2'!$M$31:$M$60)</f>
        <v>0</v>
      </c>
      <c r="P180" s="1529">
        <f>SUMIF('CF.2'!$H$65:$H$108,'CF.1'!E180,'CF.2'!$J$65:$J$108)+SUMIF('CF.2'!$K$65:$K$108,'CF.1'!E180,'CF.2'!$M$65:$M$108)</f>
        <v>90698630.1369863</v>
      </c>
      <c r="Q180" s="1529">
        <f>SUMIF('CF.2'!$H$112:$H$118,'CF.1'!E180,'CF.2'!$J$112:$J$118)+SUMIF('CF.2'!$K$112:$K$118,'CF.1'!E180,'CF.2'!$M$112:$M$118)</f>
        <v>0</v>
      </c>
      <c r="R180" s="1529">
        <f>SUMIF('CF.2'!$H$123:$H$134,'CF.1'!E180,'CF.2'!$J$123:$J$134)+SUMIF('CF.2'!$K$123:$K$134,'CF.1'!E180,'CF.2'!$M$123:$M$134)</f>
        <v>0</v>
      </c>
      <c r="S180" s="1530">
        <f>SUM(N180:R180)</f>
        <v>90698630.1369863</v>
      </c>
      <c r="U180" s="1537">
        <f>ROUND(S180+L180,0)</f>
        <v>-169215977</v>
      </c>
      <c r="V180" s="1359" t="e">
        <f>U180=-T_IS!X90+T_IS!K90+#REF!</f>
        <v>#REF!</v>
      </c>
    </row>
    <row r="181" spans="3:22" ht="18" customHeight="1">
      <c r="C181" s="1359">
        <v>1</v>
      </c>
      <c r="D181" s="1527" t="s">
        <v>1010</v>
      </c>
      <c r="E181" s="1501" t="s">
        <v>1010</v>
      </c>
      <c r="F181" s="1528" t="s">
        <v>1011</v>
      </c>
      <c r="G181" s="1501" t="s">
        <v>1011</v>
      </c>
      <c r="H181" s="1825">
        <v>0</v>
      </c>
      <c r="I181" s="1825">
        <v>25290</v>
      </c>
      <c r="J181" s="1826">
        <v>0</v>
      </c>
      <c r="K181" s="1826">
        <v>0</v>
      </c>
      <c r="L181" s="1530">
        <f>SUM(H181:K181)</f>
        <v>25290</v>
      </c>
      <c r="N181" s="1531">
        <f>SUMIF('CF.2'!$H$5:$H$25,'CF.1'!E181,'CF.2'!$J$5:$J$25)-SUMIF('CF.2'!$K$5:$K$25,'CF.1'!E181,'CF.2'!$M$5:$M$25)</f>
        <v>0</v>
      </c>
      <c r="O181" s="1529">
        <f>SUMIF('CF.2'!$H$31:$H$60,'CF.1'!E181,'CF.2'!$J$31:$J$60)+SUMIF('CF.2'!$K$31:$K$60,'CF.1'!E181,'CF.2'!$M$31:$M$60)</f>
        <v>0</v>
      </c>
      <c r="P181" s="1529">
        <f>SUMIF('CF.2'!$H$65:$H$108,'CF.1'!E181,'CF.2'!$J$65:$J$108)+SUMIF('CF.2'!$K$65:$K$108,'CF.1'!E181,'CF.2'!$M$65:$M$108)</f>
        <v>0</v>
      </c>
      <c r="Q181" s="1529">
        <f>SUMIF('CF.2'!$H$112:$H$118,'CF.1'!E181,'CF.2'!$J$112:$J$118)+SUMIF('CF.2'!$K$112:$K$118,'CF.1'!E181,'CF.2'!$M$112:$M$118)</f>
        <v>0</v>
      </c>
      <c r="R181" s="1529">
        <f>SUMIF('CF.2'!$H$123:$H$134,'CF.1'!E181,'CF.2'!$J$123:$J$134)+SUMIF('CF.2'!$K$123:$K$134,'CF.1'!E181,'CF.2'!$M$123:$M$134)</f>
        <v>0</v>
      </c>
      <c r="S181" s="1530">
        <f>SUM(N181:R181)</f>
        <v>0</v>
      </c>
      <c r="U181" s="1532">
        <f>IF(ROUND(SUM(S181:S182,L181:L182),)&lt;0,ROUND(SUM(S181:S182,L181:L182),),0)</f>
        <v>-381987532</v>
      </c>
    </row>
    <row r="182" spans="3:22" ht="18" customHeight="1">
      <c r="C182" s="1359">
        <v>1</v>
      </c>
      <c r="D182" s="1527" t="s">
        <v>1012</v>
      </c>
      <c r="E182" s="1501" t="s">
        <v>1012</v>
      </c>
      <c r="F182" s="1528" t="s">
        <v>1011</v>
      </c>
      <c r="G182" s="1501" t="s">
        <v>1013</v>
      </c>
      <c r="H182" s="1825">
        <v>-377865800</v>
      </c>
      <c r="I182" s="1826">
        <v>0</v>
      </c>
      <c r="J182" s="1826">
        <v>0</v>
      </c>
      <c r="K182" s="1826">
        <v>-4147022</v>
      </c>
      <c r="L182" s="1530">
        <f>SUM(H182:K182)</f>
        <v>-382012822</v>
      </c>
      <c r="N182" s="1531">
        <f>SUMIF('CF.2'!$H$5:$H$25,'CF.1'!E182,'CF.2'!$J$5:$J$25)-SUMIF('CF.2'!$K$5:$K$25,'CF.1'!E182,'CF.2'!$M$5:$M$25)</f>
        <v>0</v>
      </c>
      <c r="O182" s="1529">
        <f>SUMIF('CF.2'!$H$31:$H$60,'CF.1'!E182,'CF.2'!$J$31:$J$60)+SUMIF('CF.2'!$K$31:$K$60,'CF.1'!E182,'CF.2'!$M$31:$M$60)</f>
        <v>0</v>
      </c>
      <c r="P182" s="1529">
        <f>SUMIF('CF.2'!$H$65:$H$108,'CF.1'!E182,'CF.2'!$J$65:$J$108)+SUMIF('CF.2'!$K$65:$K$108,'CF.1'!E182,'CF.2'!$M$65:$M$108)</f>
        <v>0</v>
      </c>
      <c r="Q182" s="1529">
        <f>SUMIF('CF.2'!$H$112:$H$118,'CF.1'!E182,'CF.2'!$J$112:$J$118)+SUMIF('CF.2'!$K$112:$K$118,'CF.1'!E182,'CF.2'!$M$112:$M$118)</f>
        <v>0</v>
      </c>
      <c r="R182" s="1529">
        <f>SUMIF('CF.2'!$H$123:$H$134,'CF.1'!E182,'CF.2'!$J$123:$J$134)+SUMIF('CF.2'!$K$123:$K$134,'CF.1'!E182,'CF.2'!$M$123:$M$134)</f>
        <v>0</v>
      </c>
      <c r="S182" s="1530">
        <f>SUM(N182:R182)</f>
        <v>0</v>
      </c>
      <c r="U182" s="1532">
        <f>IF(ROUND(SUM(S181:S182,L181:L182),)&gt;0,ROUND(SUM(S181:S182,L181:L182),),0)</f>
        <v>0</v>
      </c>
    </row>
    <row r="183" spans="3:22" ht="18" customHeight="1">
      <c r="C183" s="1359">
        <v>1</v>
      </c>
      <c r="D183" s="1520" t="s">
        <v>1014</v>
      </c>
      <c r="E183" s="1521" t="s">
        <v>1014</v>
      </c>
      <c r="F183" s="1522"/>
      <c r="G183" s="1521" t="s">
        <v>1015</v>
      </c>
      <c r="H183" s="1823">
        <f>H184+H242</f>
        <v>-3089831484</v>
      </c>
      <c r="I183" s="1823">
        <f>I184+I242</f>
        <v>-13228181</v>
      </c>
      <c r="J183" s="1823">
        <f>J184+J242</f>
        <v>0</v>
      </c>
      <c r="K183" s="1823">
        <f>K184+K242</f>
        <v>283852636</v>
      </c>
      <c r="L183" s="1524">
        <f>L184+L242</f>
        <v>-2819207029</v>
      </c>
      <c r="N183" s="1525">
        <f t="shared" ref="N183:S183" si="25">N184+N242</f>
        <v>0</v>
      </c>
      <c r="O183" s="1523">
        <f t="shared" si="25"/>
        <v>0</v>
      </c>
      <c r="P183" s="1523">
        <f t="shared" si="25"/>
        <v>499950000</v>
      </c>
      <c r="Q183" s="1523">
        <f t="shared" si="25"/>
        <v>0</v>
      </c>
      <c r="R183" s="1523">
        <f t="shared" si="25"/>
        <v>-216671</v>
      </c>
      <c r="S183" s="1524">
        <f t="shared" si="25"/>
        <v>499733329</v>
      </c>
      <c r="U183" s="1526">
        <f>U184+U242</f>
        <v>-2319473700</v>
      </c>
      <c r="V183" s="1359" t="b">
        <f>U183=U184+U242</f>
        <v>1</v>
      </c>
    </row>
    <row r="184" spans="3:22" ht="18" customHeight="1">
      <c r="C184" s="1359">
        <v>1</v>
      </c>
      <c r="D184" s="1520" t="s">
        <v>1016</v>
      </c>
      <c r="E184" s="1521" t="s">
        <v>1016</v>
      </c>
      <c r="F184" s="1522"/>
      <c r="G184" s="1521" t="s">
        <v>1017</v>
      </c>
      <c r="H184" s="1823">
        <f>SUM(H185:H241)</f>
        <v>25708833034</v>
      </c>
      <c r="I184" s="1823">
        <f>SUM(I185:I241)</f>
        <v>0</v>
      </c>
      <c r="J184" s="1823">
        <f>SUM(J185:J241)</f>
        <v>0</v>
      </c>
      <c r="K184" s="1823">
        <f>SUM(K185:K241)</f>
        <v>297306000</v>
      </c>
      <c r="L184" s="1524">
        <f>SUM(L185:L241)</f>
        <v>26006139034</v>
      </c>
      <c r="N184" s="1525">
        <f t="shared" ref="N184:S184" si="26">SUM(N185:N241)</f>
        <v>0</v>
      </c>
      <c r="O184" s="1523">
        <f t="shared" si="26"/>
        <v>0</v>
      </c>
      <c r="P184" s="1523">
        <f t="shared" si="26"/>
        <v>-1500000000</v>
      </c>
      <c r="Q184" s="1523">
        <f t="shared" si="26"/>
        <v>0</v>
      </c>
      <c r="R184" s="1523">
        <f t="shared" si="26"/>
        <v>-216671</v>
      </c>
      <c r="S184" s="1524">
        <f t="shared" si="26"/>
        <v>-1500216671</v>
      </c>
      <c r="U184" s="1526">
        <f>SUM(U185:U241)</f>
        <v>24505922363</v>
      </c>
      <c r="V184" s="1359" t="b">
        <f>U184=SUM(U185:U241)</f>
        <v>1</v>
      </c>
    </row>
    <row r="185" spans="3:22" s="1086" customFormat="1" ht="18" customHeight="1">
      <c r="C185" s="1086">
        <v>1</v>
      </c>
      <c r="D185" s="1533" t="s">
        <v>1018</v>
      </c>
      <c r="E185" s="1271" t="s">
        <v>1018</v>
      </c>
      <c r="F185" s="1534" t="s">
        <v>1432</v>
      </c>
      <c r="G185" s="1271" t="s">
        <v>1019</v>
      </c>
      <c r="H185" s="1824">
        <v>1500000000</v>
      </c>
      <c r="I185" s="1827">
        <v>0</v>
      </c>
      <c r="J185" s="1827">
        <v>0</v>
      </c>
      <c r="K185" s="1827">
        <v>0</v>
      </c>
      <c r="L185" s="1536">
        <f t="shared" ref="L185:L216" si="27">SUM(H185:K185)</f>
        <v>1500000000</v>
      </c>
      <c r="N185" s="1550">
        <f>SUMIF('CF.2'!$H$5:$H$25,'CF.1'!E185,'CF.2'!$J$5:$J$25)-SUMIF('CF.2'!$K$5:$K$25,'CF.1'!E185,'CF.2'!$M$5:$M$25)</f>
        <v>0</v>
      </c>
      <c r="O185" s="1535">
        <f>SUMIF('CF.2'!$H$31:$H$60,'CF.1'!E185,'CF.2'!$J$31:$J$60)+SUMIF('CF.2'!$K$31:$K$60,'CF.1'!E185,'CF.2'!$M$31:$M$60)</f>
        <v>0</v>
      </c>
      <c r="P185" s="1535">
        <f>SUMIF('CF.2'!$H$65:$H$108,'CF.1'!E185,'CF.2'!$J$65:$J$108)+SUMIF('CF.2'!$K$65:$K$108,'CF.1'!E185,'CF.2'!$M$65:$M$108)</f>
        <v>-1500000000</v>
      </c>
      <c r="Q185" s="1535">
        <f>SUMIF('CF.2'!$H$112:$H$118,'CF.1'!E185,'CF.2'!$J$112:$J$118)+SUMIF('CF.2'!$K$112:$K$118,'CF.1'!E185,'CF.2'!$M$112:$M$118)</f>
        <v>0</v>
      </c>
      <c r="R185" s="1535">
        <f>SUMIF('CF.2'!$H$123:$H$134,'CF.1'!E185,'CF.2'!$J$123:$J$134)+SUMIF('CF.2'!$K$123:$K$134,'CF.1'!E185,'CF.2'!$M$123:$M$134)</f>
        <v>0</v>
      </c>
      <c r="S185" s="1536">
        <f t="shared" ref="S185:S216" si="28">SUM(N185:R185)</f>
        <v>-1500000000</v>
      </c>
      <c r="U185" s="1537">
        <f t="shared" ref="U185:U216" si="29">ROUND(S185+L185,0)</f>
        <v>0</v>
      </c>
    </row>
    <row r="186" spans="3:22" s="1086" customFormat="1" ht="18" customHeight="1">
      <c r="C186" s="1086">
        <v>1</v>
      </c>
      <c r="D186" s="1533" t="s">
        <v>1020</v>
      </c>
      <c r="E186" s="1271" t="s">
        <v>1020</v>
      </c>
      <c r="F186" s="1534" t="s">
        <v>1433</v>
      </c>
      <c r="G186" s="1271" t="s">
        <v>1021</v>
      </c>
      <c r="H186" s="1824">
        <v>0</v>
      </c>
      <c r="I186" s="1827">
        <v>0</v>
      </c>
      <c r="J186" s="1827">
        <v>0</v>
      </c>
      <c r="K186" s="1827">
        <v>297306000</v>
      </c>
      <c r="L186" s="1536">
        <f t="shared" si="27"/>
        <v>297306000</v>
      </c>
      <c r="N186" s="1550">
        <f>SUMIF('CF.2'!$H$5:$H$25,'CF.1'!E186,'CF.2'!$J$5:$J$25)-SUMIF('CF.2'!$K$5:$K$25,'CF.1'!E186,'CF.2'!$M$5:$M$25)</f>
        <v>0</v>
      </c>
      <c r="O186" s="1535">
        <f>SUMIF('CF.2'!$H$31:$H$60,'CF.1'!E186,'CF.2'!$J$31:$J$60)+SUMIF('CF.2'!$K$31:$K$60,'CF.1'!E186,'CF.2'!$M$31:$M$60)</f>
        <v>0</v>
      </c>
      <c r="P186" s="1535">
        <f>SUMIF('CF.2'!$H$65:$H$108,'CF.1'!E186,'CF.2'!$J$65:$J$108)+SUMIF('CF.2'!$K$65:$K$108,'CF.1'!E186,'CF.2'!$M$65:$M$108)</f>
        <v>0</v>
      </c>
      <c r="Q186" s="1535">
        <f>SUMIF('CF.2'!$H$112:$H$118,'CF.1'!E186,'CF.2'!$J$112:$J$118)+SUMIF('CF.2'!$K$112:$K$118,'CF.1'!E186,'CF.2'!$M$112:$M$118)</f>
        <v>0</v>
      </c>
      <c r="R186" s="1535">
        <f>SUMIF('CF.2'!$H$123:$H$134,'CF.1'!E186,'CF.2'!$J$123:$J$134)+SUMIF('CF.2'!$K$123:$K$134,'CF.1'!E186,'CF.2'!$M$123:$M$134)</f>
        <v>0</v>
      </c>
      <c r="S186" s="1536">
        <f t="shared" si="28"/>
        <v>0</v>
      </c>
      <c r="U186" s="1537">
        <f t="shared" si="29"/>
        <v>297306000</v>
      </c>
    </row>
    <row r="187" spans="3:22" s="1086" customFormat="1" ht="18" customHeight="1">
      <c r="C187" s="1086">
        <v>1</v>
      </c>
      <c r="D187" s="1533" t="s">
        <v>1022</v>
      </c>
      <c r="E187" s="1271" t="s">
        <v>1022</v>
      </c>
      <c r="F187" s="1534"/>
      <c r="G187" s="1271" t="s">
        <v>1023</v>
      </c>
      <c r="H187" s="1824">
        <v>0</v>
      </c>
      <c r="I187" s="1827">
        <v>0</v>
      </c>
      <c r="J187" s="1827">
        <v>0</v>
      </c>
      <c r="K187" s="1827">
        <v>0</v>
      </c>
      <c r="L187" s="1536">
        <f t="shared" si="27"/>
        <v>0</v>
      </c>
      <c r="N187" s="1550">
        <f>SUMIF('CF.2'!$H$5:$H$25,'CF.1'!E187,'CF.2'!$J$5:$J$25)-SUMIF('CF.2'!$K$5:$K$25,'CF.1'!E187,'CF.2'!$M$5:$M$25)</f>
        <v>0</v>
      </c>
      <c r="O187" s="1535">
        <f>SUMIF('CF.2'!$H$31:$H$60,'CF.1'!E187,'CF.2'!$J$31:$J$60)+SUMIF('CF.2'!$K$31:$K$60,'CF.1'!E187,'CF.2'!$M$31:$M$60)</f>
        <v>0</v>
      </c>
      <c r="P187" s="1535">
        <f>SUMIF('CF.2'!$H$65:$H$108,'CF.1'!E187,'CF.2'!$J$65:$J$108)+SUMIF('CF.2'!$K$65:$K$108,'CF.1'!E187,'CF.2'!$M$65:$M$108)</f>
        <v>0</v>
      </c>
      <c r="Q187" s="1535">
        <f>SUMIF('CF.2'!$H$112:$H$118,'CF.1'!E187,'CF.2'!$J$112:$J$118)+SUMIF('CF.2'!$K$112:$K$118,'CF.1'!E187,'CF.2'!$M$112:$M$118)</f>
        <v>0</v>
      </c>
      <c r="R187" s="1535">
        <f>SUMIF('CF.2'!$H$123:$H$134,'CF.1'!E187,'CF.2'!$J$123:$J$134)+SUMIF('CF.2'!$K$123:$K$134,'CF.1'!E187,'CF.2'!$M$123:$M$134)</f>
        <v>0</v>
      </c>
      <c r="S187" s="1536">
        <f t="shared" si="28"/>
        <v>0</v>
      </c>
      <c r="U187" s="1537">
        <f t="shared" si="29"/>
        <v>0</v>
      </c>
    </row>
    <row r="188" spans="3:22" s="1086" customFormat="1" ht="18" customHeight="1">
      <c r="C188" s="1086">
        <v>1</v>
      </c>
      <c r="D188" s="1533" t="s">
        <v>1026</v>
      </c>
      <c r="E188" s="1271" t="s">
        <v>1026</v>
      </c>
      <c r="F188" s="1534"/>
      <c r="G188" s="1271" t="s">
        <v>1027</v>
      </c>
      <c r="H188" s="1824">
        <v>0</v>
      </c>
      <c r="I188" s="1827">
        <v>0</v>
      </c>
      <c r="J188" s="1827">
        <v>0</v>
      </c>
      <c r="K188" s="1827">
        <v>0</v>
      </c>
      <c r="L188" s="1536">
        <f t="shared" si="27"/>
        <v>0</v>
      </c>
      <c r="N188" s="1550">
        <f>SUMIF('CF.2'!$H$5:$H$25,'CF.1'!E188,'CF.2'!$J$5:$J$25)-SUMIF('CF.2'!$K$5:$K$25,'CF.1'!E188,'CF.2'!$M$5:$M$25)</f>
        <v>0</v>
      </c>
      <c r="O188" s="1535">
        <f>SUMIF('CF.2'!$H$31:$H$60,'CF.1'!E188,'CF.2'!$J$31:$J$60)+SUMIF('CF.2'!$K$31:$K$60,'CF.1'!E188,'CF.2'!$M$31:$M$60)</f>
        <v>0</v>
      </c>
      <c r="P188" s="1535">
        <f>SUMIF('CF.2'!$H$65:$H$108,'CF.1'!E188,'CF.2'!$J$65:$J$108)+SUMIF('CF.2'!$K$65:$K$108,'CF.1'!E188,'CF.2'!$M$65:$M$108)</f>
        <v>0</v>
      </c>
      <c r="Q188" s="1535">
        <f>SUMIF('CF.2'!$H$112:$H$118,'CF.1'!E188,'CF.2'!$J$112:$J$118)+SUMIF('CF.2'!$K$112:$K$118,'CF.1'!E188,'CF.2'!$M$112:$M$118)</f>
        <v>0</v>
      </c>
      <c r="R188" s="1535">
        <f>SUMIF('CF.2'!$H$123:$H$134,'CF.1'!E188,'CF.2'!$J$123:$J$134)+SUMIF('CF.2'!$K$123:$K$134,'CF.1'!E188,'CF.2'!$M$123:$M$134)</f>
        <v>0</v>
      </c>
      <c r="S188" s="1536">
        <f t="shared" si="28"/>
        <v>0</v>
      </c>
      <c r="U188" s="1537">
        <f t="shared" si="29"/>
        <v>0</v>
      </c>
    </row>
    <row r="189" spans="3:22" ht="18" customHeight="1">
      <c r="C189" s="1359">
        <v>1</v>
      </c>
      <c r="D189" s="1527" t="s">
        <v>1028</v>
      </c>
      <c r="E189" s="1501" t="s">
        <v>1028</v>
      </c>
      <c r="F189" s="1528"/>
      <c r="G189" s="1501" t="s">
        <v>1029</v>
      </c>
      <c r="H189" s="1825">
        <v>0</v>
      </c>
      <c r="I189" s="1826">
        <v>0</v>
      </c>
      <c r="J189" s="1826">
        <v>0</v>
      </c>
      <c r="K189" s="1826">
        <v>0</v>
      </c>
      <c r="L189" s="1530">
        <f t="shared" si="27"/>
        <v>0</v>
      </c>
      <c r="N189" s="1531">
        <f>SUMIF('CF.2'!$H$5:$H$25,'CF.1'!E189,'CF.2'!$J$5:$J$25)-SUMIF('CF.2'!$K$5:$K$25,'CF.1'!E189,'CF.2'!$M$5:$M$25)</f>
        <v>0</v>
      </c>
      <c r="O189" s="1529">
        <f>SUMIF('CF.2'!$H$31:$H$60,'CF.1'!E189,'CF.2'!$J$31:$J$60)+SUMIF('CF.2'!$K$31:$K$60,'CF.1'!E189,'CF.2'!$M$31:$M$60)</f>
        <v>0</v>
      </c>
      <c r="P189" s="1529">
        <f>SUMIF('CF.2'!$H$65:$H$108,'CF.1'!E189,'CF.2'!$J$65:$J$108)+SUMIF('CF.2'!$K$65:$K$108,'CF.1'!E189,'CF.2'!$M$65:$M$108)</f>
        <v>0</v>
      </c>
      <c r="Q189" s="1529">
        <f>SUMIF('CF.2'!$H$112:$H$118,'CF.1'!E189,'CF.2'!$J$112:$J$118)+SUMIF('CF.2'!$K$112:$K$118,'CF.1'!E189,'CF.2'!$M$112:$M$118)</f>
        <v>0</v>
      </c>
      <c r="R189" s="1529">
        <f>SUMIF('CF.2'!$H$123:$H$134,'CF.1'!E189,'CF.2'!$J$123:$J$134)+SUMIF('CF.2'!$K$123:$K$134,'CF.1'!E189,'CF.2'!$M$123:$M$134)</f>
        <v>0</v>
      </c>
      <c r="S189" s="1530">
        <f t="shared" si="28"/>
        <v>0</v>
      </c>
      <c r="U189" s="1532">
        <f t="shared" si="29"/>
        <v>0</v>
      </c>
    </row>
    <row r="190" spans="3:22" ht="18" customHeight="1">
      <c r="C190" s="1359">
        <v>1</v>
      </c>
      <c r="D190" s="1527" t="s">
        <v>1030</v>
      </c>
      <c r="E190" s="1501" t="s">
        <v>1030</v>
      </c>
      <c r="F190" s="1528"/>
      <c r="G190" s="1501" t="s">
        <v>1031</v>
      </c>
      <c r="H190" s="1825">
        <v>0</v>
      </c>
      <c r="I190" s="1826">
        <v>0</v>
      </c>
      <c r="J190" s="1826">
        <v>0</v>
      </c>
      <c r="K190" s="1826">
        <v>0</v>
      </c>
      <c r="L190" s="1530">
        <f t="shared" si="27"/>
        <v>0</v>
      </c>
      <c r="N190" s="1531">
        <f>SUMIF('CF.2'!$H$5:$H$25,'CF.1'!E190,'CF.2'!$J$5:$J$25)-SUMIF('CF.2'!$K$5:$K$25,'CF.1'!E190,'CF.2'!$M$5:$M$25)</f>
        <v>0</v>
      </c>
      <c r="O190" s="1529">
        <f>SUMIF('CF.2'!$H$31:$H$60,'CF.1'!E190,'CF.2'!$J$31:$J$60)+SUMIF('CF.2'!$K$31:$K$60,'CF.1'!E190,'CF.2'!$M$31:$M$60)</f>
        <v>0</v>
      </c>
      <c r="P190" s="1529">
        <f>SUMIF('CF.2'!$H$65:$H$108,'CF.1'!E190,'CF.2'!$J$65:$J$108)+SUMIF('CF.2'!$K$65:$K$108,'CF.1'!E190,'CF.2'!$M$65:$M$108)</f>
        <v>0</v>
      </c>
      <c r="Q190" s="1529">
        <f>SUMIF('CF.2'!$H$112:$H$118,'CF.1'!E190,'CF.2'!$J$112:$J$118)+SUMIF('CF.2'!$K$112:$K$118,'CF.1'!E190,'CF.2'!$M$112:$M$118)</f>
        <v>0</v>
      </c>
      <c r="R190" s="1529">
        <f>SUMIF('CF.2'!$H$123:$H$134,'CF.1'!E190,'CF.2'!$J$123:$J$134)+SUMIF('CF.2'!$K$123:$K$134,'CF.1'!E190,'CF.2'!$M$123:$M$134)</f>
        <v>0</v>
      </c>
      <c r="S190" s="1530">
        <f t="shared" si="28"/>
        <v>0</v>
      </c>
      <c r="U190" s="1532">
        <f t="shared" si="29"/>
        <v>0</v>
      </c>
    </row>
    <row r="191" spans="3:22" ht="18" customHeight="1">
      <c r="C191" s="1359">
        <v>1</v>
      </c>
      <c r="D191" s="1527" t="s">
        <v>1032</v>
      </c>
      <c r="E191" s="1501" t="s">
        <v>1374</v>
      </c>
      <c r="F191" s="1528" t="s">
        <v>1373</v>
      </c>
      <c r="G191" s="1501" t="s">
        <v>1373</v>
      </c>
      <c r="H191" s="1825">
        <v>200000000</v>
      </c>
      <c r="I191" s="1826">
        <v>0</v>
      </c>
      <c r="J191" s="1826">
        <v>0</v>
      </c>
      <c r="K191" s="1826">
        <v>0</v>
      </c>
      <c r="L191" s="1530">
        <f t="shared" si="27"/>
        <v>200000000</v>
      </c>
      <c r="N191" s="1531">
        <f>SUMIF('CF.2'!$H$5:$H$25,'CF.1'!E191,'CF.2'!$J$5:$J$25)-SUMIF('CF.2'!$K$5:$K$25,'CF.1'!E191,'CF.2'!$M$5:$M$25)</f>
        <v>0</v>
      </c>
      <c r="O191" s="1529">
        <f>SUMIF('CF.2'!$H$31:$H$60,'CF.1'!E191,'CF.2'!$J$31:$J$60)+SUMIF('CF.2'!$K$31:$K$60,'CF.1'!E191,'CF.2'!$M$31:$M$60)</f>
        <v>0</v>
      </c>
      <c r="P191" s="1529">
        <f>SUMIF('CF.2'!$H$65:$H$108,'CF.1'!E191,'CF.2'!$J$65:$J$108)+SUMIF('CF.2'!$K$65:$K$108,'CF.1'!E191,'CF.2'!$M$65:$M$108)</f>
        <v>0</v>
      </c>
      <c r="Q191" s="1529">
        <f>SUMIF('CF.2'!$H$112:$H$118,'CF.1'!E191,'CF.2'!$J$112:$J$118)+SUMIF('CF.2'!$K$112:$K$118,'CF.1'!E191,'CF.2'!$M$112:$M$118)</f>
        <v>0</v>
      </c>
      <c r="R191" s="1529">
        <f>SUMIF('CF.2'!$H$123:$H$134,'CF.1'!E191,'CF.2'!$J$123:$J$134)+SUMIF('CF.2'!$K$123:$K$134,'CF.1'!E191,'CF.2'!$M$123:$M$134)</f>
        <v>0</v>
      </c>
      <c r="S191" s="1530">
        <f t="shared" si="28"/>
        <v>0</v>
      </c>
      <c r="U191" s="1532">
        <f t="shared" si="29"/>
        <v>200000000</v>
      </c>
    </row>
    <row r="192" spans="3:22" ht="18" customHeight="1">
      <c r="C192" s="1359">
        <v>1</v>
      </c>
      <c r="D192" s="1527" t="s">
        <v>1032</v>
      </c>
      <c r="E192" s="1501" t="s">
        <v>1375</v>
      </c>
      <c r="F192" s="1528" t="s">
        <v>1376</v>
      </c>
      <c r="G192" s="1501" t="s">
        <v>1376</v>
      </c>
      <c r="H192" s="1825">
        <v>0</v>
      </c>
      <c r="I192" s="1826">
        <v>0</v>
      </c>
      <c r="J192" s="1826">
        <v>0</v>
      </c>
      <c r="K192" s="1826">
        <v>0</v>
      </c>
      <c r="L192" s="1530">
        <f t="shared" si="27"/>
        <v>0</v>
      </c>
      <c r="N192" s="1531">
        <f>SUMIF('CF.2'!$H$5:$H$25,'CF.1'!E192,'CF.2'!$J$5:$J$25)-SUMIF('CF.2'!$K$5:$K$25,'CF.1'!E192,'CF.2'!$M$5:$M$25)</f>
        <v>0</v>
      </c>
      <c r="O192" s="1529">
        <f>SUMIF('CF.2'!$H$31:$H$60,'CF.1'!E192,'CF.2'!$J$31:$J$60)+SUMIF('CF.2'!$K$31:$K$60,'CF.1'!E192,'CF.2'!$M$31:$M$60)</f>
        <v>0</v>
      </c>
      <c r="P192" s="1529">
        <f>SUMIF('CF.2'!$H$65:$H$108,'CF.1'!E192,'CF.2'!$J$65:$J$108)+SUMIF('CF.2'!$K$65:$K$108,'CF.1'!E192,'CF.2'!$M$65:$M$108)</f>
        <v>0</v>
      </c>
      <c r="Q192" s="1529">
        <f>SUMIF('CF.2'!$H$112:$H$118,'CF.1'!E192,'CF.2'!$J$112:$J$118)+SUMIF('CF.2'!$K$112:$K$118,'CF.1'!E192,'CF.2'!$M$112:$M$118)</f>
        <v>0</v>
      </c>
      <c r="R192" s="1529">
        <f>SUMIF('CF.2'!$H$123:$H$134,'CF.1'!E192,'CF.2'!$J$123:$J$134)+SUMIF('CF.2'!$K$123:$K$134,'CF.1'!E192,'CF.2'!$M$123:$M$134)</f>
        <v>0</v>
      </c>
      <c r="S192" s="1530">
        <f t="shared" si="28"/>
        <v>0</v>
      </c>
      <c r="U192" s="1532">
        <f t="shared" si="29"/>
        <v>0</v>
      </c>
    </row>
    <row r="193" spans="3:21" ht="18" customHeight="1">
      <c r="C193" s="1359">
        <v>1</v>
      </c>
      <c r="D193" s="1527" t="s">
        <v>1034</v>
      </c>
      <c r="E193" s="1501" t="s">
        <v>1034</v>
      </c>
      <c r="F193" s="1528"/>
      <c r="G193" s="1501" t="s">
        <v>1035</v>
      </c>
      <c r="H193" s="1825">
        <v>0</v>
      </c>
      <c r="I193" s="1826">
        <v>0</v>
      </c>
      <c r="J193" s="1826">
        <v>0</v>
      </c>
      <c r="K193" s="1826">
        <v>0</v>
      </c>
      <c r="L193" s="1530">
        <f t="shared" si="27"/>
        <v>0</v>
      </c>
      <c r="N193" s="1531">
        <f>SUMIF('CF.2'!$H$5:$H$25,'CF.1'!E193,'CF.2'!$J$5:$J$25)-SUMIF('CF.2'!$K$5:$K$25,'CF.1'!E193,'CF.2'!$M$5:$M$25)</f>
        <v>0</v>
      </c>
      <c r="O193" s="1529">
        <f>SUMIF('CF.2'!$H$31:$H$60,'CF.1'!E193,'CF.2'!$J$31:$J$60)+SUMIF('CF.2'!$K$31:$K$60,'CF.1'!E193,'CF.2'!$M$31:$M$60)</f>
        <v>0</v>
      </c>
      <c r="P193" s="1529">
        <f>SUMIF('CF.2'!$H$65:$H$108,'CF.1'!E193,'CF.2'!$J$65:$J$108)+SUMIF('CF.2'!$K$65:$K$108,'CF.1'!E193,'CF.2'!$M$65:$M$108)</f>
        <v>0</v>
      </c>
      <c r="Q193" s="1529">
        <f>SUMIF('CF.2'!$H$112:$H$118,'CF.1'!E193,'CF.2'!$J$112:$J$118)+SUMIF('CF.2'!$K$112:$K$118,'CF.1'!E193,'CF.2'!$M$112:$M$118)</f>
        <v>0</v>
      </c>
      <c r="R193" s="1529">
        <f>SUMIF('CF.2'!$H$123:$H$134,'CF.1'!E193,'CF.2'!$J$123:$J$134)+SUMIF('CF.2'!$K$123:$K$134,'CF.1'!E193,'CF.2'!$M$123:$M$134)</f>
        <v>0</v>
      </c>
      <c r="S193" s="1530">
        <f t="shared" si="28"/>
        <v>0</v>
      </c>
      <c r="U193" s="1532">
        <f t="shared" si="29"/>
        <v>0</v>
      </c>
    </row>
    <row r="194" spans="3:21" ht="18" customHeight="1">
      <c r="C194" s="1359">
        <v>1</v>
      </c>
      <c r="D194" s="1527" t="s">
        <v>1036</v>
      </c>
      <c r="E194" s="1501" t="s">
        <v>1036</v>
      </c>
      <c r="F194" s="1528"/>
      <c r="G194" s="1501" t="s">
        <v>1037</v>
      </c>
      <c r="H194" s="1825">
        <v>0</v>
      </c>
      <c r="I194" s="1826">
        <v>0</v>
      </c>
      <c r="J194" s="1826">
        <v>0</v>
      </c>
      <c r="K194" s="1826">
        <v>0</v>
      </c>
      <c r="L194" s="1530">
        <f t="shared" si="27"/>
        <v>0</v>
      </c>
      <c r="N194" s="1531">
        <f>SUMIF('CF.2'!$H$5:$H$25,'CF.1'!E194,'CF.2'!$J$5:$J$25)-SUMIF('CF.2'!$K$5:$K$25,'CF.1'!E194,'CF.2'!$M$5:$M$25)</f>
        <v>0</v>
      </c>
      <c r="O194" s="1529">
        <f>SUMIF('CF.2'!$H$31:$H$60,'CF.1'!E194,'CF.2'!$J$31:$J$60)+SUMIF('CF.2'!$K$31:$K$60,'CF.1'!E194,'CF.2'!$M$31:$M$60)</f>
        <v>0</v>
      </c>
      <c r="P194" s="1529">
        <f>SUMIF('CF.2'!$H$65:$H$108,'CF.1'!E194,'CF.2'!$J$65:$J$108)+SUMIF('CF.2'!$K$65:$K$108,'CF.1'!E194,'CF.2'!$M$65:$M$108)</f>
        <v>0</v>
      </c>
      <c r="Q194" s="1529">
        <f>SUMIF('CF.2'!$H$112:$H$118,'CF.1'!E194,'CF.2'!$J$112:$J$118)+SUMIF('CF.2'!$K$112:$K$118,'CF.1'!E194,'CF.2'!$M$112:$M$118)</f>
        <v>0</v>
      </c>
      <c r="R194" s="1529">
        <f>SUMIF('CF.2'!$H$123:$H$134,'CF.1'!E194,'CF.2'!$J$123:$J$134)+SUMIF('CF.2'!$K$123:$K$134,'CF.1'!E194,'CF.2'!$M$123:$M$134)</f>
        <v>0</v>
      </c>
      <c r="S194" s="1530">
        <f t="shared" si="28"/>
        <v>0</v>
      </c>
      <c r="U194" s="1532">
        <f t="shared" si="29"/>
        <v>0</v>
      </c>
    </row>
    <row r="195" spans="3:21" ht="18" customHeight="1">
      <c r="C195" s="1359">
        <v>1</v>
      </c>
      <c r="D195" s="1527" t="s">
        <v>1038</v>
      </c>
      <c r="E195" s="1501" t="s">
        <v>1038</v>
      </c>
      <c r="F195" s="1528"/>
      <c r="G195" s="1501" t="s">
        <v>1039</v>
      </c>
      <c r="H195" s="1825">
        <v>0</v>
      </c>
      <c r="I195" s="1826">
        <v>0</v>
      </c>
      <c r="J195" s="1826">
        <v>0</v>
      </c>
      <c r="K195" s="1826">
        <v>0</v>
      </c>
      <c r="L195" s="1530">
        <f t="shared" si="27"/>
        <v>0</v>
      </c>
      <c r="N195" s="1531">
        <f>SUMIF('CF.2'!$H$5:$H$25,'CF.1'!E195,'CF.2'!$J$5:$J$25)-SUMIF('CF.2'!$K$5:$K$25,'CF.1'!E195,'CF.2'!$M$5:$M$25)</f>
        <v>0</v>
      </c>
      <c r="O195" s="1529">
        <f>SUMIF('CF.2'!$H$31:$H$60,'CF.1'!E195,'CF.2'!$J$31:$J$60)+SUMIF('CF.2'!$K$31:$K$60,'CF.1'!E195,'CF.2'!$M$31:$M$60)</f>
        <v>0</v>
      </c>
      <c r="P195" s="1529">
        <f>SUMIF('CF.2'!$H$65:$H$108,'CF.1'!E195,'CF.2'!$J$65:$J$108)+SUMIF('CF.2'!$K$65:$K$108,'CF.1'!E195,'CF.2'!$M$65:$M$108)</f>
        <v>0</v>
      </c>
      <c r="Q195" s="1529">
        <f>SUMIF('CF.2'!$H$112:$H$118,'CF.1'!E195,'CF.2'!$J$112:$J$118)+SUMIF('CF.2'!$K$112:$K$118,'CF.1'!E195,'CF.2'!$M$112:$M$118)</f>
        <v>0</v>
      </c>
      <c r="R195" s="1529">
        <f>SUMIF('CF.2'!$H$123:$H$134,'CF.1'!E195,'CF.2'!$J$123:$J$134)+SUMIF('CF.2'!$K$123:$K$134,'CF.1'!E195,'CF.2'!$M$123:$M$134)</f>
        <v>0</v>
      </c>
      <c r="S195" s="1530">
        <f t="shared" si="28"/>
        <v>0</v>
      </c>
      <c r="U195" s="1532">
        <f t="shared" si="29"/>
        <v>0</v>
      </c>
    </row>
    <row r="196" spans="3:21" ht="18" customHeight="1">
      <c r="C196" s="1359">
        <v>1</v>
      </c>
      <c r="D196" s="1527" t="s">
        <v>1040</v>
      </c>
      <c r="E196" s="1501" t="s">
        <v>1040</v>
      </c>
      <c r="F196" s="1528"/>
      <c r="G196" s="1501" t="s">
        <v>1041</v>
      </c>
      <c r="H196" s="1825">
        <v>0</v>
      </c>
      <c r="I196" s="1826">
        <v>0</v>
      </c>
      <c r="J196" s="1826">
        <v>0</v>
      </c>
      <c r="K196" s="1826">
        <v>0</v>
      </c>
      <c r="L196" s="1530">
        <f t="shared" si="27"/>
        <v>0</v>
      </c>
      <c r="N196" s="1531">
        <f>SUMIF('CF.2'!$H$5:$H$25,'CF.1'!E196,'CF.2'!$J$5:$J$25)-SUMIF('CF.2'!$K$5:$K$25,'CF.1'!E196,'CF.2'!$M$5:$M$25)</f>
        <v>0</v>
      </c>
      <c r="O196" s="1529">
        <f>SUMIF('CF.2'!$H$31:$H$60,'CF.1'!E196,'CF.2'!$J$31:$J$60)+SUMIF('CF.2'!$K$31:$K$60,'CF.1'!E196,'CF.2'!$M$31:$M$60)</f>
        <v>0</v>
      </c>
      <c r="P196" s="1529">
        <f>SUMIF('CF.2'!$H$65:$H$108,'CF.1'!E196,'CF.2'!$J$65:$J$108)+SUMIF('CF.2'!$K$65:$K$108,'CF.1'!E196,'CF.2'!$M$65:$M$108)</f>
        <v>0</v>
      </c>
      <c r="Q196" s="1529">
        <f>SUMIF('CF.2'!$H$112:$H$118,'CF.1'!E196,'CF.2'!$J$112:$J$118)+SUMIF('CF.2'!$K$112:$K$118,'CF.1'!E196,'CF.2'!$M$112:$M$118)</f>
        <v>0</v>
      </c>
      <c r="R196" s="1529">
        <f>SUMIF('CF.2'!$H$123:$H$134,'CF.1'!E196,'CF.2'!$J$123:$J$134)+SUMIF('CF.2'!$K$123:$K$134,'CF.1'!E196,'CF.2'!$M$123:$M$134)</f>
        <v>0</v>
      </c>
      <c r="S196" s="1530">
        <f t="shared" si="28"/>
        <v>0</v>
      </c>
      <c r="U196" s="1532">
        <f t="shared" si="29"/>
        <v>0</v>
      </c>
    </row>
    <row r="197" spans="3:21" ht="18" customHeight="1">
      <c r="C197" s="1359">
        <v>1</v>
      </c>
      <c r="D197" s="1527" t="s">
        <v>1042</v>
      </c>
      <c r="E197" s="1501" t="s">
        <v>1042</v>
      </c>
      <c r="F197" s="1528"/>
      <c r="G197" s="1501" t="s">
        <v>1043</v>
      </c>
      <c r="H197" s="1825">
        <v>0</v>
      </c>
      <c r="I197" s="1826">
        <v>0</v>
      </c>
      <c r="J197" s="1826">
        <v>0</v>
      </c>
      <c r="K197" s="1826">
        <v>0</v>
      </c>
      <c r="L197" s="1530">
        <f t="shared" si="27"/>
        <v>0</v>
      </c>
      <c r="N197" s="1531">
        <f>SUMIF('CF.2'!$H$5:$H$25,'CF.1'!E197,'CF.2'!$J$5:$J$25)-SUMIF('CF.2'!$K$5:$K$25,'CF.1'!E197,'CF.2'!$M$5:$M$25)</f>
        <v>0</v>
      </c>
      <c r="O197" s="1529">
        <f>SUMIF('CF.2'!$H$31:$H$60,'CF.1'!E197,'CF.2'!$J$31:$J$60)+SUMIF('CF.2'!$K$31:$K$60,'CF.1'!E197,'CF.2'!$M$31:$M$60)</f>
        <v>0</v>
      </c>
      <c r="P197" s="1529">
        <f>SUMIF('CF.2'!$H$65:$H$108,'CF.1'!E197,'CF.2'!$J$65:$J$108)+SUMIF('CF.2'!$K$65:$K$108,'CF.1'!E197,'CF.2'!$M$65:$M$108)</f>
        <v>0</v>
      </c>
      <c r="Q197" s="1529">
        <f>SUMIF('CF.2'!$H$112:$H$118,'CF.1'!E197,'CF.2'!$J$112:$J$118)+SUMIF('CF.2'!$K$112:$K$118,'CF.1'!E197,'CF.2'!$M$112:$M$118)</f>
        <v>0</v>
      </c>
      <c r="R197" s="1529">
        <f>SUMIF('CF.2'!$H$123:$H$134,'CF.1'!E197,'CF.2'!$J$123:$J$134)+SUMIF('CF.2'!$K$123:$K$134,'CF.1'!E197,'CF.2'!$M$123:$M$134)</f>
        <v>0</v>
      </c>
      <c r="S197" s="1530">
        <f t="shared" si="28"/>
        <v>0</v>
      </c>
      <c r="U197" s="1532">
        <f t="shared" si="29"/>
        <v>0</v>
      </c>
    </row>
    <row r="198" spans="3:21" ht="18" customHeight="1">
      <c r="C198" s="1359">
        <v>1</v>
      </c>
      <c r="D198" s="1527" t="s">
        <v>1044</v>
      </c>
      <c r="E198" s="1501" t="s">
        <v>1044</v>
      </c>
      <c r="F198" s="1528"/>
      <c r="G198" s="1501" t="s">
        <v>1045</v>
      </c>
      <c r="H198" s="1825">
        <v>0</v>
      </c>
      <c r="I198" s="1826">
        <v>0</v>
      </c>
      <c r="J198" s="1826">
        <v>0</v>
      </c>
      <c r="K198" s="1826">
        <v>0</v>
      </c>
      <c r="L198" s="1530">
        <f t="shared" si="27"/>
        <v>0</v>
      </c>
      <c r="N198" s="1531">
        <f>SUMIF('CF.2'!$H$5:$H$25,'CF.1'!E198,'CF.2'!$J$5:$J$25)-SUMIF('CF.2'!$K$5:$K$25,'CF.1'!E198,'CF.2'!$M$5:$M$25)</f>
        <v>0</v>
      </c>
      <c r="O198" s="1529">
        <f>SUMIF('CF.2'!$H$31:$H$60,'CF.1'!E198,'CF.2'!$J$31:$J$60)+SUMIF('CF.2'!$K$31:$K$60,'CF.1'!E198,'CF.2'!$M$31:$M$60)</f>
        <v>0</v>
      </c>
      <c r="P198" s="1529">
        <f>SUMIF('CF.2'!$H$65:$H$108,'CF.1'!E198,'CF.2'!$J$65:$J$108)+SUMIF('CF.2'!$K$65:$K$108,'CF.1'!E198,'CF.2'!$M$65:$M$108)</f>
        <v>0</v>
      </c>
      <c r="Q198" s="1529">
        <f>SUMIF('CF.2'!$H$112:$H$118,'CF.1'!E198,'CF.2'!$J$112:$J$118)+SUMIF('CF.2'!$K$112:$K$118,'CF.1'!E198,'CF.2'!$M$112:$M$118)</f>
        <v>0</v>
      </c>
      <c r="R198" s="1529">
        <f>SUMIF('CF.2'!$H$123:$H$134,'CF.1'!E198,'CF.2'!$J$123:$J$134)+SUMIF('CF.2'!$K$123:$K$134,'CF.1'!E198,'CF.2'!$M$123:$M$134)</f>
        <v>0</v>
      </c>
      <c r="S198" s="1530">
        <f t="shared" si="28"/>
        <v>0</v>
      </c>
      <c r="U198" s="1532">
        <f t="shared" si="29"/>
        <v>0</v>
      </c>
    </row>
    <row r="199" spans="3:21" ht="18" customHeight="1">
      <c r="C199" s="1359">
        <v>1</v>
      </c>
      <c r="D199" s="1527" t="s">
        <v>1046</v>
      </c>
      <c r="E199" s="1501" t="s">
        <v>1046</v>
      </c>
      <c r="F199" s="1528" t="s">
        <v>1729</v>
      </c>
      <c r="G199" s="1501" t="s">
        <v>1047</v>
      </c>
      <c r="H199" s="1825">
        <v>0</v>
      </c>
      <c r="I199" s="1826">
        <v>0</v>
      </c>
      <c r="J199" s="1826">
        <v>0</v>
      </c>
      <c r="K199" s="1826">
        <v>0</v>
      </c>
      <c r="L199" s="1530">
        <f t="shared" si="27"/>
        <v>0</v>
      </c>
      <c r="N199" s="1531">
        <f>SUMIF('CF.2'!$H$5:$H$25,'CF.1'!E199,'CF.2'!$J$5:$J$25)-SUMIF('CF.2'!$K$5:$K$25,'CF.1'!E199,'CF.2'!$M$5:$M$25)</f>
        <v>0</v>
      </c>
      <c r="O199" s="1529">
        <f>SUMIF('CF.2'!$H$31:$H$60,'CF.1'!E199,'CF.2'!$J$31:$J$60)+SUMIF('CF.2'!$K$31:$K$60,'CF.1'!E199,'CF.2'!$M$31:$M$60)</f>
        <v>0</v>
      </c>
      <c r="P199" s="1529">
        <f>SUMIF('CF.2'!$H$65:$H$108,'CF.1'!E199,'CF.2'!$J$65:$J$108)+SUMIF('CF.2'!$K$65:$K$108,'CF.1'!E199,'CF.2'!$M$65:$M$108)</f>
        <v>0</v>
      </c>
      <c r="Q199" s="1529">
        <f>SUMIF('CF.2'!$H$112:$H$118,'CF.1'!E199,'CF.2'!$J$112:$J$118)+SUMIF('CF.2'!$K$112:$K$118,'CF.1'!E199,'CF.2'!$M$112:$M$118)</f>
        <v>0</v>
      </c>
      <c r="R199" s="1529">
        <f>SUMIF('CF.2'!$H$123:$H$134,'CF.1'!E199,'CF.2'!$J$123:$J$134)+SUMIF('CF.2'!$K$123:$K$134,'CF.1'!E199,'CF.2'!$M$123:$M$134)</f>
        <v>0</v>
      </c>
      <c r="S199" s="1530">
        <f t="shared" si="28"/>
        <v>0</v>
      </c>
      <c r="U199" s="1532">
        <f t="shared" si="29"/>
        <v>0</v>
      </c>
    </row>
    <row r="200" spans="3:21" ht="18" customHeight="1">
      <c r="C200" s="1359">
        <v>1</v>
      </c>
      <c r="D200" s="1527" t="s">
        <v>1048</v>
      </c>
      <c r="E200" s="1501" t="s">
        <v>1048</v>
      </c>
      <c r="F200" s="1528" t="s">
        <v>1729</v>
      </c>
      <c r="G200" s="1501" t="s">
        <v>1049</v>
      </c>
      <c r="H200" s="1825">
        <v>0</v>
      </c>
      <c r="I200" s="1826">
        <v>0</v>
      </c>
      <c r="J200" s="1826">
        <v>0</v>
      </c>
      <c r="K200" s="1826">
        <v>0</v>
      </c>
      <c r="L200" s="1530">
        <f t="shared" si="27"/>
        <v>0</v>
      </c>
      <c r="N200" s="1531">
        <f>SUMIF('CF.2'!$H$5:$H$25,'CF.1'!E200,'CF.2'!$J$5:$J$25)-SUMIF('CF.2'!$K$5:$K$25,'CF.1'!E200,'CF.2'!$M$5:$M$25)</f>
        <v>0</v>
      </c>
      <c r="O200" s="1529">
        <f>SUMIF('CF.2'!$H$31:$H$60,'CF.1'!E200,'CF.2'!$J$31:$J$60)+SUMIF('CF.2'!$K$31:$K$60,'CF.1'!E200,'CF.2'!$M$31:$M$60)</f>
        <v>0</v>
      </c>
      <c r="P200" s="1529">
        <f>SUMIF('CF.2'!$H$65:$H$108,'CF.1'!E200,'CF.2'!$J$65:$J$108)+SUMIF('CF.2'!$K$65:$K$108,'CF.1'!E200,'CF.2'!$M$65:$M$108)</f>
        <v>0</v>
      </c>
      <c r="Q200" s="1529">
        <f>SUMIF('CF.2'!$H$112:$H$118,'CF.1'!E200,'CF.2'!$J$112:$J$118)+SUMIF('CF.2'!$K$112:$K$118,'CF.1'!E200,'CF.2'!$M$112:$M$118)</f>
        <v>0</v>
      </c>
      <c r="R200" s="1529">
        <f>SUMIF('CF.2'!$H$123:$H$134,'CF.1'!E200,'CF.2'!$J$123:$J$134)+SUMIF('CF.2'!$K$123:$K$134,'CF.1'!E200,'CF.2'!$M$123:$M$134)</f>
        <v>0</v>
      </c>
      <c r="S200" s="1530">
        <f t="shared" si="28"/>
        <v>0</v>
      </c>
      <c r="U200" s="1532">
        <f t="shared" si="29"/>
        <v>0</v>
      </c>
    </row>
    <row r="201" spans="3:21" ht="18" customHeight="1">
      <c r="C201" s="1359">
        <v>1</v>
      </c>
      <c r="D201" s="1527" t="s">
        <v>1050</v>
      </c>
      <c r="E201" s="1501" t="s">
        <v>1050</v>
      </c>
      <c r="F201" s="1528"/>
      <c r="G201" s="1501" t="s">
        <v>1051</v>
      </c>
      <c r="H201" s="1825">
        <v>0</v>
      </c>
      <c r="I201" s="1826">
        <v>0</v>
      </c>
      <c r="J201" s="1826">
        <v>0</v>
      </c>
      <c r="K201" s="1826">
        <v>0</v>
      </c>
      <c r="L201" s="1530">
        <f t="shared" si="27"/>
        <v>0</v>
      </c>
      <c r="N201" s="1531">
        <f>SUMIF('CF.2'!$H$5:$H$25,'CF.1'!E201,'CF.2'!$J$5:$J$25)-SUMIF('CF.2'!$K$5:$K$25,'CF.1'!E201,'CF.2'!$M$5:$M$25)</f>
        <v>0</v>
      </c>
      <c r="O201" s="1529">
        <f>SUMIF('CF.2'!$H$31:$H$60,'CF.1'!E201,'CF.2'!$J$31:$J$60)+SUMIF('CF.2'!$K$31:$K$60,'CF.1'!E201,'CF.2'!$M$31:$M$60)</f>
        <v>0</v>
      </c>
      <c r="P201" s="1529">
        <f>SUMIF('CF.2'!$H$65:$H$108,'CF.1'!E201,'CF.2'!$J$65:$J$108)+SUMIF('CF.2'!$K$65:$K$108,'CF.1'!E201,'CF.2'!$M$65:$M$108)</f>
        <v>0</v>
      </c>
      <c r="Q201" s="1529">
        <f>SUMIF('CF.2'!$H$112:$H$118,'CF.1'!E201,'CF.2'!$J$112:$J$118)+SUMIF('CF.2'!$K$112:$K$118,'CF.1'!E201,'CF.2'!$M$112:$M$118)</f>
        <v>0</v>
      </c>
      <c r="R201" s="1529">
        <f>SUMIF('CF.2'!$H$123:$H$134,'CF.1'!E201,'CF.2'!$J$123:$J$134)+SUMIF('CF.2'!$K$123:$K$134,'CF.1'!E201,'CF.2'!$M$123:$M$134)</f>
        <v>0</v>
      </c>
      <c r="S201" s="1530">
        <f t="shared" si="28"/>
        <v>0</v>
      </c>
      <c r="U201" s="1532">
        <f t="shared" si="29"/>
        <v>0</v>
      </c>
    </row>
    <row r="202" spans="3:21" ht="18" customHeight="1">
      <c r="C202" s="1359">
        <v>1</v>
      </c>
      <c r="D202" s="1527" t="s">
        <v>1052</v>
      </c>
      <c r="E202" s="1501" t="s">
        <v>1052</v>
      </c>
      <c r="F202" s="1528"/>
      <c r="G202" s="1501" t="s">
        <v>1053</v>
      </c>
      <c r="H202" s="1825">
        <v>0</v>
      </c>
      <c r="I202" s="1826">
        <v>0</v>
      </c>
      <c r="J202" s="1826">
        <v>0</v>
      </c>
      <c r="K202" s="1826">
        <v>0</v>
      </c>
      <c r="L202" s="1530">
        <f t="shared" si="27"/>
        <v>0</v>
      </c>
      <c r="N202" s="1531">
        <f>SUMIF('CF.2'!$H$5:$H$25,'CF.1'!E202,'CF.2'!$J$5:$J$25)-SUMIF('CF.2'!$K$5:$K$25,'CF.1'!E202,'CF.2'!$M$5:$M$25)</f>
        <v>0</v>
      </c>
      <c r="O202" s="1529">
        <f>SUMIF('CF.2'!$H$31:$H$60,'CF.1'!E202,'CF.2'!$J$31:$J$60)+SUMIF('CF.2'!$K$31:$K$60,'CF.1'!E202,'CF.2'!$M$31:$M$60)</f>
        <v>0</v>
      </c>
      <c r="P202" s="1529">
        <f>SUMIF('CF.2'!$H$65:$H$108,'CF.1'!E202,'CF.2'!$J$65:$J$108)+SUMIF('CF.2'!$K$65:$K$108,'CF.1'!E202,'CF.2'!$M$65:$M$108)</f>
        <v>0</v>
      </c>
      <c r="Q202" s="1529">
        <f>SUMIF('CF.2'!$H$112:$H$118,'CF.1'!E202,'CF.2'!$J$112:$J$118)+SUMIF('CF.2'!$K$112:$K$118,'CF.1'!E202,'CF.2'!$M$112:$M$118)</f>
        <v>0</v>
      </c>
      <c r="R202" s="1529">
        <f>SUMIF('CF.2'!$H$123:$H$134,'CF.1'!E202,'CF.2'!$J$123:$J$134)+SUMIF('CF.2'!$K$123:$K$134,'CF.1'!E202,'CF.2'!$M$123:$M$134)</f>
        <v>0</v>
      </c>
      <c r="S202" s="1530">
        <f t="shared" si="28"/>
        <v>0</v>
      </c>
      <c r="U202" s="1532">
        <f t="shared" si="29"/>
        <v>0</v>
      </c>
    </row>
    <row r="203" spans="3:21" ht="18" customHeight="1">
      <c r="C203" s="1359">
        <v>1</v>
      </c>
      <c r="D203" s="1527" t="s">
        <v>1054</v>
      </c>
      <c r="E203" s="1501" t="s">
        <v>1054</v>
      </c>
      <c r="F203" s="1528"/>
      <c r="G203" s="1501" t="s">
        <v>1055</v>
      </c>
      <c r="H203" s="1825">
        <v>0</v>
      </c>
      <c r="I203" s="1826">
        <v>0</v>
      </c>
      <c r="J203" s="1826">
        <v>0</v>
      </c>
      <c r="K203" s="1826">
        <v>0</v>
      </c>
      <c r="L203" s="1530">
        <f t="shared" si="27"/>
        <v>0</v>
      </c>
      <c r="N203" s="1531">
        <f>SUMIF('CF.2'!$H$5:$H$25,'CF.1'!E203,'CF.2'!$J$5:$J$25)-SUMIF('CF.2'!$K$5:$K$25,'CF.1'!E203,'CF.2'!$M$5:$M$25)</f>
        <v>0</v>
      </c>
      <c r="O203" s="1529">
        <f>SUMIF('CF.2'!$H$31:$H$60,'CF.1'!E203,'CF.2'!$J$31:$J$60)+SUMIF('CF.2'!$K$31:$K$60,'CF.1'!E203,'CF.2'!$M$31:$M$60)</f>
        <v>0</v>
      </c>
      <c r="P203" s="1529">
        <f>SUMIF('CF.2'!$H$65:$H$108,'CF.1'!E203,'CF.2'!$J$65:$J$108)+SUMIF('CF.2'!$K$65:$K$108,'CF.1'!E203,'CF.2'!$M$65:$M$108)</f>
        <v>0</v>
      </c>
      <c r="Q203" s="1529">
        <f>SUMIF('CF.2'!$H$112:$H$118,'CF.1'!E203,'CF.2'!$J$112:$J$118)+SUMIF('CF.2'!$K$112:$K$118,'CF.1'!E203,'CF.2'!$M$112:$M$118)</f>
        <v>0</v>
      </c>
      <c r="R203" s="1529">
        <f>SUMIF('CF.2'!$H$123:$H$134,'CF.1'!E203,'CF.2'!$J$123:$J$134)+SUMIF('CF.2'!$K$123:$K$134,'CF.1'!E203,'CF.2'!$M$123:$M$134)</f>
        <v>0</v>
      </c>
      <c r="S203" s="1530">
        <f t="shared" si="28"/>
        <v>0</v>
      </c>
      <c r="U203" s="1532">
        <f t="shared" si="29"/>
        <v>0</v>
      </c>
    </row>
    <row r="204" spans="3:21" ht="18" customHeight="1">
      <c r="C204" s="1359">
        <v>1</v>
      </c>
      <c r="D204" s="1527" t="s">
        <v>1056</v>
      </c>
      <c r="E204" s="1501" t="s">
        <v>1056</v>
      </c>
      <c r="F204" s="1528"/>
      <c r="G204" s="1501" t="s">
        <v>1057</v>
      </c>
      <c r="H204" s="1825">
        <v>0</v>
      </c>
      <c r="I204" s="1826">
        <v>0</v>
      </c>
      <c r="J204" s="1826">
        <v>0</v>
      </c>
      <c r="K204" s="1826">
        <v>0</v>
      </c>
      <c r="L204" s="1530">
        <f t="shared" si="27"/>
        <v>0</v>
      </c>
      <c r="N204" s="1531">
        <f>SUMIF('CF.2'!$H$5:$H$25,'CF.1'!E204,'CF.2'!$J$5:$J$25)-SUMIF('CF.2'!$K$5:$K$25,'CF.1'!E204,'CF.2'!$M$5:$M$25)</f>
        <v>0</v>
      </c>
      <c r="O204" s="1529">
        <f>SUMIF('CF.2'!$H$31:$H$60,'CF.1'!E204,'CF.2'!$J$31:$J$60)+SUMIF('CF.2'!$K$31:$K$60,'CF.1'!E204,'CF.2'!$M$31:$M$60)</f>
        <v>0</v>
      </c>
      <c r="P204" s="1529">
        <f>SUMIF('CF.2'!$H$65:$H$108,'CF.1'!E204,'CF.2'!$J$65:$J$108)+SUMIF('CF.2'!$K$65:$K$108,'CF.1'!E204,'CF.2'!$M$65:$M$108)</f>
        <v>0</v>
      </c>
      <c r="Q204" s="1529">
        <f>SUMIF('CF.2'!$H$112:$H$118,'CF.1'!E204,'CF.2'!$J$112:$J$118)+SUMIF('CF.2'!$K$112:$K$118,'CF.1'!E204,'CF.2'!$M$112:$M$118)</f>
        <v>0</v>
      </c>
      <c r="R204" s="1529">
        <f>SUMIF('CF.2'!$H$123:$H$134,'CF.1'!E204,'CF.2'!$J$123:$J$134)+SUMIF('CF.2'!$K$123:$K$134,'CF.1'!E204,'CF.2'!$M$123:$M$134)</f>
        <v>0</v>
      </c>
      <c r="S204" s="1530">
        <f t="shared" si="28"/>
        <v>0</v>
      </c>
      <c r="U204" s="1532">
        <f t="shared" si="29"/>
        <v>0</v>
      </c>
    </row>
    <row r="205" spans="3:21" ht="18" customHeight="1">
      <c r="C205" s="1359">
        <v>1</v>
      </c>
      <c r="D205" s="1527" t="s">
        <v>1058</v>
      </c>
      <c r="E205" s="1501" t="s">
        <v>1058</v>
      </c>
      <c r="F205" s="1528"/>
      <c r="G205" s="1501" t="s">
        <v>1059</v>
      </c>
      <c r="H205" s="1825">
        <v>0</v>
      </c>
      <c r="I205" s="1826">
        <v>0</v>
      </c>
      <c r="J205" s="1826">
        <v>0</v>
      </c>
      <c r="K205" s="1826">
        <v>0</v>
      </c>
      <c r="L205" s="1530">
        <f t="shared" si="27"/>
        <v>0</v>
      </c>
      <c r="N205" s="1531">
        <f>SUMIF('CF.2'!$H$5:$H$25,'CF.1'!E205,'CF.2'!$J$5:$J$25)-SUMIF('CF.2'!$K$5:$K$25,'CF.1'!E205,'CF.2'!$M$5:$M$25)</f>
        <v>0</v>
      </c>
      <c r="O205" s="1529">
        <f>SUMIF('CF.2'!$H$31:$H$60,'CF.1'!E205,'CF.2'!$J$31:$J$60)+SUMIF('CF.2'!$K$31:$K$60,'CF.1'!E205,'CF.2'!$M$31:$M$60)</f>
        <v>0</v>
      </c>
      <c r="P205" s="1529">
        <f>SUMIF('CF.2'!$H$65:$H$108,'CF.1'!E205,'CF.2'!$J$65:$J$108)+SUMIF('CF.2'!$K$65:$K$108,'CF.1'!E205,'CF.2'!$M$65:$M$108)</f>
        <v>0</v>
      </c>
      <c r="Q205" s="1529">
        <f>SUMIF('CF.2'!$H$112:$H$118,'CF.1'!E205,'CF.2'!$J$112:$J$118)+SUMIF('CF.2'!$K$112:$K$118,'CF.1'!E205,'CF.2'!$M$112:$M$118)</f>
        <v>0</v>
      </c>
      <c r="R205" s="1529">
        <f>SUMIF('CF.2'!$H$123:$H$134,'CF.1'!E205,'CF.2'!$J$123:$J$134)+SUMIF('CF.2'!$K$123:$K$134,'CF.1'!E205,'CF.2'!$M$123:$M$134)</f>
        <v>0</v>
      </c>
      <c r="S205" s="1530">
        <f t="shared" si="28"/>
        <v>0</v>
      </c>
      <c r="U205" s="1532">
        <f t="shared" si="29"/>
        <v>0</v>
      </c>
    </row>
    <row r="206" spans="3:21" ht="18" customHeight="1">
      <c r="C206" s="1359">
        <v>1</v>
      </c>
      <c r="D206" s="1527" t="s">
        <v>1060</v>
      </c>
      <c r="E206" s="1501" t="s">
        <v>1060</v>
      </c>
      <c r="F206" s="1528"/>
      <c r="G206" s="1501" t="s">
        <v>1061</v>
      </c>
      <c r="H206" s="1825">
        <v>0</v>
      </c>
      <c r="I206" s="1826">
        <v>0</v>
      </c>
      <c r="J206" s="1826">
        <v>0</v>
      </c>
      <c r="K206" s="1826">
        <v>0</v>
      </c>
      <c r="L206" s="1530">
        <f t="shared" si="27"/>
        <v>0</v>
      </c>
      <c r="N206" s="1531">
        <f>SUMIF('CF.2'!$H$5:$H$25,'CF.1'!E206,'CF.2'!$J$5:$J$25)-SUMIF('CF.2'!$K$5:$K$25,'CF.1'!E206,'CF.2'!$M$5:$M$25)</f>
        <v>0</v>
      </c>
      <c r="O206" s="1529">
        <f>SUMIF('CF.2'!$H$31:$H$60,'CF.1'!E206,'CF.2'!$J$31:$J$60)+SUMIF('CF.2'!$K$31:$K$60,'CF.1'!E206,'CF.2'!$M$31:$M$60)</f>
        <v>0</v>
      </c>
      <c r="P206" s="1529">
        <f>SUMIF('CF.2'!$H$65:$H$108,'CF.1'!E206,'CF.2'!$J$65:$J$108)+SUMIF('CF.2'!$K$65:$K$108,'CF.1'!E206,'CF.2'!$M$65:$M$108)</f>
        <v>0</v>
      </c>
      <c r="Q206" s="1529">
        <f>SUMIF('CF.2'!$H$112:$H$118,'CF.1'!E206,'CF.2'!$J$112:$J$118)+SUMIF('CF.2'!$K$112:$K$118,'CF.1'!E206,'CF.2'!$M$112:$M$118)</f>
        <v>0</v>
      </c>
      <c r="R206" s="1529">
        <f>SUMIF('CF.2'!$H$123:$H$134,'CF.1'!E206,'CF.2'!$J$123:$J$134)+SUMIF('CF.2'!$K$123:$K$134,'CF.1'!E206,'CF.2'!$M$123:$M$134)</f>
        <v>0</v>
      </c>
      <c r="S206" s="1530">
        <f t="shared" si="28"/>
        <v>0</v>
      </c>
      <c r="U206" s="1532">
        <f t="shared" si="29"/>
        <v>0</v>
      </c>
    </row>
    <row r="207" spans="3:21" ht="18" customHeight="1">
      <c r="C207" s="1359">
        <v>1</v>
      </c>
      <c r="D207" s="1527" t="s">
        <v>1062</v>
      </c>
      <c r="E207" s="1501" t="s">
        <v>1062</v>
      </c>
      <c r="F207" s="1528"/>
      <c r="G207" s="1501" t="s">
        <v>1063</v>
      </c>
      <c r="H207" s="1825">
        <v>0</v>
      </c>
      <c r="I207" s="1826">
        <v>0</v>
      </c>
      <c r="J207" s="1826">
        <v>0</v>
      </c>
      <c r="K207" s="1826">
        <v>0</v>
      </c>
      <c r="L207" s="1530">
        <f t="shared" si="27"/>
        <v>0</v>
      </c>
      <c r="N207" s="1531">
        <f>SUMIF('CF.2'!$H$5:$H$25,'CF.1'!E207,'CF.2'!$J$5:$J$25)-SUMIF('CF.2'!$K$5:$K$25,'CF.1'!E207,'CF.2'!$M$5:$M$25)</f>
        <v>0</v>
      </c>
      <c r="O207" s="1529">
        <f>SUMIF('CF.2'!$H$31:$H$60,'CF.1'!E207,'CF.2'!$J$31:$J$60)+SUMIF('CF.2'!$K$31:$K$60,'CF.1'!E207,'CF.2'!$M$31:$M$60)</f>
        <v>0</v>
      </c>
      <c r="P207" s="1529">
        <f>SUMIF('CF.2'!$H$65:$H$108,'CF.1'!E207,'CF.2'!$J$65:$J$108)+SUMIF('CF.2'!$K$65:$K$108,'CF.1'!E207,'CF.2'!$M$65:$M$108)</f>
        <v>0</v>
      </c>
      <c r="Q207" s="1529">
        <f>SUMIF('CF.2'!$H$112:$H$118,'CF.1'!E207,'CF.2'!$J$112:$J$118)+SUMIF('CF.2'!$K$112:$K$118,'CF.1'!E207,'CF.2'!$M$112:$M$118)</f>
        <v>0</v>
      </c>
      <c r="R207" s="1529">
        <f>SUMIF('CF.2'!$H$123:$H$134,'CF.1'!E207,'CF.2'!$J$123:$J$134)+SUMIF('CF.2'!$K$123:$K$134,'CF.1'!E207,'CF.2'!$M$123:$M$134)</f>
        <v>0</v>
      </c>
      <c r="S207" s="1530">
        <f t="shared" si="28"/>
        <v>0</v>
      </c>
      <c r="U207" s="1532">
        <f t="shared" si="29"/>
        <v>0</v>
      </c>
    </row>
    <row r="208" spans="3:21" ht="18" customHeight="1">
      <c r="C208" s="1359">
        <v>1</v>
      </c>
      <c r="D208" s="1527" t="s">
        <v>1064</v>
      </c>
      <c r="E208" s="1501" t="s">
        <v>1064</v>
      </c>
      <c r="F208" s="1528"/>
      <c r="G208" s="1501" t="s">
        <v>1065</v>
      </c>
      <c r="H208" s="1825">
        <v>0</v>
      </c>
      <c r="I208" s="1826">
        <v>0</v>
      </c>
      <c r="J208" s="1826">
        <v>0</v>
      </c>
      <c r="K208" s="1826">
        <v>0</v>
      </c>
      <c r="L208" s="1530">
        <f t="shared" si="27"/>
        <v>0</v>
      </c>
      <c r="N208" s="1531">
        <f>SUMIF('CF.2'!$H$5:$H$25,'CF.1'!E208,'CF.2'!$J$5:$J$25)-SUMIF('CF.2'!$K$5:$K$25,'CF.1'!E208,'CF.2'!$M$5:$M$25)</f>
        <v>0</v>
      </c>
      <c r="O208" s="1529">
        <f>SUMIF('CF.2'!$H$31:$H$60,'CF.1'!E208,'CF.2'!$J$31:$J$60)+SUMIF('CF.2'!$K$31:$K$60,'CF.1'!E208,'CF.2'!$M$31:$M$60)</f>
        <v>0</v>
      </c>
      <c r="P208" s="1529">
        <f>SUMIF('CF.2'!$H$65:$H$108,'CF.1'!E208,'CF.2'!$J$65:$J$108)+SUMIF('CF.2'!$K$65:$K$108,'CF.1'!E208,'CF.2'!$M$65:$M$108)</f>
        <v>0</v>
      </c>
      <c r="Q208" s="1529">
        <f>SUMIF('CF.2'!$H$112:$H$118,'CF.1'!E208,'CF.2'!$J$112:$J$118)+SUMIF('CF.2'!$K$112:$K$118,'CF.1'!E208,'CF.2'!$M$112:$M$118)</f>
        <v>0</v>
      </c>
      <c r="R208" s="1529">
        <f>SUMIF('CF.2'!$H$123:$H$134,'CF.1'!E208,'CF.2'!$J$123:$J$134)+SUMIF('CF.2'!$K$123:$K$134,'CF.1'!E208,'CF.2'!$M$123:$M$134)</f>
        <v>0</v>
      </c>
      <c r="S208" s="1530">
        <f t="shared" si="28"/>
        <v>0</v>
      </c>
      <c r="U208" s="1532">
        <f t="shared" si="29"/>
        <v>0</v>
      </c>
    </row>
    <row r="209" spans="3:21" ht="18" customHeight="1">
      <c r="C209" s="1359">
        <v>1</v>
      </c>
      <c r="D209" s="1527" t="s">
        <v>1066</v>
      </c>
      <c r="E209" s="1501" t="s">
        <v>1066</v>
      </c>
      <c r="F209" s="1528"/>
      <c r="G209" s="1501" t="s">
        <v>1067</v>
      </c>
      <c r="H209" s="1825">
        <v>0</v>
      </c>
      <c r="I209" s="1826">
        <v>0</v>
      </c>
      <c r="J209" s="1826">
        <v>0</v>
      </c>
      <c r="K209" s="1826">
        <v>0</v>
      </c>
      <c r="L209" s="1530">
        <f t="shared" si="27"/>
        <v>0</v>
      </c>
      <c r="N209" s="1531">
        <f>SUMIF('CF.2'!$H$5:$H$25,'CF.1'!E209,'CF.2'!$J$5:$J$25)-SUMIF('CF.2'!$K$5:$K$25,'CF.1'!E209,'CF.2'!$M$5:$M$25)</f>
        <v>0</v>
      </c>
      <c r="O209" s="1529">
        <f>SUMIF('CF.2'!$H$31:$H$60,'CF.1'!E209,'CF.2'!$J$31:$J$60)+SUMIF('CF.2'!$K$31:$K$60,'CF.1'!E209,'CF.2'!$M$31:$M$60)</f>
        <v>0</v>
      </c>
      <c r="P209" s="1529">
        <f>SUMIF('CF.2'!$H$65:$H$108,'CF.1'!E209,'CF.2'!$J$65:$J$108)+SUMIF('CF.2'!$K$65:$K$108,'CF.1'!E209,'CF.2'!$M$65:$M$108)</f>
        <v>0</v>
      </c>
      <c r="Q209" s="1529">
        <f>SUMIF('CF.2'!$H$112:$H$118,'CF.1'!E209,'CF.2'!$J$112:$J$118)+SUMIF('CF.2'!$K$112:$K$118,'CF.1'!E209,'CF.2'!$M$112:$M$118)</f>
        <v>0</v>
      </c>
      <c r="R209" s="1529">
        <f>SUMIF('CF.2'!$H$123:$H$134,'CF.1'!E209,'CF.2'!$J$123:$J$134)+SUMIF('CF.2'!$K$123:$K$134,'CF.1'!E209,'CF.2'!$M$123:$M$134)</f>
        <v>0</v>
      </c>
      <c r="S209" s="1530">
        <f t="shared" si="28"/>
        <v>0</v>
      </c>
      <c r="U209" s="1532">
        <f t="shared" si="29"/>
        <v>0</v>
      </c>
    </row>
    <row r="210" spans="3:21" ht="18" customHeight="1">
      <c r="C210" s="1359">
        <v>1</v>
      </c>
      <c r="D210" s="1527" t="s">
        <v>1068</v>
      </c>
      <c r="E210" s="1501" t="s">
        <v>1068</v>
      </c>
      <c r="F210" s="1528"/>
      <c r="G210" s="1501" t="s">
        <v>1069</v>
      </c>
      <c r="H210" s="1825">
        <v>0</v>
      </c>
      <c r="I210" s="1826">
        <v>0</v>
      </c>
      <c r="J210" s="1826">
        <v>0</v>
      </c>
      <c r="K210" s="1826">
        <v>0</v>
      </c>
      <c r="L210" s="1530">
        <f t="shared" si="27"/>
        <v>0</v>
      </c>
      <c r="N210" s="1531">
        <f>SUMIF('CF.2'!$H$5:$H$25,'CF.1'!E210,'CF.2'!$J$5:$J$25)-SUMIF('CF.2'!$K$5:$K$25,'CF.1'!E210,'CF.2'!$M$5:$M$25)</f>
        <v>0</v>
      </c>
      <c r="O210" s="1529">
        <f>SUMIF('CF.2'!$H$31:$H$60,'CF.1'!E210,'CF.2'!$J$31:$J$60)+SUMIF('CF.2'!$K$31:$K$60,'CF.1'!E210,'CF.2'!$M$31:$M$60)</f>
        <v>0</v>
      </c>
      <c r="P210" s="1529">
        <f>SUMIF('CF.2'!$H$65:$H$108,'CF.1'!E210,'CF.2'!$J$65:$J$108)+SUMIF('CF.2'!$K$65:$K$108,'CF.1'!E210,'CF.2'!$M$65:$M$108)</f>
        <v>0</v>
      </c>
      <c r="Q210" s="1529">
        <f>SUMIF('CF.2'!$H$112:$H$118,'CF.1'!E210,'CF.2'!$J$112:$J$118)+SUMIF('CF.2'!$K$112:$K$118,'CF.1'!E210,'CF.2'!$M$112:$M$118)</f>
        <v>0</v>
      </c>
      <c r="R210" s="1529">
        <f>SUMIF('CF.2'!$H$123:$H$134,'CF.1'!E210,'CF.2'!$J$123:$J$134)+SUMIF('CF.2'!$K$123:$K$134,'CF.1'!E210,'CF.2'!$M$123:$M$134)</f>
        <v>0</v>
      </c>
      <c r="S210" s="1530">
        <f t="shared" si="28"/>
        <v>0</v>
      </c>
      <c r="U210" s="1532">
        <f t="shared" si="29"/>
        <v>0</v>
      </c>
    </row>
    <row r="211" spans="3:21" ht="18" customHeight="1">
      <c r="C211" s="1359">
        <v>1</v>
      </c>
      <c r="D211" s="1527" t="s">
        <v>1070</v>
      </c>
      <c r="E211" s="1501" t="s">
        <v>1070</v>
      </c>
      <c r="F211" s="1528"/>
      <c r="G211" s="1501" t="s">
        <v>1071</v>
      </c>
      <c r="H211" s="1825">
        <v>0</v>
      </c>
      <c r="I211" s="1826">
        <v>0</v>
      </c>
      <c r="J211" s="1826">
        <v>0</v>
      </c>
      <c r="K211" s="1826">
        <v>0</v>
      </c>
      <c r="L211" s="1530">
        <f t="shared" si="27"/>
        <v>0</v>
      </c>
      <c r="N211" s="1531">
        <f>SUMIF('CF.2'!$H$5:$H$25,'CF.1'!E211,'CF.2'!$J$5:$J$25)-SUMIF('CF.2'!$K$5:$K$25,'CF.1'!E211,'CF.2'!$M$5:$M$25)</f>
        <v>0</v>
      </c>
      <c r="O211" s="1529">
        <f>SUMIF('CF.2'!$H$31:$H$60,'CF.1'!E211,'CF.2'!$J$31:$J$60)+SUMIF('CF.2'!$K$31:$K$60,'CF.1'!E211,'CF.2'!$M$31:$M$60)</f>
        <v>0</v>
      </c>
      <c r="P211" s="1529">
        <f>SUMIF('CF.2'!$H$65:$H$108,'CF.1'!E211,'CF.2'!$J$65:$J$108)+SUMIF('CF.2'!$K$65:$K$108,'CF.1'!E211,'CF.2'!$M$65:$M$108)</f>
        <v>0</v>
      </c>
      <c r="Q211" s="1529">
        <f>SUMIF('CF.2'!$H$112:$H$118,'CF.1'!E211,'CF.2'!$J$112:$J$118)+SUMIF('CF.2'!$K$112:$K$118,'CF.1'!E211,'CF.2'!$M$112:$M$118)</f>
        <v>0</v>
      </c>
      <c r="R211" s="1529">
        <f>SUMIF('CF.2'!$H$123:$H$134,'CF.1'!E211,'CF.2'!$J$123:$J$134)+SUMIF('CF.2'!$K$123:$K$134,'CF.1'!E211,'CF.2'!$M$123:$M$134)</f>
        <v>0</v>
      </c>
      <c r="S211" s="1530">
        <f t="shared" si="28"/>
        <v>0</v>
      </c>
      <c r="U211" s="1532">
        <f t="shared" si="29"/>
        <v>0</v>
      </c>
    </row>
    <row r="212" spans="3:21" ht="18" customHeight="1">
      <c r="C212" s="1359">
        <v>1</v>
      </c>
      <c r="D212" s="1527" t="s">
        <v>1072</v>
      </c>
      <c r="E212" s="1501" t="s">
        <v>1072</v>
      </c>
      <c r="F212" s="1528"/>
      <c r="G212" s="1501" t="s">
        <v>1073</v>
      </c>
      <c r="H212" s="1825">
        <v>0</v>
      </c>
      <c r="I212" s="1826">
        <v>0</v>
      </c>
      <c r="J212" s="1826">
        <v>0</v>
      </c>
      <c r="K212" s="1826">
        <v>0</v>
      </c>
      <c r="L212" s="1530">
        <f t="shared" si="27"/>
        <v>0</v>
      </c>
      <c r="N212" s="1531">
        <f>SUMIF('CF.2'!$H$5:$H$25,'CF.1'!E212,'CF.2'!$J$5:$J$25)-SUMIF('CF.2'!$K$5:$K$25,'CF.1'!E212,'CF.2'!$M$5:$M$25)</f>
        <v>0</v>
      </c>
      <c r="O212" s="1529">
        <f>SUMIF('CF.2'!$H$31:$H$60,'CF.1'!E212,'CF.2'!$J$31:$J$60)+SUMIF('CF.2'!$K$31:$K$60,'CF.1'!E212,'CF.2'!$M$31:$M$60)</f>
        <v>0</v>
      </c>
      <c r="P212" s="1529">
        <f>SUMIF('CF.2'!$H$65:$H$108,'CF.1'!E212,'CF.2'!$J$65:$J$108)+SUMIF('CF.2'!$K$65:$K$108,'CF.1'!E212,'CF.2'!$M$65:$M$108)</f>
        <v>0</v>
      </c>
      <c r="Q212" s="1529">
        <f>SUMIF('CF.2'!$H$112:$H$118,'CF.1'!E212,'CF.2'!$J$112:$J$118)+SUMIF('CF.2'!$K$112:$K$118,'CF.1'!E212,'CF.2'!$M$112:$M$118)</f>
        <v>0</v>
      </c>
      <c r="R212" s="1529">
        <f>SUMIF('CF.2'!$H$123:$H$134,'CF.1'!E212,'CF.2'!$J$123:$J$134)+SUMIF('CF.2'!$K$123:$K$134,'CF.1'!E212,'CF.2'!$M$123:$M$134)</f>
        <v>0</v>
      </c>
      <c r="S212" s="1530">
        <f t="shared" si="28"/>
        <v>0</v>
      </c>
      <c r="U212" s="1532">
        <f t="shared" si="29"/>
        <v>0</v>
      </c>
    </row>
    <row r="213" spans="3:21" ht="18" customHeight="1">
      <c r="C213" s="1359">
        <v>1</v>
      </c>
      <c r="D213" s="1527" t="s">
        <v>1074</v>
      </c>
      <c r="E213" s="1501" t="s">
        <v>1380</v>
      </c>
      <c r="F213" s="1528" t="s">
        <v>1434</v>
      </c>
      <c r="G213" s="1501" t="s">
        <v>1377</v>
      </c>
      <c r="H213" s="1825">
        <v>0</v>
      </c>
      <c r="I213" s="1826">
        <v>0</v>
      </c>
      <c r="J213" s="1826">
        <v>0</v>
      </c>
      <c r="K213" s="1826">
        <v>0</v>
      </c>
      <c r="L213" s="1530">
        <f t="shared" si="27"/>
        <v>0</v>
      </c>
      <c r="N213" s="1531">
        <f>SUMIF('CF.2'!$H$5:$H$25,'CF.1'!E213,'CF.2'!$J$5:$J$25)-SUMIF('CF.2'!$K$5:$K$25,'CF.1'!E213,'CF.2'!$M$5:$M$25)</f>
        <v>0</v>
      </c>
      <c r="O213" s="1529">
        <f>SUMIF('CF.2'!$H$31:$H$60,'CF.1'!E213,'CF.2'!$J$31:$J$60)+SUMIF('CF.2'!$K$31:$K$60,'CF.1'!E213,'CF.2'!$M$31:$M$60)</f>
        <v>0</v>
      </c>
      <c r="P213" s="1529">
        <f>SUMIF('CF.2'!$H$65:$H$108,'CF.1'!E213,'CF.2'!$J$65:$J$108)+SUMIF('CF.2'!$K$65:$K$108,'CF.1'!E213,'CF.2'!$M$65:$M$108)</f>
        <v>0</v>
      </c>
      <c r="Q213" s="1529">
        <f>SUMIF('CF.2'!$H$112:$H$118,'CF.1'!E213,'CF.2'!$J$112:$J$118)+SUMIF('CF.2'!$K$112:$K$118,'CF.1'!E213,'CF.2'!$M$112:$M$118)</f>
        <v>0</v>
      </c>
      <c r="R213" s="1529">
        <f>SUMIF('CF.2'!$H$123:$H$134,'CF.1'!E213,'CF.2'!$J$123:$J$134)+SUMIF('CF.2'!$K$123:$K$134,'CF.1'!E213,'CF.2'!$M$123:$M$134)</f>
        <v>0</v>
      </c>
      <c r="S213" s="1530">
        <f t="shared" si="28"/>
        <v>0</v>
      </c>
      <c r="U213" s="1532">
        <f t="shared" si="29"/>
        <v>0</v>
      </c>
    </row>
    <row r="214" spans="3:21" ht="18" customHeight="1">
      <c r="C214" s="1359">
        <v>1</v>
      </c>
      <c r="D214" s="1527" t="s">
        <v>1074</v>
      </c>
      <c r="E214" s="1501" t="s">
        <v>1381</v>
      </c>
      <c r="F214" s="1528" t="s">
        <v>1434</v>
      </c>
      <c r="G214" s="1501" t="s">
        <v>1378</v>
      </c>
      <c r="H214" s="1825">
        <v>63853034</v>
      </c>
      <c r="I214" s="1826">
        <v>0</v>
      </c>
      <c r="J214" s="1826">
        <v>0</v>
      </c>
      <c r="K214" s="1826">
        <v>0</v>
      </c>
      <c r="L214" s="1530">
        <f t="shared" si="27"/>
        <v>63853034</v>
      </c>
      <c r="N214" s="1531">
        <f>SUMIF('CF.2'!$H$5:$H$25,'CF.1'!E214,'CF.2'!$J$5:$J$25)-SUMIF('CF.2'!$K$5:$K$25,'CF.1'!E214,'CF.2'!$M$5:$M$25)</f>
        <v>0</v>
      </c>
      <c r="O214" s="1529">
        <f>SUMIF('CF.2'!$H$31:$H$60,'CF.1'!E214,'CF.2'!$J$31:$J$60)+SUMIF('CF.2'!$K$31:$K$60,'CF.1'!E214,'CF.2'!$M$31:$M$60)</f>
        <v>0</v>
      </c>
      <c r="P214" s="1529">
        <f>SUMIF('CF.2'!$H$65:$H$108,'CF.1'!E214,'CF.2'!$J$65:$J$108)+SUMIF('CF.2'!$K$65:$K$108,'CF.1'!E214,'CF.2'!$M$65:$M$108)</f>
        <v>0</v>
      </c>
      <c r="Q214" s="1529">
        <f>SUMIF('CF.2'!$H$112:$H$118,'CF.1'!E214,'CF.2'!$J$112:$J$118)+SUMIF('CF.2'!$K$112:$K$118,'CF.1'!E214,'CF.2'!$M$112:$M$118)</f>
        <v>0</v>
      </c>
      <c r="R214" s="1529">
        <f>SUMIF('CF.2'!$H$123:$H$134,'CF.1'!E214,'CF.2'!$J$123:$J$134)+SUMIF('CF.2'!$K$123:$K$134,'CF.1'!E214,'CF.2'!$M$123:$M$134)</f>
        <v>-216671</v>
      </c>
      <c r="S214" s="1530">
        <f t="shared" si="28"/>
        <v>-216671</v>
      </c>
      <c r="U214" s="1532">
        <f t="shared" si="29"/>
        <v>63636363</v>
      </c>
    </row>
    <row r="215" spans="3:21" ht="18" customHeight="1">
      <c r="C215" s="1359">
        <v>1</v>
      </c>
      <c r="D215" s="1527" t="s">
        <v>1074</v>
      </c>
      <c r="E215" s="1501" t="s">
        <v>1382</v>
      </c>
      <c r="F215" s="1528" t="s">
        <v>1434</v>
      </c>
      <c r="G215" s="1501" t="s">
        <v>1379</v>
      </c>
      <c r="H215" s="1825">
        <v>0</v>
      </c>
      <c r="I215" s="1826">
        <v>0</v>
      </c>
      <c r="J215" s="1826">
        <v>0</v>
      </c>
      <c r="K215" s="1826">
        <v>0</v>
      </c>
      <c r="L215" s="1530">
        <f t="shared" si="27"/>
        <v>0</v>
      </c>
      <c r="N215" s="1531">
        <f>SUMIF('CF.2'!$H$5:$H$25,'CF.1'!E215,'CF.2'!$J$5:$J$25)-SUMIF('CF.2'!$K$5:$K$25,'CF.1'!E215,'CF.2'!$M$5:$M$25)</f>
        <v>0</v>
      </c>
      <c r="O215" s="1529">
        <f>SUMIF('CF.2'!$H$31:$H$60,'CF.1'!E215,'CF.2'!$J$31:$J$60)+SUMIF('CF.2'!$K$31:$K$60,'CF.1'!E215,'CF.2'!$M$31:$M$60)</f>
        <v>0</v>
      </c>
      <c r="P215" s="1529">
        <f>SUMIF('CF.2'!$H$65:$H$108,'CF.1'!E215,'CF.2'!$J$65:$J$108)+SUMIF('CF.2'!$K$65:$K$108,'CF.1'!E215,'CF.2'!$M$65:$M$108)</f>
        <v>0</v>
      </c>
      <c r="Q215" s="1529">
        <f>SUMIF('CF.2'!$H$112:$H$118,'CF.1'!E215,'CF.2'!$J$112:$J$118)+SUMIF('CF.2'!$K$112:$K$118,'CF.1'!E215,'CF.2'!$M$112:$M$118)</f>
        <v>0</v>
      </c>
      <c r="R215" s="1529">
        <f>SUMIF('CF.2'!$H$123:$H$134,'CF.1'!E215,'CF.2'!$J$123:$J$134)+SUMIF('CF.2'!$K$123:$K$134,'CF.1'!E215,'CF.2'!$M$123:$M$134)</f>
        <v>0</v>
      </c>
      <c r="S215" s="1530">
        <f t="shared" si="28"/>
        <v>0</v>
      </c>
      <c r="U215" s="1532">
        <f t="shared" si="29"/>
        <v>0</v>
      </c>
    </row>
    <row r="216" spans="3:21" ht="18" customHeight="1">
      <c r="C216" s="1359">
        <v>1</v>
      </c>
      <c r="D216" s="1527" t="s">
        <v>1075</v>
      </c>
      <c r="E216" s="1501" t="s">
        <v>1075</v>
      </c>
      <c r="F216" s="1528"/>
      <c r="G216" s="1501" t="s">
        <v>1076</v>
      </c>
      <c r="H216" s="1825">
        <v>0</v>
      </c>
      <c r="I216" s="1826">
        <v>0</v>
      </c>
      <c r="J216" s="1826">
        <v>0</v>
      </c>
      <c r="K216" s="1826">
        <v>0</v>
      </c>
      <c r="L216" s="1530">
        <f t="shared" si="27"/>
        <v>0</v>
      </c>
      <c r="N216" s="1531">
        <f>SUMIF('CF.2'!$H$5:$H$25,'CF.1'!E216,'CF.2'!$J$5:$J$25)-SUMIF('CF.2'!$K$5:$K$25,'CF.1'!E216,'CF.2'!$M$5:$M$25)</f>
        <v>0</v>
      </c>
      <c r="O216" s="1529">
        <f>SUMIF('CF.2'!$H$31:$H$60,'CF.1'!E216,'CF.2'!$J$31:$J$60)+SUMIF('CF.2'!$K$31:$K$60,'CF.1'!E216,'CF.2'!$M$31:$M$60)</f>
        <v>0</v>
      </c>
      <c r="P216" s="1529">
        <f>SUMIF('CF.2'!$H$65:$H$108,'CF.1'!E216,'CF.2'!$J$65:$J$108)+SUMIF('CF.2'!$K$65:$K$108,'CF.1'!E216,'CF.2'!$M$65:$M$108)</f>
        <v>0</v>
      </c>
      <c r="Q216" s="1529">
        <f>SUMIF('CF.2'!$H$112:$H$118,'CF.1'!E216,'CF.2'!$J$112:$J$118)+SUMIF('CF.2'!$K$112:$K$118,'CF.1'!E216,'CF.2'!$M$112:$M$118)</f>
        <v>0</v>
      </c>
      <c r="R216" s="1529">
        <f>SUMIF('CF.2'!$H$123:$H$134,'CF.1'!E216,'CF.2'!$J$123:$J$134)+SUMIF('CF.2'!$K$123:$K$134,'CF.1'!E216,'CF.2'!$M$123:$M$134)</f>
        <v>0</v>
      </c>
      <c r="S216" s="1530">
        <f t="shared" si="28"/>
        <v>0</v>
      </c>
      <c r="U216" s="1532">
        <f t="shared" si="29"/>
        <v>0</v>
      </c>
    </row>
    <row r="217" spans="3:21" ht="18" customHeight="1">
      <c r="C217" s="1359">
        <v>1</v>
      </c>
      <c r="D217" s="1527" t="s">
        <v>1077</v>
      </c>
      <c r="E217" s="1501" t="s">
        <v>1077</v>
      </c>
      <c r="F217" s="1528"/>
      <c r="G217" s="1501" t="s">
        <v>1078</v>
      </c>
      <c r="H217" s="1825">
        <v>0</v>
      </c>
      <c r="I217" s="1826">
        <v>0</v>
      </c>
      <c r="J217" s="1826">
        <v>0</v>
      </c>
      <c r="K217" s="1826">
        <v>0</v>
      </c>
      <c r="L217" s="1530">
        <f t="shared" ref="L217:L241" si="30">SUM(H217:K217)</f>
        <v>0</v>
      </c>
      <c r="N217" s="1531">
        <f>SUMIF('CF.2'!$H$5:$H$25,'CF.1'!E217,'CF.2'!$J$5:$J$25)-SUMIF('CF.2'!$K$5:$K$25,'CF.1'!E217,'CF.2'!$M$5:$M$25)</f>
        <v>0</v>
      </c>
      <c r="O217" s="1529">
        <f>SUMIF('CF.2'!$H$31:$H$60,'CF.1'!E217,'CF.2'!$J$31:$J$60)+SUMIF('CF.2'!$K$31:$K$60,'CF.1'!E217,'CF.2'!$M$31:$M$60)</f>
        <v>0</v>
      </c>
      <c r="P217" s="1529">
        <f>SUMIF('CF.2'!$H$65:$H$108,'CF.1'!E217,'CF.2'!$J$65:$J$108)+SUMIF('CF.2'!$K$65:$K$108,'CF.1'!E217,'CF.2'!$M$65:$M$108)</f>
        <v>0</v>
      </c>
      <c r="Q217" s="1529">
        <f>SUMIF('CF.2'!$H$112:$H$118,'CF.1'!E217,'CF.2'!$J$112:$J$118)+SUMIF('CF.2'!$K$112:$K$118,'CF.1'!E217,'CF.2'!$M$112:$M$118)</f>
        <v>0</v>
      </c>
      <c r="R217" s="1529">
        <f>SUMIF('CF.2'!$H$123:$H$134,'CF.1'!E217,'CF.2'!$J$123:$J$134)+SUMIF('CF.2'!$K$123:$K$134,'CF.1'!E217,'CF.2'!$M$123:$M$134)</f>
        <v>0</v>
      </c>
      <c r="S217" s="1530">
        <f t="shared" ref="S217:S241" si="31">SUM(N217:R217)</f>
        <v>0</v>
      </c>
      <c r="U217" s="1532">
        <f t="shared" ref="U217:U241" si="32">ROUND(S217+L217,0)</f>
        <v>0</v>
      </c>
    </row>
    <row r="218" spans="3:21" ht="18" customHeight="1">
      <c r="C218" s="1359">
        <v>1</v>
      </c>
      <c r="D218" s="1527" t="s">
        <v>1079</v>
      </c>
      <c r="E218" s="1501" t="s">
        <v>1079</v>
      </c>
      <c r="F218" s="1528"/>
      <c r="G218" s="1501" t="s">
        <v>1080</v>
      </c>
      <c r="H218" s="1825">
        <v>0</v>
      </c>
      <c r="I218" s="1826">
        <v>0</v>
      </c>
      <c r="J218" s="1826">
        <v>0</v>
      </c>
      <c r="K218" s="1826">
        <v>0</v>
      </c>
      <c r="L218" s="1530">
        <f t="shared" si="30"/>
        <v>0</v>
      </c>
      <c r="N218" s="1531">
        <f>SUMIF('CF.2'!$H$5:$H$25,'CF.1'!E218,'CF.2'!$J$5:$J$25)-SUMIF('CF.2'!$K$5:$K$25,'CF.1'!E218,'CF.2'!$M$5:$M$25)</f>
        <v>0</v>
      </c>
      <c r="O218" s="1529">
        <f>SUMIF('CF.2'!$H$31:$H$60,'CF.1'!E218,'CF.2'!$J$31:$J$60)+SUMIF('CF.2'!$K$31:$K$60,'CF.1'!E218,'CF.2'!$M$31:$M$60)</f>
        <v>0</v>
      </c>
      <c r="P218" s="1529">
        <f>SUMIF('CF.2'!$H$65:$H$108,'CF.1'!E218,'CF.2'!$J$65:$J$108)+SUMIF('CF.2'!$K$65:$K$108,'CF.1'!E218,'CF.2'!$M$65:$M$108)</f>
        <v>0</v>
      </c>
      <c r="Q218" s="1529">
        <f>SUMIF('CF.2'!$H$112:$H$118,'CF.1'!E218,'CF.2'!$J$112:$J$118)+SUMIF('CF.2'!$K$112:$K$118,'CF.1'!E218,'CF.2'!$M$112:$M$118)</f>
        <v>0</v>
      </c>
      <c r="R218" s="1529">
        <f>SUMIF('CF.2'!$H$123:$H$134,'CF.1'!E218,'CF.2'!$J$123:$J$134)+SUMIF('CF.2'!$K$123:$K$134,'CF.1'!E218,'CF.2'!$M$123:$M$134)</f>
        <v>0</v>
      </c>
      <c r="S218" s="1530">
        <f t="shared" si="31"/>
        <v>0</v>
      </c>
      <c r="U218" s="1532">
        <f t="shared" si="32"/>
        <v>0</v>
      </c>
    </row>
    <row r="219" spans="3:21" ht="18" customHeight="1">
      <c r="C219" s="1359">
        <v>1</v>
      </c>
      <c r="D219" s="1527" t="s">
        <v>1081</v>
      </c>
      <c r="E219" s="1501" t="s">
        <v>1081</v>
      </c>
      <c r="F219" s="1528" t="s">
        <v>1434</v>
      </c>
      <c r="G219" s="1501" t="s">
        <v>1082</v>
      </c>
      <c r="H219" s="1825">
        <v>0</v>
      </c>
      <c r="I219" s="1826">
        <v>0</v>
      </c>
      <c r="J219" s="1826">
        <v>0</v>
      </c>
      <c r="K219" s="1826">
        <v>0</v>
      </c>
      <c r="L219" s="1530">
        <f t="shared" si="30"/>
        <v>0</v>
      </c>
      <c r="N219" s="1531">
        <f>SUMIF('CF.2'!$H$5:$H$25,'CF.1'!E219,'CF.2'!$J$5:$J$25)-SUMIF('CF.2'!$K$5:$K$25,'CF.1'!E219,'CF.2'!$M$5:$M$25)</f>
        <v>0</v>
      </c>
      <c r="O219" s="1529">
        <f>SUMIF('CF.2'!$H$31:$H$60,'CF.1'!E219,'CF.2'!$J$31:$J$60)+SUMIF('CF.2'!$K$31:$K$60,'CF.1'!E219,'CF.2'!$M$31:$M$60)</f>
        <v>0</v>
      </c>
      <c r="P219" s="1529">
        <f>SUMIF('CF.2'!$H$65:$H$108,'CF.1'!E219,'CF.2'!$J$65:$J$108)+SUMIF('CF.2'!$K$65:$K$108,'CF.1'!E219,'CF.2'!$M$65:$M$108)</f>
        <v>0</v>
      </c>
      <c r="Q219" s="1529">
        <f>SUMIF('CF.2'!$H$112:$H$118,'CF.1'!E219,'CF.2'!$J$112:$J$118)+SUMIF('CF.2'!$K$112:$K$118,'CF.1'!E219,'CF.2'!$M$112:$M$118)</f>
        <v>0</v>
      </c>
      <c r="R219" s="1529">
        <f>SUMIF('CF.2'!$H$123:$H$134,'CF.1'!E219,'CF.2'!$J$123:$J$134)+SUMIF('CF.2'!$K$123:$K$134,'CF.1'!E219,'CF.2'!$M$123:$M$134)</f>
        <v>0</v>
      </c>
      <c r="S219" s="1530">
        <f t="shared" si="31"/>
        <v>0</v>
      </c>
      <c r="U219" s="1532">
        <f t="shared" si="32"/>
        <v>0</v>
      </c>
    </row>
    <row r="220" spans="3:21" ht="18" customHeight="1">
      <c r="C220" s="1359">
        <v>1</v>
      </c>
      <c r="D220" s="1527" t="s">
        <v>1083</v>
      </c>
      <c r="E220" s="1501" t="s">
        <v>1083</v>
      </c>
      <c r="F220" s="1528"/>
      <c r="G220" s="1501" t="s">
        <v>1084</v>
      </c>
      <c r="H220" s="1825">
        <v>0</v>
      </c>
      <c r="I220" s="1826">
        <v>0</v>
      </c>
      <c r="J220" s="1826">
        <v>0</v>
      </c>
      <c r="K220" s="1826">
        <v>0</v>
      </c>
      <c r="L220" s="1530">
        <f t="shared" si="30"/>
        <v>0</v>
      </c>
      <c r="N220" s="1531">
        <f>SUMIF('CF.2'!$H$5:$H$25,'CF.1'!E220,'CF.2'!$J$5:$J$25)-SUMIF('CF.2'!$K$5:$K$25,'CF.1'!E220,'CF.2'!$M$5:$M$25)</f>
        <v>0</v>
      </c>
      <c r="O220" s="1529">
        <f>SUMIF('CF.2'!$H$31:$H$60,'CF.1'!E220,'CF.2'!$J$31:$J$60)+SUMIF('CF.2'!$K$31:$K$60,'CF.1'!E220,'CF.2'!$M$31:$M$60)</f>
        <v>0</v>
      </c>
      <c r="P220" s="1529">
        <f>SUMIF('CF.2'!$H$65:$H$108,'CF.1'!E220,'CF.2'!$J$65:$J$108)+SUMIF('CF.2'!$K$65:$K$108,'CF.1'!E220,'CF.2'!$M$65:$M$108)</f>
        <v>0</v>
      </c>
      <c r="Q220" s="1529">
        <f>SUMIF('CF.2'!$H$112:$H$118,'CF.1'!E220,'CF.2'!$J$112:$J$118)+SUMIF('CF.2'!$K$112:$K$118,'CF.1'!E220,'CF.2'!$M$112:$M$118)</f>
        <v>0</v>
      </c>
      <c r="R220" s="1529">
        <f>SUMIF('CF.2'!$H$123:$H$134,'CF.1'!E220,'CF.2'!$J$123:$J$134)+SUMIF('CF.2'!$K$123:$K$134,'CF.1'!E220,'CF.2'!$M$123:$M$134)</f>
        <v>0</v>
      </c>
      <c r="S220" s="1530">
        <f t="shared" si="31"/>
        <v>0</v>
      </c>
      <c r="U220" s="1532">
        <f t="shared" si="32"/>
        <v>0</v>
      </c>
    </row>
    <row r="221" spans="3:21" ht="18" customHeight="1">
      <c r="C221" s="1359">
        <v>1</v>
      </c>
      <c r="D221" s="1527" t="s">
        <v>1085</v>
      </c>
      <c r="E221" s="1501" t="s">
        <v>1085</v>
      </c>
      <c r="F221" s="1528"/>
      <c r="G221" s="1501" t="s">
        <v>1086</v>
      </c>
      <c r="H221" s="1825">
        <v>0</v>
      </c>
      <c r="I221" s="1826">
        <v>0</v>
      </c>
      <c r="J221" s="1826">
        <v>0</v>
      </c>
      <c r="K221" s="1826">
        <v>0</v>
      </c>
      <c r="L221" s="1530">
        <f t="shared" si="30"/>
        <v>0</v>
      </c>
      <c r="N221" s="1531">
        <f>SUMIF('CF.2'!$H$5:$H$25,'CF.1'!E221,'CF.2'!$J$5:$J$25)-SUMIF('CF.2'!$K$5:$K$25,'CF.1'!E221,'CF.2'!$M$5:$M$25)</f>
        <v>0</v>
      </c>
      <c r="O221" s="1529">
        <f>SUMIF('CF.2'!$H$31:$H$60,'CF.1'!E221,'CF.2'!$J$31:$J$60)+SUMIF('CF.2'!$K$31:$K$60,'CF.1'!E221,'CF.2'!$M$31:$M$60)</f>
        <v>0</v>
      </c>
      <c r="P221" s="1529">
        <f>SUMIF('CF.2'!$H$65:$H$108,'CF.1'!E221,'CF.2'!$J$65:$J$108)+SUMIF('CF.2'!$K$65:$K$108,'CF.1'!E221,'CF.2'!$M$65:$M$108)</f>
        <v>0</v>
      </c>
      <c r="Q221" s="1529">
        <f>SUMIF('CF.2'!$H$112:$H$118,'CF.1'!E221,'CF.2'!$J$112:$J$118)+SUMIF('CF.2'!$K$112:$K$118,'CF.1'!E221,'CF.2'!$M$112:$M$118)</f>
        <v>0</v>
      </c>
      <c r="R221" s="1529">
        <f>SUMIF('CF.2'!$H$123:$H$134,'CF.1'!E221,'CF.2'!$J$123:$J$134)+SUMIF('CF.2'!$K$123:$K$134,'CF.1'!E221,'CF.2'!$M$123:$M$134)</f>
        <v>0</v>
      </c>
      <c r="S221" s="1530">
        <f t="shared" si="31"/>
        <v>0</v>
      </c>
      <c r="U221" s="1532">
        <f t="shared" si="32"/>
        <v>0</v>
      </c>
    </row>
    <row r="222" spans="3:21" ht="18" customHeight="1">
      <c r="C222" s="1359">
        <v>1</v>
      </c>
      <c r="D222" s="1527" t="s">
        <v>1087</v>
      </c>
      <c r="E222" s="1501" t="s">
        <v>1087</v>
      </c>
      <c r="F222" s="1528" t="s">
        <v>1435</v>
      </c>
      <c r="G222" s="1501" t="s">
        <v>1088</v>
      </c>
      <c r="H222" s="1825">
        <v>0</v>
      </c>
      <c r="I222" s="1826">
        <v>0</v>
      </c>
      <c r="J222" s="1826">
        <v>0</v>
      </c>
      <c r="K222" s="1826">
        <v>0</v>
      </c>
      <c r="L222" s="1530">
        <f t="shared" si="30"/>
        <v>0</v>
      </c>
      <c r="N222" s="1531">
        <f>SUMIF('CF.2'!$H$5:$H$25,'CF.1'!E222,'CF.2'!$J$5:$J$25)-SUMIF('CF.2'!$K$5:$K$25,'CF.1'!E222,'CF.2'!$M$5:$M$25)</f>
        <v>0</v>
      </c>
      <c r="O222" s="1529">
        <f>SUMIF('CF.2'!$H$31:$H$60,'CF.1'!E222,'CF.2'!$J$31:$J$60)+SUMIF('CF.2'!$K$31:$K$60,'CF.1'!E222,'CF.2'!$M$31:$M$60)</f>
        <v>0</v>
      </c>
      <c r="P222" s="1529">
        <f>SUMIF('CF.2'!$H$65:$H$108,'CF.1'!E222,'CF.2'!$J$65:$J$108)+SUMIF('CF.2'!$K$65:$K$108,'CF.1'!E222,'CF.2'!$M$65:$M$108)</f>
        <v>0</v>
      </c>
      <c r="Q222" s="1529">
        <f>SUMIF('CF.2'!$H$112:$H$118,'CF.1'!E222,'CF.2'!$J$112:$J$118)+SUMIF('CF.2'!$K$112:$K$118,'CF.1'!E222,'CF.2'!$M$112:$M$118)</f>
        <v>0</v>
      </c>
      <c r="R222" s="1529">
        <f>SUMIF('CF.2'!$H$123:$H$134,'CF.1'!E222,'CF.2'!$J$123:$J$134)+SUMIF('CF.2'!$K$123:$K$134,'CF.1'!E222,'CF.2'!$M$123:$M$134)</f>
        <v>0</v>
      </c>
      <c r="S222" s="1530">
        <f t="shared" si="31"/>
        <v>0</v>
      </c>
      <c r="U222" s="1532">
        <f t="shared" si="32"/>
        <v>0</v>
      </c>
    </row>
    <row r="223" spans="3:21" ht="18" customHeight="1">
      <c r="C223" s="1359">
        <v>1</v>
      </c>
      <c r="D223" s="1527" t="s">
        <v>1089</v>
      </c>
      <c r="E223" s="1501" t="s">
        <v>1089</v>
      </c>
      <c r="F223" s="1528"/>
      <c r="G223" s="1501" t="s">
        <v>1090</v>
      </c>
      <c r="H223" s="1825">
        <v>0</v>
      </c>
      <c r="I223" s="1826">
        <v>0</v>
      </c>
      <c r="J223" s="1826">
        <v>0</v>
      </c>
      <c r="K223" s="1826">
        <v>0</v>
      </c>
      <c r="L223" s="1530">
        <f t="shared" si="30"/>
        <v>0</v>
      </c>
      <c r="N223" s="1531">
        <f>SUMIF('CF.2'!$H$5:$H$25,'CF.1'!E223,'CF.2'!$J$5:$J$25)-SUMIF('CF.2'!$K$5:$K$25,'CF.1'!E223,'CF.2'!$M$5:$M$25)</f>
        <v>0</v>
      </c>
      <c r="O223" s="1529">
        <f>SUMIF('CF.2'!$H$31:$H$60,'CF.1'!E223,'CF.2'!$J$31:$J$60)+SUMIF('CF.2'!$K$31:$K$60,'CF.1'!E223,'CF.2'!$M$31:$M$60)</f>
        <v>0</v>
      </c>
      <c r="P223" s="1529">
        <f>SUMIF('CF.2'!$H$65:$H$108,'CF.1'!E223,'CF.2'!$J$65:$J$108)+SUMIF('CF.2'!$K$65:$K$108,'CF.1'!E223,'CF.2'!$M$65:$M$108)</f>
        <v>0</v>
      </c>
      <c r="Q223" s="1529">
        <f>SUMIF('CF.2'!$H$112:$H$118,'CF.1'!E223,'CF.2'!$J$112:$J$118)+SUMIF('CF.2'!$K$112:$K$118,'CF.1'!E223,'CF.2'!$M$112:$M$118)</f>
        <v>0</v>
      </c>
      <c r="R223" s="1529">
        <f>SUMIF('CF.2'!$H$123:$H$134,'CF.1'!E223,'CF.2'!$J$123:$J$134)+SUMIF('CF.2'!$K$123:$K$134,'CF.1'!E223,'CF.2'!$M$123:$M$134)</f>
        <v>0</v>
      </c>
      <c r="S223" s="1530">
        <f t="shared" si="31"/>
        <v>0</v>
      </c>
      <c r="U223" s="1532">
        <f t="shared" si="32"/>
        <v>0</v>
      </c>
    </row>
    <row r="224" spans="3:21" ht="18" customHeight="1">
      <c r="C224" s="1359">
        <v>1</v>
      </c>
      <c r="D224" s="1527" t="s">
        <v>1091</v>
      </c>
      <c r="E224" s="1501" t="s">
        <v>1091</v>
      </c>
      <c r="F224" s="1528"/>
      <c r="G224" s="1501" t="s">
        <v>1092</v>
      </c>
      <c r="H224" s="1825">
        <v>0</v>
      </c>
      <c r="I224" s="1826">
        <v>0</v>
      </c>
      <c r="J224" s="1826">
        <v>0</v>
      </c>
      <c r="K224" s="1826">
        <v>0</v>
      </c>
      <c r="L224" s="1530">
        <f t="shared" si="30"/>
        <v>0</v>
      </c>
      <c r="N224" s="1531">
        <f>SUMIF('CF.2'!$H$5:$H$25,'CF.1'!E224,'CF.2'!$J$5:$J$25)-SUMIF('CF.2'!$K$5:$K$25,'CF.1'!E224,'CF.2'!$M$5:$M$25)</f>
        <v>0</v>
      </c>
      <c r="O224" s="1529">
        <f>SUMIF('CF.2'!$H$31:$H$60,'CF.1'!E224,'CF.2'!$J$31:$J$60)+SUMIF('CF.2'!$K$31:$K$60,'CF.1'!E224,'CF.2'!$M$31:$M$60)</f>
        <v>0</v>
      </c>
      <c r="P224" s="1529">
        <f>SUMIF('CF.2'!$H$65:$H$108,'CF.1'!E224,'CF.2'!$J$65:$J$108)+SUMIF('CF.2'!$K$65:$K$108,'CF.1'!E224,'CF.2'!$M$65:$M$108)</f>
        <v>0</v>
      </c>
      <c r="Q224" s="1529">
        <f>SUMIF('CF.2'!$H$112:$H$118,'CF.1'!E224,'CF.2'!$J$112:$J$118)+SUMIF('CF.2'!$K$112:$K$118,'CF.1'!E224,'CF.2'!$M$112:$M$118)</f>
        <v>0</v>
      </c>
      <c r="R224" s="1529">
        <f>SUMIF('CF.2'!$H$123:$H$134,'CF.1'!E224,'CF.2'!$J$123:$J$134)+SUMIF('CF.2'!$K$123:$K$134,'CF.1'!E224,'CF.2'!$M$123:$M$134)</f>
        <v>0</v>
      </c>
      <c r="S224" s="1530">
        <f t="shared" si="31"/>
        <v>0</v>
      </c>
      <c r="U224" s="1532">
        <f t="shared" si="32"/>
        <v>0</v>
      </c>
    </row>
    <row r="225" spans="3:21" ht="18" customHeight="1">
      <c r="C225" s="1359">
        <v>1</v>
      </c>
      <c r="D225" s="1527" t="s">
        <v>1093</v>
      </c>
      <c r="E225" s="1501" t="s">
        <v>1093</v>
      </c>
      <c r="F225" s="1528"/>
      <c r="G225" s="1501" t="s">
        <v>1094</v>
      </c>
      <c r="H225" s="1825">
        <v>0</v>
      </c>
      <c r="I225" s="1826">
        <v>0</v>
      </c>
      <c r="J225" s="1826">
        <v>0</v>
      </c>
      <c r="K225" s="1826">
        <v>0</v>
      </c>
      <c r="L225" s="1530">
        <f t="shared" si="30"/>
        <v>0</v>
      </c>
      <c r="N225" s="1531">
        <f>SUMIF('CF.2'!$H$5:$H$25,'CF.1'!E225,'CF.2'!$J$5:$J$25)-SUMIF('CF.2'!$K$5:$K$25,'CF.1'!E225,'CF.2'!$M$5:$M$25)</f>
        <v>0</v>
      </c>
      <c r="O225" s="1529">
        <f>SUMIF('CF.2'!$H$31:$H$60,'CF.1'!E225,'CF.2'!$J$31:$J$60)+SUMIF('CF.2'!$K$31:$K$60,'CF.1'!E225,'CF.2'!$M$31:$M$60)</f>
        <v>0</v>
      </c>
      <c r="P225" s="1529">
        <f>SUMIF('CF.2'!$H$65:$H$108,'CF.1'!E225,'CF.2'!$J$65:$J$108)+SUMIF('CF.2'!$K$65:$K$108,'CF.1'!E225,'CF.2'!$M$65:$M$108)</f>
        <v>0</v>
      </c>
      <c r="Q225" s="1529">
        <f>SUMIF('CF.2'!$H$112:$H$118,'CF.1'!E225,'CF.2'!$J$112:$J$118)+SUMIF('CF.2'!$K$112:$K$118,'CF.1'!E225,'CF.2'!$M$112:$M$118)</f>
        <v>0</v>
      </c>
      <c r="R225" s="1529">
        <f>SUMIF('CF.2'!$H$123:$H$134,'CF.1'!E225,'CF.2'!$J$123:$J$134)+SUMIF('CF.2'!$K$123:$K$134,'CF.1'!E225,'CF.2'!$M$123:$M$134)</f>
        <v>0</v>
      </c>
      <c r="S225" s="1530">
        <f t="shared" si="31"/>
        <v>0</v>
      </c>
      <c r="U225" s="1532">
        <f t="shared" si="32"/>
        <v>0</v>
      </c>
    </row>
    <row r="226" spans="3:21" ht="18" customHeight="1">
      <c r="C226" s="1359">
        <v>1</v>
      </c>
      <c r="D226" s="1527" t="s">
        <v>1095</v>
      </c>
      <c r="E226" s="1501" t="s">
        <v>1384</v>
      </c>
      <c r="F226" s="1528"/>
      <c r="G226" s="1501" t="s">
        <v>1383</v>
      </c>
      <c r="H226" s="1825">
        <v>0</v>
      </c>
      <c r="I226" s="1826">
        <v>0</v>
      </c>
      <c r="J226" s="1826">
        <v>0</v>
      </c>
      <c r="K226" s="1826">
        <v>0</v>
      </c>
      <c r="L226" s="1530">
        <f t="shared" si="30"/>
        <v>0</v>
      </c>
      <c r="N226" s="1531">
        <f>SUMIF('CF.2'!$H$5:$H$25,'CF.1'!E226,'CF.2'!$J$5:$J$25)-SUMIF('CF.2'!$K$5:$K$25,'CF.1'!E226,'CF.2'!$M$5:$M$25)</f>
        <v>0</v>
      </c>
      <c r="O226" s="1529">
        <f>SUMIF('CF.2'!$H$31:$H$60,'CF.1'!E226,'CF.2'!$J$31:$J$60)+SUMIF('CF.2'!$K$31:$K$60,'CF.1'!E226,'CF.2'!$M$31:$M$60)</f>
        <v>0</v>
      </c>
      <c r="P226" s="1529">
        <f>SUMIF('CF.2'!$H$65:$H$108,'CF.1'!E226,'CF.2'!$J$65:$J$108)+SUMIF('CF.2'!$K$65:$K$108,'CF.1'!E226,'CF.2'!$M$65:$M$108)</f>
        <v>0</v>
      </c>
      <c r="Q226" s="1529">
        <f>SUMIF('CF.2'!$H$112:$H$118,'CF.1'!E226,'CF.2'!$J$112:$J$118)+SUMIF('CF.2'!$K$112:$K$118,'CF.1'!E226,'CF.2'!$M$112:$M$118)</f>
        <v>0</v>
      </c>
      <c r="R226" s="1529">
        <f>SUMIF('CF.2'!$H$123:$H$134,'CF.1'!E226,'CF.2'!$J$123:$J$134)+SUMIF('CF.2'!$K$123:$K$134,'CF.1'!E226,'CF.2'!$M$123:$M$134)</f>
        <v>0</v>
      </c>
      <c r="S226" s="1530">
        <f t="shared" si="31"/>
        <v>0</v>
      </c>
      <c r="U226" s="1532">
        <f t="shared" si="32"/>
        <v>0</v>
      </c>
    </row>
    <row r="227" spans="3:21" ht="18" customHeight="1">
      <c r="C227" s="1359">
        <v>1</v>
      </c>
      <c r="D227" s="1527" t="s">
        <v>1095</v>
      </c>
      <c r="E227" s="1501" t="s">
        <v>1385</v>
      </c>
      <c r="F227" s="1528"/>
      <c r="G227" s="1501" t="s">
        <v>1096</v>
      </c>
      <c r="H227" s="1825">
        <v>0</v>
      </c>
      <c r="I227" s="1826">
        <v>0</v>
      </c>
      <c r="J227" s="1826">
        <v>0</v>
      </c>
      <c r="K227" s="1826">
        <v>0</v>
      </c>
      <c r="L227" s="1530">
        <f t="shared" si="30"/>
        <v>0</v>
      </c>
      <c r="N227" s="1531">
        <f>SUMIF('CF.2'!$H$5:$H$25,'CF.1'!E227,'CF.2'!$J$5:$J$25)-SUMIF('CF.2'!$K$5:$K$25,'CF.1'!E227,'CF.2'!$M$5:$M$25)</f>
        <v>0</v>
      </c>
      <c r="O227" s="1529">
        <f>SUMIF('CF.2'!$H$31:$H$60,'CF.1'!E227,'CF.2'!$J$31:$J$60)+SUMIF('CF.2'!$K$31:$K$60,'CF.1'!E227,'CF.2'!$M$31:$M$60)</f>
        <v>0</v>
      </c>
      <c r="P227" s="1529">
        <f>SUMIF('CF.2'!$H$65:$H$108,'CF.1'!E227,'CF.2'!$J$65:$J$108)+SUMIF('CF.2'!$K$65:$K$108,'CF.1'!E227,'CF.2'!$M$65:$M$108)</f>
        <v>0</v>
      </c>
      <c r="Q227" s="1529">
        <f>SUMIF('CF.2'!$H$112:$H$118,'CF.1'!E227,'CF.2'!$J$112:$J$118)+SUMIF('CF.2'!$K$112:$K$118,'CF.1'!E227,'CF.2'!$M$112:$M$118)</f>
        <v>0</v>
      </c>
      <c r="R227" s="1529">
        <f>SUMIF('CF.2'!$H$123:$H$134,'CF.1'!E227,'CF.2'!$J$123:$J$134)+SUMIF('CF.2'!$K$123:$K$134,'CF.1'!E227,'CF.2'!$M$123:$M$134)</f>
        <v>0</v>
      </c>
      <c r="S227" s="1530">
        <f t="shared" si="31"/>
        <v>0</v>
      </c>
      <c r="U227" s="1532">
        <f t="shared" si="32"/>
        <v>0</v>
      </c>
    </row>
    <row r="228" spans="3:21" ht="18" customHeight="1">
      <c r="C228" s="1359">
        <v>1</v>
      </c>
      <c r="D228" s="1527" t="s">
        <v>1097</v>
      </c>
      <c r="E228" s="1501" t="s">
        <v>1097</v>
      </c>
      <c r="F228" s="1528"/>
      <c r="G228" s="1501" t="s">
        <v>1098</v>
      </c>
      <c r="H228" s="1825">
        <v>0</v>
      </c>
      <c r="I228" s="1826">
        <v>0</v>
      </c>
      <c r="J228" s="1826">
        <v>0</v>
      </c>
      <c r="K228" s="1826">
        <v>0</v>
      </c>
      <c r="L228" s="1530">
        <f t="shared" si="30"/>
        <v>0</v>
      </c>
      <c r="N228" s="1531">
        <f>SUMIF('CF.2'!$H$5:$H$25,'CF.1'!E228,'CF.2'!$J$5:$J$25)-SUMIF('CF.2'!$K$5:$K$25,'CF.1'!E228,'CF.2'!$M$5:$M$25)</f>
        <v>0</v>
      </c>
      <c r="O228" s="1529">
        <f>SUMIF('CF.2'!$H$31:$H$60,'CF.1'!E228,'CF.2'!$J$31:$J$60)+SUMIF('CF.2'!$K$31:$K$60,'CF.1'!E228,'CF.2'!$M$31:$M$60)</f>
        <v>0</v>
      </c>
      <c r="P228" s="1529">
        <f>SUMIF('CF.2'!$H$65:$H$108,'CF.1'!E228,'CF.2'!$J$65:$J$108)+SUMIF('CF.2'!$K$65:$K$108,'CF.1'!E228,'CF.2'!$M$65:$M$108)</f>
        <v>0</v>
      </c>
      <c r="Q228" s="1529">
        <f>SUMIF('CF.2'!$H$112:$H$118,'CF.1'!E228,'CF.2'!$J$112:$J$118)+SUMIF('CF.2'!$K$112:$K$118,'CF.1'!E228,'CF.2'!$M$112:$M$118)</f>
        <v>0</v>
      </c>
      <c r="R228" s="1529">
        <f>SUMIF('CF.2'!$H$123:$H$134,'CF.1'!E228,'CF.2'!$J$123:$J$134)+SUMIF('CF.2'!$K$123:$K$134,'CF.1'!E228,'CF.2'!$M$123:$M$134)</f>
        <v>0</v>
      </c>
      <c r="S228" s="1530">
        <f t="shared" si="31"/>
        <v>0</v>
      </c>
      <c r="U228" s="1532">
        <f t="shared" si="32"/>
        <v>0</v>
      </c>
    </row>
    <row r="229" spans="3:21" ht="18" customHeight="1">
      <c r="C229" s="1359">
        <v>1</v>
      </c>
      <c r="D229" s="1527" t="s">
        <v>1099</v>
      </c>
      <c r="E229" s="1501" t="s">
        <v>1099</v>
      </c>
      <c r="F229" s="1528"/>
      <c r="G229" s="1501" t="s">
        <v>1100</v>
      </c>
      <c r="H229" s="1825">
        <v>0</v>
      </c>
      <c r="I229" s="1826">
        <v>0</v>
      </c>
      <c r="J229" s="1826">
        <v>0</v>
      </c>
      <c r="K229" s="1826">
        <v>0</v>
      </c>
      <c r="L229" s="1530">
        <f t="shared" si="30"/>
        <v>0</v>
      </c>
      <c r="N229" s="1531">
        <f>SUMIF('CF.2'!$H$5:$H$25,'CF.1'!E229,'CF.2'!$J$5:$J$25)-SUMIF('CF.2'!$K$5:$K$25,'CF.1'!E229,'CF.2'!$M$5:$M$25)</f>
        <v>0</v>
      </c>
      <c r="O229" s="1529">
        <f>SUMIF('CF.2'!$H$31:$H$60,'CF.1'!E229,'CF.2'!$J$31:$J$60)+SUMIF('CF.2'!$K$31:$K$60,'CF.1'!E229,'CF.2'!$M$31:$M$60)</f>
        <v>0</v>
      </c>
      <c r="P229" s="1529">
        <f>SUMIF('CF.2'!$H$65:$H$108,'CF.1'!E229,'CF.2'!$J$65:$J$108)+SUMIF('CF.2'!$K$65:$K$108,'CF.1'!E229,'CF.2'!$M$65:$M$108)</f>
        <v>0</v>
      </c>
      <c r="Q229" s="1529">
        <f>SUMIF('CF.2'!$H$112:$H$118,'CF.1'!E229,'CF.2'!$J$112:$J$118)+SUMIF('CF.2'!$K$112:$K$118,'CF.1'!E229,'CF.2'!$M$112:$M$118)</f>
        <v>0</v>
      </c>
      <c r="R229" s="1529">
        <f>SUMIF('CF.2'!$H$123:$H$134,'CF.1'!E229,'CF.2'!$J$123:$J$134)+SUMIF('CF.2'!$K$123:$K$134,'CF.1'!E229,'CF.2'!$M$123:$M$134)</f>
        <v>0</v>
      </c>
      <c r="S229" s="1530">
        <f t="shared" si="31"/>
        <v>0</v>
      </c>
      <c r="U229" s="1532">
        <f t="shared" si="32"/>
        <v>0</v>
      </c>
    </row>
    <row r="230" spans="3:21" ht="18" customHeight="1">
      <c r="C230" s="1359">
        <v>1</v>
      </c>
      <c r="D230" s="1527" t="s">
        <v>1101</v>
      </c>
      <c r="E230" s="1501" t="s">
        <v>1101</v>
      </c>
      <c r="F230" s="1528"/>
      <c r="G230" s="1501" t="s">
        <v>1102</v>
      </c>
      <c r="H230" s="1825">
        <v>0</v>
      </c>
      <c r="I230" s="1826">
        <v>0</v>
      </c>
      <c r="J230" s="1826">
        <v>0</v>
      </c>
      <c r="K230" s="1826">
        <v>0</v>
      </c>
      <c r="L230" s="1530">
        <f t="shared" si="30"/>
        <v>0</v>
      </c>
      <c r="N230" s="1531">
        <f>SUMIF('CF.2'!$H$5:$H$25,'CF.1'!E230,'CF.2'!$J$5:$J$25)-SUMIF('CF.2'!$K$5:$K$25,'CF.1'!E230,'CF.2'!$M$5:$M$25)</f>
        <v>0</v>
      </c>
      <c r="O230" s="1529">
        <f>SUMIF('CF.2'!$H$31:$H$60,'CF.1'!E230,'CF.2'!$J$31:$J$60)+SUMIF('CF.2'!$K$31:$K$60,'CF.1'!E230,'CF.2'!$M$31:$M$60)</f>
        <v>0</v>
      </c>
      <c r="P230" s="1529">
        <f>SUMIF('CF.2'!$H$65:$H$108,'CF.1'!E230,'CF.2'!$J$65:$J$108)+SUMIF('CF.2'!$K$65:$K$108,'CF.1'!E230,'CF.2'!$M$65:$M$108)</f>
        <v>0</v>
      </c>
      <c r="Q230" s="1529">
        <f>SUMIF('CF.2'!$H$112:$H$118,'CF.1'!E230,'CF.2'!$J$112:$J$118)+SUMIF('CF.2'!$K$112:$K$118,'CF.1'!E230,'CF.2'!$M$112:$M$118)</f>
        <v>0</v>
      </c>
      <c r="R230" s="1529">
        <f>SUMIF('CF.2'!$H$123:$H$134,'CF.1'!E230,'CF.2'!$J$123:$J$134)+SUMIF('CF.2'!$K$123:$K$134,'CF.1'!E230,'CF.2'!$M$123:$M$134)</f>
        <v>0</v>
      </c>
      <c r="S230" s="1530">
        <f t="shared" si="31"/>
        <v>0</v>
      </c>
      <c r="U230" s="1532">
        <f t="shared" si="32"/>
        <v>0</v>
      </c>
    </row>
    <row r="231" spans="3:21" ht="18" customHeight="1">
      <c r="C231" s="1359">
        <v>1</v>
      </c>
      <c r="D231" s="1527" t="s">
        <v>1103</v>
      </c>
      <c r="E231" s="1501" t="s">
        <v>1103</v>
      </c>
      <c r="F231" s="1528"/>
      <c r="G231" s="1501" t="s">
        <v>1104</v>
      </c>
      <c r="H231" s="1825">
        <v>0</v>
      </c>
      <c r="I231" s="1826">
        <v>0</v>
      </c>
      <c r="J231" s="1826">
        <v>0</v>
      </c>
      <c r="K231" s="1826">
        <v>0</v>
      </c>
      <c r="L231" s="1530">
        <f t="shared" si="30"/>
        <v>0</v>
      </c>
      <c r="N231" s="1531">
        <f>SUMIF('CF.2'!$H$5:$H$25,'CF.1'!E231,'CF.2'!$J$5:$J$25)-SUMIF('CF.2'!$K$5:$K$25,'CF.1'!E231,'CF.2'!$M$5:$M$25)</f>
        <v>0</v>
      </c>
      <c r="O231" s="1529">
        <f>SUMIF('CF.2'!$H$31:$H$60,'CF.1'!E231,'CF.2'!$J$31:$J$60)+SUMIF('CF.2'!$K$31:$K$60,'CF.1'!E231,'CF.2'!$M$31:$M$60)</f>
        <v>0</v>
      </c>
      <c r="P231" s="1529">
        <f>SUMIF('CF.2'!$H$65:$H$108,'CF.1'!E231,'CF.2'!$J$65:$J$108)+SUMIF('CF.2'!$K$65:$K$108,'CF.1'!E231,'CF.2'!$M$65:$M$108)</f>
        <v>0</v>
      </c>
      <c r="Q231" s="1529">
        <f>SUMIF('CF.2'!$H$112:$H$118,'CF.1'!E231,'CF.2'!$J$112:$J$118)+SUMIF('CF.2'!$K$112:$K$118,'CF.1'!E231,'CF.2'!$M$112:$M$118)</f>
        <v>0</v>
      </c>
      <c r="R231" s="1529">
        <f>SUMIF('CF.2'!$H$123:$H$134,'CF.1'!E231,'CF.2'!$J$123:$J$134)+SUMIF('CF.2'!$K$123:$K$134,'CF.1'!E231,'CF.2'!$M$123:$M$134)</f>
        <v>0</v>
      </c>
      <c r="S231" s="1530">
        <f t="shared" si="31"/>
        <v>0</v>
      </c>
      <c r="U231" s="1532">
        <f t="shared" si="32"/>
        <v>0</v>
      </c>
    </row>
    <row r="232" spans="3:21" ht="18" customHeight="1">
      <c r="C232" s="1359">
        <v>1</v>
      </c>
      <c r="D232" s="1527" t="s">
        <v>1105</v>
      </c>
      <c r="E232" s="1501" t="s">
        <v>1105</v>
      </c>
      <c r="F232" s="1528"/>
      <c r="G232" s="1501" t="s">
        <v>1106</v>
      </c>
      <c r="H232" s="1825">
        <v>0</v>
      </c>
      <c r="I232" s="1826">
        <v>0</v>
      </c>
      <c r="J232" s="1826">
        <v>0</v>
      </c>
      <c r="K232" s="1826">
        <v>0</v>
      </c>
      <c r="L232" s="1530">
        <f t="shared" si="30"/>
        <v>0</v>
      </c>
      <c r="N232" s="1531">
        <f>SUMIF('CF.2'!$H$5:$H$25,'CF.1'!E232,'CF.2'!$J$5:$J$25)-SUMIF('CF.2'!$K$5:$K$25,'CF.1'!E232,'CF.2'!$M$5:$M$25)</f>
        <v>0</v>
      </c>
      <c r="O232" s="1529">
        <f>SUMIF('CF.2'!$H$31:$H$60,'CF.1'!E232,'CF.2'!$J$31:$J$60)+SUMIF('CF.2'!$K$31:$K$60,'CF.1'!E232,'CF.2'!$M$31:$M$60)</f>
        <v>0</v>
      </c>
      <c r="P232" s="1529">
        <f>SUMIF('CF.2'!$H$65:$H$108,'CF.1'!E232,'CF.2'!$J$65:$J$108)+SUMIF('CF.2'!$K$65:$K$108,'CF.1'!E232,'CF.2'!$M$65:$M$108)</f>
        <v>0</v>
      </c>
      <c r="Q232" s="1529">
        <f>SUMIF('CF.2'!$H$112:$H$118,'CF.1'!E232,'CF.2'!$J$112:$J$118)+SUMIF('CF.2'!$K$112:$K$118,'CF.1'!E232,'CF.2'!$M$112:$M$118)</f>
        <v>0</v>
      </c>
      <c r="R232" s="1529">
        <f>SUMIF('CF.2'!$H$123:$H$134,'CF.1'!E232,'CF.2'!$J$123:$J$134)+SUMIF('CF.2'!$K$123:$K$134,'CF.1'!E232,'CF.2'!$M$123:$M$134)</f>
        <v>0</v>
      </c>
      <c r="S232" s="1530">
        <f t="shared" si="31"/>
        <v>0</v>
      </c>
      <c r="U232" s="1532">
        <f t="shared" si="32"/>
        <v>0</v>
      </c>
    </row>
    <row r="233" spans="3:21" ht="18" customHeight="1">
      <c r="C233" s="1359">
        <v>1</v>
      </c>
      <c r="D233" s="1527" t="s">
        <v>1107</v>
      </c>
      <c r="E233" s="1501" t="s">
        <v>1107</v>
      </c>
      <c r="F233" s="1528"/>
      <c r="G233" s="1501" t="s">
        <v>1108</v>
      </c>
      <c r="H233" s="1825">
        <v>0</v>
      </c>
      <c r="I233" s="1826">
        <v>0</v>
      </c>
      <c r="J233" s="1826">
        <v>0</v>
      </c>
      <c r="K233" s="1826">
        <v>0</v>
      </c>
      <c r="L233" s="1530">
        <f t="shared" si="30"/>
        <v>0</v>
      </c>
      <c r="N233" s="1531">
        <f>SUMIF('CF.2'!$H$5:$H$25,'CF.1'!E233,'CF.2'!$J$5:$J$25)-SUMIF('CF.2'!$K$5:$K$25,'CF.1'!E233,'CF.2'!$M$5:$M$25)</f>
        <v>0</v>
      </c>
      <c r="O233" s="1529">
        <f>SUMIF('CF.2'!$H$31:$H$60,'CF.1'!E233,'CF.2'!$J$31:$J$60)+SUMIF('CF.2'!$K$31:$K$60,'CF.1'!E233,'CF.2'!$M$31:$M$60)</f>
        <v>0</v>
      </c>
      <c r="P233" s="1529">
        <f>SUMIF('CF.2'!$H$65:$H$108,'CF.1'!E233,'CF.2'!$J$65:$J$108)+SUMIF('CF.2'!$K$65:$K$108,'CF.1'!E233,'CF.2'!$M$65:$M$108)</f>
        <v>0</v>
      </c>
      <c r="Q233" s="1529">
        <f>SUMIF('CF.2'!$H$112:$H$118,'CF.1'!E233,'CF.2'!$J$112:$J$118)+SUMIF('CF.2'!$K$112:$K$118,'CF.1'!E233,'CF.2'!$M$112:$M$118)</f>
        <v>0</v>
      </c>
      <c r="R233" s="1529">
        <f>SUMIF('CF.2'!$H$123:$H$134,'CF.1'!E233,'CF.2'!$J$123:$J$134)+SUMIF('CF.2'!$K$123:$K$134,'CF.1'!E233,'CF.2'!$M$123:$M$134)</f>
        <v>0</v>
      </c>
      <c r="S233" s="1530">
        <f t="shared" si="31"/>
        <v>0</v>
      </c>
      <c r="U233" s="1532">
        <f t="shared" si="32"/>
        <v>0</v>
      </c>
    </row>
    <row r="234" spans="3:21" ht="18" customHeight="1">
      <c r="C234" s="1359">
        <v>1</v>
      </c>
      <c r="D234" s="1527" t="s">
        <v>1109</v>
      </c>
      <c r="E234" s="1501" t="s">
        <v>1109</v>
      </c>
      <c r="F234" s="1528"/>
      <c r="G234" s="1501" t="s">
        <v>1110</v>
      </c>
      <c r="H234" s="1825">
        <v>0</v>
      </c>
      <c r="I234" s="1826">
        <v>0</v>
      </c>
      <c r="J234" s="1826">
        <v>0</v>
      </c>
      <c r="K234" s="1826">
        <v>0</v>
      </c>
      <c r="L234" s="1530">
        <f t="shared" si="30"/>
        <v>0</v>
      </c>
      <c r="N234" s="1531">
        <f>SUMIF('CF.2'!$H$5:$H$25,'CF.1'!E234,'CF.2'!$J$5:$J$25)-SUMIF('CF.2'!$K$5:$K$25,'CF.1'!E234,'CF.2'!$M$5:$M$25)</f>
        <v>0</v>
      </c>
      <c r="O234" s="1529">
        <f>SUMIF('CF.2'!$H$31:$H$60,'CF.1'!E234,'CF.2'!$J$31:$J$60)+SUMIF('CF.2'!$K$31:$K$60,'CF.1'!E234,'CF.2'!$M$31:$M$60)</f>
        <v>0</v>
      </c>
      <c r="P234" s="1529">
        <f>SUMIF('CF.2'!$H$65:$H$108,'CF.1'!E234,'CF.2'!$J$65:$J$108)+SUMIF('CF.2'!$K$65:$K$108,'CF.1'!E234,'CF.2'!$M$65:$M$108)</f>
        <v>0</v>
      </c>
      <c r="Q234" s="1529">
        <f>SUMIF('CF.2'!$H$112:$H$118,'CF.1'!E234,'CF.2'!$J$112:$J$118)+SUMIF('CF.2'!$K$112:$K$118,'CF.1'!E234,'CF.2'!$M$112:$M$118)</f>
        <v>0</v>
      </c>
      <c r="R234" s="1529">
        <f>SUMIF('CF.2'!$H$123:$H$134,'CF.1'!E234,'CF.2'!$J$123:$J$134)+SUMIF('CF.2'!$K$123:$K$134,'CF.1'!E234,'CF.2'!$M$123:$M$134)</f>
        <v>0</v>
      </c>
      <c r="S234" s="1530">
        <f t="shared" si="31"/>
        <v>0</v>
      </c>
      <c r="U234" s="1532">
        <f t="shared" si="32"/>
        <v>0</v>
      </c>
    </row>
    <row r="235" spans="3:21" s="1086" customFormat="1" ht="18" customHeight="1">
      <c r="C235" s="1086">
        <v>1</v>
      </c>
      <c r="D235" s="1533" t="s">
        <v>1111</v>
      </c>
      <c r="E235" s="1271" t="s">
        <v>1111</v>
      </c>
      <c r="F235" s="1534"/>
      <c r="G235" s="1271" t="s">
        <v>1112</v>
      </c>
      <c r="H235" s="1824">
        <v>0</v>
      </c>
      <c r="I235" s="1827">
        <v>0</v>
      </c>
      <c r="J235" s="1827">
        <v>0</v>
      </c>
      <c r="K235" s="1827">
        <v>0</v>
      </c>
      <c r="L235" s="1536">
        <f t="shared" si="30"/>
        <v>0</v>
      </c>
      <c r="N235" s="1550">
        <f>SUMIF('CF.2'!$H$5:$H$25,'CF.1'!E235,'CF.2'!$J$5:$J$25)-SUMIF('CF.2'!$K$5:$K$25,'CF.1'!E235,'CF.2'!$M$5:$M$25)</f>
        <v>0</v>
      </c>
      <c r="O235" s="1535">
        <f>SUMIF('CF.2'!$H$31:$H$60,'CF.1'!E235,'CF.2'!$J$31:$J$60)+SUMIF('CF.2'!$K$31:$K$60,'CF.1'!E235,'CF.2'!$M$31:$M$60)</f>
        <v>0</v>
      </c>
      <c r="P235" s="1535">
        <f>SUMIF('CF.2'!$H$65:$H$108,'CF.1'!E235,'CF.2'!$J$65:$J$108)+SUMIF('CF.2'!$K$65:$K$108,'CF.1'!E235,'CF.2'!$M$65:$M$108)</f>
        <v>0</v>
      </c>
      <c r="Q235" s="1535">
        <f>SUMIF('CF.2'!$H$112:$H$118,'CF.1'!E235,'CF.2'!$J$112:$J$118)+SUMIF('CF.2'!$K$112:$K$118,'CF.1'!E235,'CF.2'!$M$112:$M$118)</f>
        <v>0</v>
      </c>
      <c r="R235" s="1535">
        <f>SUMIF('CF.2'!$H$123:$H$134,'CF.1'!E235,'CF.2'!$J$123:$J$134)+SUMIF('CF.2'!$K$123:$K$134,'CF.1'!E235,'CF.2'!$M$123:$M$134)</f>
        <v>0</v>
      </c>
      <c r="S235" s="1536">
        <f t="shared" si="31"/>
        <v>0</v>
      </c>
      <c r="U235" s="1537">
        <f t="shared" si="32"/>
        <v>0</v>
      </c>
    </row>
    <row r="236" spans="3:21" s="1086" customFormat="1" ht="18" customHeight="1">
      <c r="C236" s="1086">
        <v>1</v>
      </c>
      <c r="D236" s="1533" t="s">
        <v>1113</v>
      </c>
      <c r="E236" s="1271" t="s">
        <v>1113</v>
      </c>
      <c r="F236" s="1534"/>
      <c r="G236" s="1271" t="s">
        <v>1114</v>
      </c>
      <c r="H236" s="1824">
        <v>0</v>
      </c>
      <c r="I236" s="1827">
        <v>0</v>
      </c>
      <c r="J236" s="1827">
        <v>0</v>
      </c>
      <c r="K236" s="1827">
        <v>0</v>
      </c>
      <c r="L236" s="1536">
        <f t="shared" si="30"/>
        <v>0</v>
      </c>
      <c r="N236" s="1550">
        <f>SUMIF('CF.2'!$H$5:$H$25,'CF.1'!E236,'CF.2'!$J$5:$J$25)-SUMIF('CF.2'!$K$5:$K$25,'CF.1'!E236,'CF.2'!$M$5:$M$25)</f>
        <v>0</v>
      </c>
      <c r="O236" s="1535">
        <f>SUMIF('CF.2'!$H$31:$H$60,'CF.1'!E236,'CF.2'!$J$31:$J$60)+SUMIF('CF.2'!$K$31:$K$60,'CF.1'!E236,'CF.2'!$M$31:$M$60)</f>
        <v>0</v>
      </c>
      <c r="P236" s="1535">
        <f>SUMIF('CF.2'!$H$65:$H$108,'CF.1'!E236,'CF.2'!$J$65:$J$108)+SUMIF('CF.2'!$K$65:$K$108,'CF.1'!E236,'CF.2'!$M$65:$M$108)</f>
        <v>0</v>
      </c>
      <c r="Q236" s="1535">
        <f>SUMIF('CF.2'!$H$112:$H$118,'CF.1'!E236,'CF.2'!$J$112:$J$118)+SUMIF('CF.2'!$K$112:$K$118,'CF.1'!E236,'CF.2'!$M$112:$M$118)</f>
        <v>0</v>
      </c>
      <c r="R236" s="1535">
        <f>SUMIF('CF.2'!$H$123:$H$134,'CF.1'!E236,'CF.2'!$J$123:$J$134)+SUMIF('CF.2'!$K$123:$K$134,'CF.1'!E236,'CF.2'!$M$123:$M$134)</f>
        <v>0</v>
      </c>
      <c r="S236" s="1536">
        <f t="shared" si="31"/>
        <v>0</v>
      </c>
      <c r="U236" s="1537">
        <f t="shared" si="32"/>
        <v>0</v>
      </c>
    </row>
    <row r="237" spans="3:21" s="1086" customFormat="1" ht="18" customHeight="1">
      <c r="C237" s="1086">
        <v>1</v>
      </c>
      <c r="D237" s="1533" t="s">
        <v>1115</v>
      </c>
      <c r="E237" s="1271" t="s">
        <v>1115</v>
      </c>
      <c r="F237" s="1534" t="s">
        <v>2569</v>
      </c>
      <c r="G237" s="1271" t="s">
        <v>1116</v>
      </c>
      <c r="H237" s="2025">
        <v>23944980000</v>
      </c>
      <c r="I237" s="1827">
        <v>0</v>
      </c>
      <c r="J237" s="1827">
        <v>0</v>
      </c>
      <c r="K237" s="1827">
        <v>0</v>
      </c>
      <c r="L237" s="1536">
        <f t="shared" si="30"/>
        <v>23944980000</v>
      </c>
      <c r="N237" s="1550">
        <f>SUMIF('CF.2'!$H$5:$H$25,'CF.1'!E237,'CF.2'!$J$5:$J$25)-SUMIF('CF.2'!$K$5:$K$25,'CF.1'!E237,'CF.2'!$M$5:$M$25)</f>
        <v>0</v>
      </c>
      <c r="O237" s="1535">
        <f>SUMIF('CF.2'!$H$31:$H$60,'CF.1'!E237,'CF.2'!$J$31:$J$60)+SUMIF('CF.2'!$K$31:$K$60,'CF.1'!E237,'CF.2'!$M$31:$M$60)</f>
        <v>0</v>
      </c>
      <c r="P237" s="1535">
        <f>SUMIF('CF.2'!$H$65:$H$108,'CF.1'!E237,'CF.2'!$J$65:$J$108)+SUMIF('CF.2'!$K$65:$K$108,'CF.1'!E237,'CF.2'!$M$65:$M$108)</f>
        <v>0</v>
      </c>
      <c r="Q237" s="1535">
        <f>SUMIF('CF.2'!$H$112:$H$118,'CF.1'!E237,'CF.2'!$J$112:$J$118)+SUMIF('CF.2'!$K$112:$K$118,'CF.1'!E237,'CF.2'!$M$112:$M$118)</f>
        <v>0</v>
      </c>
      <c r="R237" s="1535">
        <f>SUMIF('CF.2'!$H$123:$H$134,'CF.1'!E237,'CF.2'!$J$123:$J$134)+SUMIF('CF.2'!$K$123:$K$134,'CF.1'!E237,'CF.2'!$M$123:$M$134)</f>
        <v>0</v>
      </c>
      <c r="S237" s="1536">
        <f t="shared" si="31"/>
        <v>0</v>
      </c>
      <c r="U237" s="1537">
        <f t="shared" si="32"/>
        <v>23944980000</v>
      </c>
    </row>
    <row r="238" spans="3:21" s="1086" customFormat="1" ht="18" customHeight="1">
      <c r="C238" s="1086">
        <v>1</v>
      </c>
      <c r="D238" s="1533" t="s">
        <v>1117</v>
      </c>
      <c r="E238" s="1271" t="s">
        <v>1117</v>
      </c>
      <c r="F238" s="1534"/>
      <c r="G238" s="1271" t="s">
        <v>1118</v>
      </c>
      <c r="H238" s="1824">
        <v>0</v>
      </c>
      <c r="I238" s="1827">
        <v>0</v>
      </c>
      <c r="J238" s="1827">
        <v>0</v>
      </c>
      <c r="K238" s="1827">
        <v>0</v>
      </c>
      <c r="L238" s="1536">
        <f t="shared" si="30"/>
        <v>0</v>
      </c>
      <c r="N238" s="1550">
        <f>SUMIF('CF.2'!$H$5:$H$25,'CF.1'!E238,'CF.2'!$J$5:$J$25)-SUMIF('CF.2'!$K$5:$K$25,'CF.1'!E238,'CF.2'!$M$5:$M$25)</f>
        <v>0</v>
      </c>
      <c r="O238" s="1535">
        <f>SUMIF('CF.2'!$H$31:$H$60,'CF.1'!E238,'CF.2'!$J$31:$J$60)+SUMIF('CF.2'!$K$31:$K$60,'CF.1'!E238,'CF.2'!$M$31:$M$60)</f>
        <v>0</v>
      </c>
      <c r="P238" s="1535">
        <f>SUMIF('CF.2'!$H$65:$H$108,'CF.1'!E238,'CF.2'!$J$65:$J$108)+SUMIF('CF.2'!$K$65:$K$108,'CF.1'!E238,'CF.2'!$M$65:$M$108)</f>
        <v>0</v>
      </c>
      <c r="Q238" s="1535">
        <f>SUMIF('CF.2'!$H$112:$H$118,'CF.1'!E238,'CF.2'!$J$112:$J$118)+SUMIF('CF.2'!$K$112:$K$118,'CF.1'!E238,'CF.2'!$M$112:$M$118)</f>
        <v>0</v>
      </c>
      <c r="R238" s="1535">
        <f>SUMIF('CF.2'!$H$123:$H$134,'CF.1'!E238,'CF.2'!$J$123:$J$134)+SUMIF('CF.2'!$K$123:$K$134,'CF.1'!E238,'CF.2'!$M$123:$M$134)</f>
        <v>0</v>
      </c>
      <c r="S238" s="1536">
        <f t="shared" si="31"/>
        <v>0</v>
      </c>
      <c r="U238" s="1537">
        <f t="shared" si="32"/>
        <v>0</v>
      </c>
    </row>
    <row r="239" spans="3:21" s="1086" customFormat="1" ht="18" customHeight="1">
      <c r="C239" s="1086">
        <v>1</v>
      </c>
      <c r="D239" s="1533" t="s">
        <v>1119</v>
      </c>
      <c r="E239" s="1271" t="s">
        <v>1119</v>
      </c>
      <c r="F239" s="1534"/>
      <c r="G239" s="1271" t="s">
        <v>1120</v>
      </c>
      <c r="H239" s="1824">
        <v>0</v>
      </c>
      <c r="I239" s="1827">
        <v>0</v>
      </c>
      <c r="J239" s="1827">
        <v>0</v>
      </c>
      <c r="K239" s="1827">
        <v>0</v>
      </c>
      <c r="L239" s="1536">
        <f t="shared" si="30"/>
        <v>0</v>
      </c>
      <c r="N239" s="1550">
        <f>SUMIF('CF.2'!$H$5:$H$25,'CF.1'!E239,'CF.2'!$J$5:$J$25)-SUMIF('CF.2'!$K$5:$K$25,'CF.1'!E239,'CF.2'!$M$5:$M$25)</f>
        <v>0</v>
      </c>
      <c r="O239" s="1535">
        <f>SUMIF('CF.2'!$H$31:$H$60,'CF.1'!E239,'CF.2'!$J$31:$J$60)+SUMIF('CF.2'!$K$31:$K$60,'CF.1'!E239,'CF.2'!$M$31:$M$60)</f>
        <v>0</v>
      </c>
      <c r="P239" s="1535">
        <f>SUMIF('CF.2'!$H$65:$H$108,'CF.1'!E239,'CF.2'!$J$65:$J$108)+SUMIF('CF.2'!$K$65:$K$108,'CF.1'!E239,'CF.2'!$M$65:$M$108)</f>
        <v>0</v>
      </c>
      <c r="Q239" s="1535">
        <f>SUMIF('CF.2'!$H$112:$H$118,'CF.1'!E239,'CF.2'!$J$112:$J$118)+SUMIF('CF.2'!$K$112:$K$118,'CF.1'!E239,'CF.2'!$M$112:$M$118)</f>
        <v>0</v>
      </c>
      <c r="R239" s="1535">
        <f>SUMIF('CF.2'!$H$123:$H$134,'CF.1'!E239,'CF.2'!$J$123:$J$134)+SUMIF('CF.2'!$K$123:$K$134,'CF.1'!E239,'CF.2'!$M$123:$M$134)</f>
        <v>0</v>
      </c>
      <c r="S239" s="1536">
        <f t="shared" si="31"/>
        <v>0</v>
      </c>
      <c r="U239" s="1537">
        <f t="shared" si="32"/>
        <v>0</v>
      </c>
    </row>
    <row r="240" spans="3:21" ht="18" customHeight="1">
      <c r="C240" s="1359">
        <v>1</v>
      </c>
      <c r="D240" s="1527" t="s">
        <v>1121</v>
      </c>
      <c r="E240" s="1501" t="s">
        <v>1121</v>
      </c>
      <c r="F240" s="1528"/>
      <c r="G240" s="1501" t="s">
        <v>1122</v>
      </c>
      <c r="H240" s="1825">
        <v>0</v>
      </c>
      <c r="I240" s="1826">
        <v>0</v>
      </c>
      <c r="J240" s="1826">
        <v>0</v>
      </c>
      <c r="K240" s="1826">
        <v>0</v>
      </c>
      <c r="L240" s="1530">
        <f t="shared" si="30"/>
        <v>0</v>
      </c>
      <c r="N240" s="1531">
        <f>SUMIF('CF.2'!$H$5:$H$25,'CF.1'!E240,'CF.2'!$J$5:$J$25)-SUMIF('CF.2'!$K$5:$K$25,'CF.1'!E240,'CF.2'!$M$5:$M$25)</f>
        <v>0</v>
      </c>
      <c r="O240" s="1529">
        <f>SUMIF('CF.2'!$H$31:$H$60,'CF.1'!E240,'CF.2'!$J$31:$J$60)+SUMIF('CF.2'!$K$31:$K$60,'CF.1'!E240,'CF.2'!$M$31:$M$60)</f>
        <v>0</v>
      </c>
      <c r="P240" s="1529">
        <f>SUMIF('CF.2'!$H$65:$H$108,'CF.1'!E240,'CF.2'!$J$65:$J$108)+SUMIF('CF.2'!$K$65:$K$108,'CF.1'!E240,'CF.2'!$M$65:$M$108)</f>
        <v>0</v>
      </c>
      <c r="Q240" s="1529">
        <f>SUMIF('CF.2'!$H$112:$H$118,'CF.1'!E240,'CF.2'!$J$112:$J$118)+SUMIF('CF.2'!$K$112:$K$118,'CF.1'!E240,'CF.2'!$M$112:$M$118)</f>
        <v>0</v>
      </c>
      <c r="R240" s="1529">
        <f>SUMIF('CF.2'!$H$123:$H$134,'CF.1'!E240,'CF.2'!$J$123:$J$134)+SUMIF('CF.2'!$K$123:$K$134,'CF.1'!E240,'CF.2'!$M$123:$M$134)</f>
        <v>0</v>
      </c>
      <c r="S240" s="1530">
        <f t="shared" si="31"/>
        <v>0</v>
      </c>
      <c r="U240" s="1532">
        <f t="shared" si="32"/>
        <v>0</v>
      </c>
    </row>
    <row r="241" spans="3:23" ht="18" customHeight="1">
      <c r="C241" s="1359">
        <v>1</v>
      </c>
      <c r="D241" s="1527" t="s">
        <v>1123</v>
      </c>
      <c r="E241" s="1501" t="s">
        <v>1123</v>
      </c>
      <c r="F241" s="1528"/>
      <c r="G241" s="1501" t="s">
        <v>1124</v>
      </c>
      <c r="H241" s="1825">
        <v>0</v>
      </c>
      <c r="I241" s="1826">
        <v>0</v>
      </c>
      <c r="J241" s="1826">
        <v>0</v>
      </c>
      <c r="K241" s="1826">
        <v>0</v>
      </c>
      <c r="L241" s="1530">
        <f t="shared" si="30"/>
        <v>0</v>
      </c>
      <c r="N241" s="1531">
        <f>SUMIF('CF.2'!$H$5:$H$25,'CF.1'!E241,'CF.2'!$J$5:$J$25)-SUMIF('CF.2'!$K$5:$K$25,'CF.1'!E241,'CF.2'!$M$5:$M$25)</f>
        <v>0</v>
      </c>
      <c r="O241" s="1529">
        <f>SUMIF('CF.2'!$H$31:$H$60,'CF.1'!E241,'CF.2'!$J$31:$J$60)+SUMIF('CF.2'!$K$31:$K$60,'CF.1'!E241,'CF.2'!$M$31:$M$60)</f>
        <v>0</v>
      </c>
      <c r="P241" s="1529">
        <f>SUMIF('CF.2'!$H$65:$H$108,'CF.1'!E241,'CF.2'!$J$65:$J$108)+SUMIF('CF.2'!$K$65:$K$108,'CF.1'!E241,'CF.2'!$M$65:$M$108)</f>
        <v>0</v>
      </c>
      <c r="Q241" s="1529">
        <f>SUMIF('CF.2'!$H$112:$H$118,'CF.1'!E241,'CF.2'!$J$112:$J$118)+SUMIF('CF.2'!$K$112:$K$118,'CF.1'!E241,'CF.2'!$M$112:$M$118)</f>
        <v>0</v>
      </c>
      <c r="R241" s="1529">
        <f>SUMIF('CF.2'!$H$123:$H$134,'CF.1'!E241,'CF.2'!$J$123:$J$134)+SUMIF('CF.2'!$K$123:$K$134,'CF.1'!E241,'CF.2'!$M$123:$M$134)</f>
        <v>0</v>
      </c>
      <c r="S241" s="1530">
        <f t="shared" si="31"/>
        <v>0</v>
      </c>
      <c r="U241" s="1532">
        <f t="shared" si="32"/>
        <v>0</v>
      </c>
    </row>
    <row r="242" spans="3:23" ht="18" customHeight="1">
      <c r="C242" s="1359">
        <v>1</v>
      </c>
      <c r="D242" s="1520" t="s">
        <v>1125</v>
      </c>
      <c r="E242" s="1521" t="s">
        <v>1125</v>
      </c>
      <c r="F242" s="1522"/>
      <c r="G242" s="1521" t="s">
        <v>2881</v>
      </c>
      <c r="H242" s="1823">
        <f>SUM(H243:H299)</f>
        <v>-28798664518</v>
      </c>
      <c r="I242" s="1823">
        <f>SUM(I243:I299)</f>
        <v>-13228181</v>
      </c>
      <c r="J242" s="1823">
        <f>SUM(J243:J299)</f>
        <v>0</v>
      </c>
      <c r="K242" s="1823">
        <f>SUM(K243:K299)</f>
        <v>-13453364</v>
      </c>
      <c r="L242" s="1524">
        <f>SUM(L243:L299)</f>
        <v>-28825346063</v>
      </c>
      <c r="N242" s="1525">
        <f t="shared" ref="N242:S242" si="33">SUM(N243:N299)</f>
        <v>0</v>
      </c>
      <c r="O242" s="1523">
        <f t="shared" si="33"/>
        <v>0</v>
      </c>
      <c r="P242" s="1523">
        <f t="shared" si="33"/>
        <v>1999950000</v>
      </c>
      <c r="Q242" s="1523">
        <f t="shared" si="33"/>
        <v>0</v>
      </c>
      <c r="R242" s="1523">
        <f t="shared" si="33"/>
        <v>0</v>
      </c>
      <c r="S242" s="1524">
        <f t="shared" si="33"/>
        <v>1999950000</v>
      </c>
      <c r="U242" s="1526">
        <f>SUM(U243:U299)</f>
        <v>-26825396063</v>
      </c>
      <c r="V242" s="1359" t="b">
        <f>U242=SUM(U243:U299)</f>
        <v>1</v>
      </c>
      <c r="W242" s="509">
        <f>U242-'CF(공)_1.0'!F76</f>
        <v>0</v>
      </c>
    </row>
    <row r="243" spans="3:23" ht="18" customHeight="1">
      <c r="C243" s="1359">
        <v>1</v>
      </c>
      <c r="D243" s="1527" t="s">
        <v>1127</v>
      </c>
      <c r="E243" s="1501" t="s">
        <v>1127</v>
      </c>
      <c r="F243" s="1528"/>
      <c r="G243" s="1501" t="s">
        <v>1128</v>
      </c>
      <c r="H243" s="1825">
        <v>0</v>
      </c>
      <c r="I243" s="1826">
        <v>0</v>
      </c>
      <c r="J243" s="1826">
        <v>0</v>
      </c>
      <c r="K243" s="1826">
        <v>0</v>
      </c>
      <c r="L243" s="1530">
        <f t="shared" ref="L243:L274" si="34">SUM(H243:K243)</f>
        <v>0</v>
      </c>
      <c r="N243" s="1531">
        <f>SUMIF('CF.2'!$H$5:$H$25,'CF.1'!E243,'CF.2'!$J$5:$J$25)-SUMIF('CF.2'!$K$5:$K$25,'CF.1'!E243,'CF.2'!$M$5:$M$25)</f>
        <v>0</v>
      </c>
      <c r="O243" s="1529">
        <f>SUMIF('CF.2'!$H$31:$H$60,'CF.1'!E243,'CF.2'!$J$31:$J$60)+SUMIF('CF.2'!$K$31:$K$60,'CF.1'!E243,'CF.2'!$M$31:$M$60)</f>
        <v>0</v>
      </c>
      <c r="P243" s="1529">
        <f>SUMIF('CF.2'!$H$65:$H$108,'CF.1'!E243,'CF.2'!$J$65:$J$108)+SUMIF('CF.2'!$K$65:$K$108,'CF.1'!E243,'CF.2'!$M$65:$M$108)</f>
        <v>0</v>
      </c>
      <c r="Q243" s="1529">
        <f>SUMIF('CF.2'!$H$112:$H$118,'CF.1'!E243,'CF.2'!$J$112:$J$118)+SUMIF('CF.2'!$K$112:$K$118,'CF.1'!E243,'CF.2'!$M$112:$M$118)</f>
        <v>0</v>
      </c>
      <c r="R243" s="1529">
        <f>SUMIF('CF.2'!$H$123:$H$134,'CF.1'!E243,'CF.2'!$J$123:$J$134)+SUMIF('CF.2'!$K$123:$K$134,'CF.1'!E243,'CF.2'!$M$123:$M$134)</f>
        <v>0</v>
      </c>
      <c r="S243" s="1530">
        <f t="shared" ref="S243:S274" si="35">SUM(N243:R243)</f>
        <v>0</v>
      </c>
      <c r="U243" s="1532">
        <f t="shared" ref="U243:U274" si="36">ROUND(S243+L243,0)</f>
        <v>0</v>
      </c>
    </row>
    <row r="244" spans="3:23" ht="18" customHeight="1">
      <c r="C244" s="1359">
        <v>1</v>
      </c>
      <c r="D244" s="1527" t="s">
        <v>1129</v>
      </c>
      <c r="E244" s="1501" t="s">
        <v>1129</v>
      </c>
      <c r="F244" s="1528" t="s">
        <v>2390</v>
      </c>
      <c r="G244" s="1501" t="s">
        <v>1130</v>
      </c>
      <c r="H244" s="1825">
        <v>0</v>
      </c>
      <c r="I244" s="1826">
        <v>0</v>
      </c>
      <c r="J244" s="1826">
        <v>0</v>
      </c>
      <c r="K244" s="1826">
        <v>0</v>
      </c>
      <c r="L244" s="1530">
        <f t="shared" si="34"/>
        <v>0</v>
      </c>
      <c r="N244" s="1531">
        <f>SUMIF('CF.2'!$H$5:$H$25,'CF.1'!E244,'CF.2'!$J$5:$J$25)-SUMIF('CF.2'!$K$5:$K$25,'CF.1'!E244,'CF.2'!$M$5:$M$25)</f>
        <v>0</v>
      </c>
      <c r="O244" s="1529">
        <f>SUMIF('CF.2'!$H$31:$H$60,'CF.1'!E244,'CF.2'!$J$31:$J$60)+SUMIF('CF.2'!$K$31:$K$60,'CF.1'!E244,'CF.2'!$M$31:$M$60)</f>
        <v>0</v>
      </c>
      <c r="P244" s="1529">
        <f>SUMIF('CF.2'!$H$65:$H$108,'CF.1'!E244,'CF.2'!$J$65:$J$108)+SUMIF('CF.2'!$K$65:$K$108,'CF.1'!E244,'CF.2'!$M$65:$M$108)</f>
        <v>0</v>
      </c>
      <c r="Q244" s="1529">
        <f>SUMIF('CF.2'!$H$112:$H$118,'CF.1'!E244,'CF.2'!$J$112:$J$118)+SUMIF('CF.2'!$K$112:$K$118,'CF.1'!E244,'CF.2'!$M$112:$M$118)</f>
        <v>0</v>
      </c>
      <c r="R244" s="1529">
        <f>SUMIF('CF.2'!$H$123:$H$134,'CF.1'!E244,'CF.2'!$J$123:$J$134)+SUMIF('CF.2'!$K$123:$K$134,'CF.1'!E244,'CF.2'!$M$123:$M$134)</f>
        <v>0</v>
      </c>
      <c r="S244" s="1530">
        <f t="shared" si="35"/>
        <v>0</v>
      </c>
      <c r="U244" s="1532">
        <f t="shared" si="36"/>
        <v>0</v>
      </c>
    </row>
    <row r="245" spans="3:23" ht="18" customHeight="1">
      <c r="C245" s="1359">
        <v>1</v>
      </c>
      <c r="D245" s="1527" t="s">
        <v>1131</v>
      </c>
      <c r="E245" s="1501" t="s">
        <v>1131</v>
      </c>
      <c r="F245" s="1528"/>
      <c r="G245" s="1501" t="s">
        <v>1132</v>
      </c>
      <c r="H245" s="1825">
        <v>0</v>
      </c>
      <c r="I245" s="1826">
        <v>0</v>
      </c>
      <c r="J245" s="1826">
        <v>0</v>
      </c>
      <c r="K245" s="1826">
        <v>0</v>
      </c>
      <c r="L245" s="1530">
        <f t="shared" si="34"/>
        <v>0</v>
      </c>
      <c r="N245" s="1531">
        <f>SUMIF('CF.2'!$H$5:$H$25,'CF.1'!E245,'CF.2'!$J$5:$J$25)-SUMIF('CF.2'!$K$5:$K$25,'CF.1'!E245,'CF.2'!$M$5:$M$25)</f>
        <v>0</v>
      </c>
      <c r="O245" s="1529">
        <f>SUMIF('CF.2'!$H$31:$H$60,'CF.1'!E245,'CF.2'!$J$31:$J$60)+SUMIF('CF.2'!$K$31:$K$60,'CF.1'!E245,'CF.2'!$M$31:$M$60)</f>
        <v>0</v>
      </c>
      <c r="P245" s="1529">
        <f>SUMIF('CF.2'!$H$65:$H$108,'CF.1'!E245,'CF.2'!$J$65:$J$108)+SUMIF('CF.2'!$K$65:$K$108,'CF.1'!E245,'CF.2'!$M$65:$M$108)</f>
        <v>0</v>
      </c>
      <c r="Q245" s="1529">
        <f>SUMIF('CF.2'!$H$112:$H$118,'CF.1'!E245,'CF.2'!$J$112:$J$118)+SUMIF('CF.2'!$K$112:$K$118,'CF.1'!E245,'CF.2'!$M$112:$M$118)</f>
        <v>0</v>
      </c>
      <c r="R245" s="1529">
        <f>SUMIF('CF.2'!$H$123:$H$134,'CF.1'!E245,'CF.2'!$J$123:$J$134)+SUMIF('CF.2'!$K$123:$K$134,'CF.1'!E245,'CF.2'!$M$123:$M$134)</f>
        <v>0</v>
      </c>
      <c r="S245" s="1530">
        <f t="shared" si="35"/>
        <v>0</v>
      </c>
      <c r="U245" s="1532">
        <f t="shared" si="36"/>
        <v>0</v>
      </c>
    </row>
    <row r="246" spans="3:23" ht="18" customHeight="1">
      <c r="C246" s="1359">
        <v>1</v>
      </c>
      <c r="D246" s="1527" t="s">
        <v>1133</v>
      </c>
      <c r="E246" s="1501" t="s">
        <v>1133</v>
      </c>
      <c r="F246" s="1528"/>
      <c r="G246" s="1501" t="s">
        <v>1134</v>
      </c>
      <c r="H246" s="1825">
        <v>0</v>
      </c>
      <c r="I246" s="1826">
        <v>0</v>
      </c>
      <c r="J246" s="1826">
        <v>0</v>
      </c>
      <c r="K246" s="1826">
        <v>0</v>
      </c>
      <c r="L246" s="1530">
        <f t="shared" si="34"/>
        <v>0</v>
      </c>
      <c r="N246" s="1531">
        <f>SUMIF('CF.2'!$H$5:$H$25,'CF.1'!E246,'CF.2'!$J$5:$J$25)-SUMIF('CF.2'!$K$5:$K$25,'CF.1'!E246,'CF.2'!$M$5:$M$25)</f>
        <v>0</v>
      </c>
      <c r="O246" s="1529">
        <f>SUMIF('CF.2'!$H$31:$H$60,'CF.1'!E246,'CF.2'!$J$31:$J$60)+SUMIF('CF.2'!$K$31:$K$60,'CF.1'!E246,'CF.2'!$M$31:$M$60)</f>
        <v>0</v>
      </c>
      <c r="P246" s="1529">
        <f>SUMIF('CF.2'!$H$65:$H$108,'CF.1'!E246,'CF.2'!$J$65:$J$108)+SUMIF('CF.2'!$K$65:$K$108,'CF.1'!E246,'CF.2'!$M$65:$M$108)</f>
        <v>0</v>
      </c>
      <c r="Q246" s="1529">
        <f>SUMIF('CF.2'!$H$112:$H$118,'CF.1'!E246,'CF.2'!$J$112:$J$118)+SUMIF('CF.2'!$K$112:$K$118,'CF.1'!E246,'CF.2'!$M$112:$M$118)</f>
        <v>0</v>
      </c>
      <c r="R246" s="1529">
        <f>SUMIF('CF.2'!$H$123:$H$134,'CF.1'!E246,'CF.2'!$J$123:$J$134)+SUMIF('CF.2'!$K$123:$K$134,'CF.1'!E246,'CF.2'!$M$123:$M$134)</f>
        <v>0</v>
      </c>
      <c r="S246" s="1530">
        <f t="shared" si="35"/>
        <v>0</v>
      </c>
      <c r="U246" s="1532">
        <f t="shared" si="36"/>
        <v>0</v>
      </c>
    </row>
    <row r="247" spans="3:23" ht="18" customHeight="1">
      <c r="C247" s="1359">
        <v>1</v>
      </c>
      <c r="D247" s="1527" t="s">
        <v>1135</v>
      </c>
      <c r="E247" s="1501" t="s">
        <v>1135</v>
      </c>
      <c r="F247" s="1528" t="s">
        <v>1136</v>
      </c>
      <c r="G247" s="1501" t="s">
        <v>1136</v>
      </c>
      <c r="H247" s="1825">
        <v>0</v>
      </c>
      <c r="I247" s="1826">
        <v>0</v>
      </c>
      <c r="J247" s="1826">
        <v>0</v>
      </c>
      <c r="K247" s="1826">
        <v>0</v>
      </c>
      <c r="L247" s="1530">
        <f t="shared" si="34"/>
        <v>0</v>
      </c>
      <c r="N247" s="1531">
        <f>SUMIF('CF.2'!$H$5:$H$25,'CF.1'!E247,'CF.2'!$J$5:$J$25)-SUMIF('CF.2'!$K$5:$K$25,'CF.1'!E247,'CF.2'!$M$5:$M$25)</f>
        <v>0</v>
      </c>
      <c r="O247" s="1529">
        <f>SUMIF('CF.2'!$H$31:$H$60,'CF.1'!E247,'CF.2'!$J$31:$J$60)+SUMIF('CF.2'!$K$31:$K$60,'CF.1'!E247,'CF.2'!$M$31:$M$60)</f>
        <v>0</v>
      </c>
      <c r="P247" s="1529">
        <f>SUMIF('CF.2'!$H$65:$H$108,'CF.1'!E247,'CF.2'!$J$65:$J$108)+SUMIF('CF.2'!$K$65:$K$108,'CF.1'!E247,'CF.2'!$M$65:$M$108)</f>
        <v>0</v>
      </c>
      <c r="Q247" s="1529">
        <f>SUMIF('CF.2'!$H$112:$H$118,'CF.1'!E247,'CF.2'!$J$112:$J$118)+SUMIF('CF.2'!$K$112:$K$118,'CF.1'!E247,'CF.2'!$M$112:$M$118)</f>
        <v>0</v>
      </c>
      <c r="R247" s="1529">
        <f>SUMIF('CF.2'!$H$123:$H$134,'CF.1'!E247,'CF.2'!$J$123:$J$134)+SUMIF('CF.2'!$K$123:$K$134,'CF.1'!E247,'CF.2'!$M$123:$M$134)</f>
        <v>0</v>
      </c>
      <c r="S247" s="1530">
        <f t="shared" si="35"/>
        <v>0</v>
      </c>
      <c r="U247" s="1532">
        <f t="shared" si="36"/>
        <v>0</v>
      </c>
      <c r="W247" s="1359" t="b">
        <f>U247=H247</f>
        <v>1</v>
      </c>
    </row>
    <row r="248" spans="3:23" ht="18" customHeight="1">
      <c r="C248" s="1359">
        <v>1</v>
      </c>
      <c r="D248" s="1527" t="s">
        <v>1137</v>
      </c>
      <c r="E248" s="1501" t="s">
        <v>1137</v>
      </c>
      <c r="F248" s="1528"/>
      <c r="G248" s="1501" t="s">
        <v>1138</v>
      </c>
      <c r="H248" s="1825">
        <v>0</v>
      </c>
      <c r="I248" s="1826">
        <v>0</v>
      </c>
      <c r="J248" s="1826">
        <v>0</v>
      </c>
      <c r="K248" s="1826">
        <v>0</v>
      </c>
      <c r="L248" s="1530">
        <f t="shared" si="34"/>
        <v>0</v>
      </c>
      <c r="N248" s="1531">
        <f>SUMIF('CF.2'!$H$5:$H$25,'CF.1'!E248,'CF.2'!$J$5:$J$25)-SUMIF('CF.2'!$K$5:$K$25,'CF.1'!E248,'CF.2'!$M$5:$M$25)</f>
        <v>0</v>
      </c>
      <c r="O248" s="1529">
        <f>SUMIF('CF.2'!$H$31:$H$60,'CF.1'!E248,'CF.2'!$J$31:$J$60)+SUMIF('CF.2'!$K$31:$K$60,'CF.1'!E248,'CF.2'!$M$31:$M$60)</f>
        <v>0</v>
      </c>
      <c r="P248" s="1529">
        <f>SUMIF('CF.2'!$H$65:$H$108,'CF.1'!E248,'CF.2'!$J$65:$J$108)+SUMIF('CF.2'!$K$65:$K$108,'CF.1'!E248,'CF.2'!$M$65:$M$108)</f>
        <v>0</v>
      </c>
      <c r="Q248" s="1529">
        <f>SUMIF('CF.2'!$H$112:$H$118,'CF.1'!E248,'CF.2'!$J$112:$J$118)+SUMIF('CF.2'!$K$112:$K$118,'CF.1'!E248,'CF.2'!$M$112:$M$118)</f>
        <v>0</v>
      </c>
      <c r="R248" s="1529">
        <f>SUMIF('CF.2'!$H$123:$H$134,'CF.1'!E248,'CF.2'!$J$123:$J$134)+SUMIF('CF.2'!$K$123:$K$134,'CF.1'!E248,'CF.2'!$M$123:$M$134)</f>
        <v>0</v>
      </c>
      <c r="S248" s="1530">
        <f t="shared" si="35"/>
        <v>0</v>
      </c>
      <c r="U248" s="1532">
        <f t="shared" si="36"/>
        <v>0</v>
      </c>
    </row>
    <row r="249" spans="3:23" ht="18" customHeight="1">
      <c r="C249" s="1359">
        <v>1</v>
      </c>
      <c r="D249" s="1527" t="s">
        <v>1139</v>
      </c>
      <c r="E249" s="1501" t="s">
        <v>1139</v>
      </c>
      <c r="F249" s="1528" t="s">
        <v>1684</v>
      </c>
      <c r="G249" s="1501" t="s">
        <v>1140</v>
      </c>
      <c r="H249" s="1825">
        <v>0</v>
      </c>
      <c r="I249" s="1826">
        <v>0</v>
      </c>
      <c r="J249" s="1826">
        <v>0</v>
      </c>
      <c r="K249" s="1826">
        <v>0</v>
      </c>
      <c r="L249" s="1530">
        <f t="shared" si="34"/>
        <v>0</v>
      </c>
      <c r="N249" s="1531">
        <f>SUMIF('CF.2'!$H$5:$H$25,'CF.1'!E249,'CF.2'!$J$5:$J$25)-SUMIF('CF.2'!$K$5:$K$25,'CF.1'!E249,'CF.2'!$M$5:$M$25)</f>
        <v>0</v>
      </c>
      <c r="O249" s="1529">
        <f>SUMIF('CF.2'!$H$31:$H$60,'CF.1'!E249,'CF.2'!$J$31:$J$60)+SUMIF('CF.2'!$K$31:$K$60,'CF.1'!E249,'CF.2'!$M$31:$M$60)</f>
        <v>0</v>
      </c>
      <c r="P249" s="1529">
        <f>SUMIF('CF.2'!$H$65:$H$108,'CF.1'!E249,'CF.2'!$J$65:$J$108)+SUMIF('CF.2'!$K$65:$K$108,'CF.1'!E249,'CF.2'!$M$65:$M$108)</f>
        <v>0</v>
      </c>
      <c r="Q249" s="1529">
        <f>SUMIF('CF.2'!$H$112:$H$118,'CF.1'!E249,'CF.2'!$J$112:$J$118)+SUMIF('CF.2'!$K$112:$K$118,'CF.1'!E249,'CF.2'!$M$112:$M$118)</f>
        <v>0</v>
      </c>
      <c r="R249" s="1529">
        <f>SUMIF('CF.2'!$H$123:$H$134,'CF.1'!E249,'CF.2'!$J$123:$J$134)+SUMIF('CF.2'!$K$123:$K$134,'CF.1'!E249,'CF.2'!$M$123:$M$134)</f>
        <v>0</v>
      </c>
      <c r="S249" s="1530">
        <f t="shared" si="35"/>
        <v>0</v>
      </c>
      <c r="U249" s="1532">
        <f t="shared" si="36"/>
        <v>0</v>
      </c>
    </row>
    <row r="250" spans="3:23" ht="18" customHeight="1">
      <c r="C250" s="1359">
        <v>1</v>
      </c>
      <c r="D250" s="1527" t="s">
        <v>1141</v>
      </c>
      <c r="E250" s="1501" t="s">
        <v>1141</v>
      </c>
      <c r="F250" s="1528" t="s">
        <v>1372</v>
      </c>
      <c r="G250" s="1501" t="s">
        <v>1142</v>
      </c>
      <c r="H250" s="1825">
        <v>-600000000</v>
      </c>
      <c r="I250" s="1826">
        <v>0</v>
      </c>
      <c r="J250" s="1826">
        <v>0</v>
      </c>
      <c r="K250" s="1826">
        <v>-9216486</v>
      </c>
      <c r="L250" s="1530">
        <f t="shared" si="34"/>
        <v>-609216486</v>
      </c>
      <c r="N250" s="1531">
        <f>SUMIF('CF.2'!$H$5:$H$25,'CF.1'!E250,'CF.2'!$J$5:$J$25)-SUMIF('CF.2'!$K$5:$K$25,'CF.1'!E250,'CF.2'!$M$5:$M$25)</f>
        <v>0</v>
      </c>
      <c r="O250" s="1529">
        <f>SUMIF('CF.2'!$H$31:$H$60,'CF.1'!E250,'CF.2'!$J$31:$J$60)+SUMIF('CF.2'!$K$31:$K$60,'CF.1'!E250,'CF.2'!$M$31:$M$60)</f>
        <v>0</v>
      </c>
      <c r="P250" s="1529">
        <f>SUMIF('CF.2'!$H$65:$H$108,'CF.1'!E250,'CF.2'!$J$65:$J$108)+SUMIF('CF.2'!$K$65:$K$108,'CF.1'!E250,'CF.2'!$M$65:$M$108)</f>
        <v>0</v>
      </c>
      <c r="Q250" s="1529">
        <f>SUMIF('CF.2'!$H$112:$H$118,'CF.1'!E250,'CF.2'!$J$112:$J$118)+SUMIF('CF.2'!$K$112:$K$118,'CF.1'!E250,'CF.2'!$M$112:$M$118)</f>
        <v>0</v>
      </c>
      <c r="R250" s="1529">
        <f>SUMIF('CF.2'!$H$123:$H$134,'CF.1'!E250,'CF.2'!$J$123:$J$134)+SUMIF('CF.2'!$K$123:$K$134,'CF.1'!E250,'CF.2'!$M$123:$M$134)</f>
        <v>0</v>
      </c>
      <c r="S250" s="1530">
        <f t="shared" si="35"/>
        <v>0</v>
      </c>
      <c r="U250" s="1532">
        <f t="shared" si="36"/>
        <v>-609216486</v>
      </c>
    </row>
    <row r="251" spans="3:23" ht="18" customHeight="1">
      <c r="C251" s="1359">
        <v>1</v>
      </c>
      <c r="D251" s="1527" t="s">
        <v>1141</v>
      </c>
      <c r="E251" s="1501" t="s">
        <v>1683</v>
      </c>
      <c r="F251" s="1528" t="s">
        <v>1472</v>
      </c>
      <c r="G251" s="1501" t="s">
        <v>1142</v>
      </c>
      <c r="H251" s="1825">
        <v>-500000</v>
      </c>
      <c r="I251" s="1826">
        <v>0</v>
      </c>
      <c r="J251" s="1826">
        <v>0</v>
      </c>
      <c r="K251" s="1826"/>
      <c r="L251" s="1530">
        <f t="shared" si="34"/>
        <v>-500000</v>
      </c>
      <c r="N251" s="1531"/>
      <c r="O251" s="1529"/>
      <c r="P251" s="1529"/>
      <c r="Q251" s="1529"/>
      <c r="R251" s="1529"/>
      <c r="S251" s="1530">
        <f t="shared" si="35"/>
        <v>0</v>
      </c>
      <c r="U251" s="1532">
        <f t="shared" si="36"/>
        <v>-500000</v>
      </c>
    </row>
    <row r="252" spans="3:23" ht="18" customHeight="1">
      <c r="C252" s="1359">
        <v>1</v>
      </c>
      <c r="D252" s="1527" t="s">
        <v>1143</v>
      </c>
      <c r="E252" s="1501" t="s">
        <v>1143</v>
      </c>
      <c r="F252" s="1528"/>
      <c r="G252" s="1501" t="s">
        <v>1144</v>
      </c>
      <c r="H252" s="1825">
        <v>0</v>
      </c>
      <c r="I252" s="1826">
        <v>0</v>
      </c>
      <c r="J252" s="1826">
        <v>0</v>
      </c>
      <c r="K252" s="1826">
        <v>0</v>
      </c>
      <c r="L252" s="1530">
        <f t="shared" si="34"/>
        <v>0</v>
      </c>
      <c r="N252" s="1531">
        <f>SUMIF('CF.2'!$H$5:$H$25,'CF.1'!E252,'CF.2'!$J$5:$J$25)-SUMIF('CF.2'!$K$5:$K$25,'CF.1'!E252,'CF.2'!$M$5:$M$25)</f>
        <v>0</v>
      </c>
      <c r="O252" s="1529">
        <f>SUMIF('CF.2'!$H$31:$H$60,'CF.1'!E252,'CF.2'!$J$31:$J$60)+SUMIF('CF.2'!$K$31:$K$60,'CF.1'!E252,'CF.2'!$M$31:$M$60)</f>
        <v>0</v>
      </c>
      <c r="P252" s="1529">
        <f>SUMIF('CF.2'!$H$65:$H$108,'CF.1'!E252,'CF.2'!$J$65:$J$108)+SUMIF('CF.2'!$K$65:$K$108,'CF.1'!E252,'CF.2'!$M$65:$M$108)</f>
        <v>0</v>
      </c>
      <c r="Q252" s="1529">
        <f>SUMIF('CF.2'!$H$112:$H$118,'CF.1'!E252,'CF.2'!$J$112:$J$118)+SUMIF('CF.2'!$K$112:$K$118,'CF.1'!E252,'CF.2'!$M$112:$M$118)</f>
        <v>0</v>
      </c>
      <c r="R252" s="1529">
        <f>SUMIF('CF.2'!$H$123:$H$134,'CF.1'!E252,'CF.2'!$J$123:$J$134)+SUMIF('CF.2'!$K$123:$K$134,'CF.1'!E252,'CF.2'!$M$123:$M$134)</f>
        <v>0</v>
      </c>
      <c r="S252" s="1530">
        <f t="shared" si="35"/>
        <v>0</v>
      </c>
      <c r="U252" s="1532">
        <f t="shared" si="36"/>
        <v>0</v>
      </c>
    </row>
    <row r="253" spans="3:23" ht="18" customHeight="1">
      <c r="C253" s="1359">
        <v>1</v>
      </c>
      <c r="D253" s="1527" t="s">
        <v>1145</v>
      </c>
      <c r="E253" s="1501" t="s">
        <v>1145</v>
      </c>
      <c r="F253" s="1528"/>
      <c r="G253" s="1501" t="s">
        <v>1146</v>
      </c>
      <c r="H253" s="1825">
        <v>0</v>
      </c>
      <c r="I253" s="1826">
        <v>0</v>
      </c>
      <c r="J253" s="1826">
        <v>0</v>
      </c>
      <c r="K253" s="1826">
        <v>0</v>
      </c>
      <c r="L253" s="1530">
        <f t="shared" si="34"/>
        <v>0</v>
      </c>
      <c r="N253" s="1531">
        <f>SUMIF('CF.2'!$H$5:$H$25,'CF.1'!E253,'CF.2'!$J$5:$J$25)-SUMIF('CF.2'!$K$5:$K$25,'CF.1'!E253,'CF.2'!$M$5:$M$25)</f>
        <v>0</v>
      </c>
      <c r="O253" s="1529">
        <f>SUMIF('CF.2'!$H$31:$H$60,'CF.1'!E253,'CF.2'!$J$31:$J$60)+SUMIF('CF.2'!$K$31:$K$60,'CF.1'!E253,'CF.2'!$M$31:$M$60)</f>
        <v>0</v>
      </c>
      <c r="P253" s="1529">
        <f>SUMIF('CF.2'!$H$65:$H$108,'CF.1'!E253,'CF.2'!$J$65:$J$108)+SUMIF('CF.2'!$K$65:$K$108,'CF.1'!E253,'CF.2'!$M$65:$M$108)</f>
        <v>0</v>
      </c>
      <c r="Q253" s="1529">
        <f>SUMIF('CF.2'!$H$112:$H$118,'CF.1'!E253,'CF.2'!$J$112:$J$118)+SUMIF('CF.2'!$K$112:$K$118,'CF.1'!E253,'CF.2'!$M$112:$M$118)</f>
        <v>0</v>
      </c>
      <c r="R253" s="1529">
        <f>SUMIF('CF.2'!$H$123:$H$134,'CF.1'!E253,'CF.2'!$J$123:$J$134)+SUMIF('CF.2'!$K$123:$K$134,'CF.1'!E253,'CF.2'!$M$123:$M$134)</f>
        <v>0</v>
      </c>
      <c r="S253" s="1530">
        <f t="shared" si="35"/>
        <v>0</v>
      </c>
      <c r="U253" s="1532">
        <f t="shared" si="36"/>
        <v>0</v>
      </c>
    </row>
    <row r="254" spans="3:23" ht="18" customHeight="1">
      <c r="C254" s="1359">
        <v>1</v>
      </c>
      <c r="D254" s="1527" t="s">
        <v>1147</v>
      </c>
      <c r="E254" s="1501" t="s">
        <v>1147</v>
      </c>
      <c r="F254" s="1528"/>
      <c r="G254" s="1501" t="s">
        <v>1148</v>
      </c>
      <c r="H254" s="1825">
        <v>0</v>
      </c>
      <c r="I254" s="1826">
        <v>0</v>
      </c>
      <c r="J254" s="1826">
        <v>0</v>
      </c>
      <c r="K254" s="1826">
        <v>0</v>
      </c>
      <c r="L254" s="1530">
        <f t="shared" si="34"/>
        <v>0</v>
      </c>
      <c r="N254" s="1531">
        <f>SUMIF('CF.2'!$H$5:$H$25,'CF.1'!E254,'CF.2'!$J$5:$J$25)-SUMIF('CF.2'!$K$5:$K$25,'CF.1'!E254,'CF.2'!$M$5:$M$25)</f>
        <v>0</v>
      </c>
      <c r="O254" s="1529">
        <f>SUMIF('CF.2'!$H$31:$H$60,'CF.1'!E254,'CF.2'!$J$31:$J$60)+SUMIF('CF.2'!$K$31:$K$60,'CF.1'!E254,'CF.2'!$M$31:$M$60)</f>
        <v>0</v>
      </c>
      <c r="P254" s="1529">
        <f>SUMIF('CF.2'!$H$65:$H$108,'CF.1'!E254,'CF.2'!$J$65:$J$108)+SUMIF('CF.2'!$K$65:$K$108,'CF.1'!E254,'CF.2'!$M$65:$M$108)</f>
        <v>0</v>
      </c>
      <c r="Q254" s="1529">
        <f>SUMIF('CF.2'!$H$112:$H$118,'CF.1'!E254,'CF.2'!$J$112:$J$118)+SUMIF('CF.2'!$K$112:$K$118,'CF.1'!E254,'CF.2'!$M$112:$M$118)</f>
        <v>0</v>
      </c>
      <c r="R254" s="1529">
        <f>SUMIF('CF.2'!$H$123:$H$134,'CF.1'!E254,'CF.2'!$J$123:$J$134)+SUMIF('CF.2'!$K$123:$K$134,'CF.1'!E254,'CF.2'!$M$123:$M$134)</f>
        <v>0</v>
      </c>
      <c r="S254" s="1530">
        <f t="shared" si="35"/>
        <v>0</v>
      </c>
      <c r="U254" s="1532">
        <f t="shared" si="36"/>
        <v>0</v>
      </c>
    </row>
    <row r="255" spans="3:23" ht="18" customHeight="1">
      <c r="C255" s="1359">
        <v>1</v>
      </c>
      <c r="D255" s="1527" t="s">
        <v>1151</v>
      </c>
      <c r="E255" s="1501" t="s">
        <v>1151</v>
      </c>
      <c r="F255" s="1528"/>
      <c r="G255" s="1501" t="s">
        <v>1152</v>
      </c>
      <c r="H255" s="1825">
        <v>0</v>
      </c>
      <c r="I255" s="1826">
        <v>0</v>
      </c>
      <c r="J255" s="1826">
        <v>0</v>
      </c>
      <c r="K255" s="1826">
        <v>0</v>
      </c>
      <c r="L255" s="1530">
        <f t="shared" si="34"/>
        <v>0</v>
      </c>
      <c r="N255" s="1531">
        <f>SUMIF('CF.2'!$H$5:$H$25,'CF.1'!E255,'CF.2'!$J$5:$J$25)-SUMIF('CF.2'!$K$5:$K$25,'CF.1'!E255,'CF.2'!$M$5:$M$25)</f>
        <v>0</v>
      </c>
      <c r="O255" s="1529">
        <f>SUMIF('CF.2'!$H$31:$H$60,'CF.1'!E255,'CF.2'!$J$31:$J$60)+SUMIF('CF.2'!$K$31:$K$60,'CF.1'!E255,'CF.2'!$M$31:$M$60)</f>
        <v>0</v>
      </c>
      <c r="P255" s="1529">
        <f>SUMIF('CF.2'!$H$65:$H$108,'CF.1'!E255,'CF.2'!$J$65:$J$108)+SUMIF('CF.2'!$K$65:$K$108,'CF.1'!E255,'CF.2'!$M$65:$M$108)</f>
        <v>0</v>
      </c>
      <c r="Q255" s="1529">
        <f>SUMIF('CF.2'!$H$112:$H$118,'CF.1'!E255,'CF.2'!$J$112:$J$118)+SUMIF('CF.2'!$K$112:$K$118,'CF.1'!E255,'CF.2'!$M$112:$M$118)</f>
        <v>0</v>
      </c>
      <c r="R255" s="1529">
        <f>SUMIF('CF.2'!$H$123:$H$134,'CF.1'!E255,'CF.2'!$J$123:$J$134)+SUMIF('CF.2'!$K$123:$K$134,'CF.1'!E255,'CF.2'!$M$123:$M$134)</f>
        <v>0</v>
      </c>
      <c r="S255" s="1530">
        <f t="shared" si="35"/>
        <v>0</v>
      </c>
      <c r="U255" s="1532">
        <f t="shared" si="36"/>
        <v>0</v>
      </c>
    </row>
    <row r="256" spans="3:23" ht="18" customHeight="1">
      <c r="C256" s="1359">
        <v>1</v>
      </c>
      <c r="D256" s="1527" t="s">
        <v>1153</v>
      </c>
      <c r="E256" s="1501" t="s">
        <v>1153</v>
      </c>
      <c r="F256" s="1528" t="s">
        <v>2191</v>
      </c>
      <c r="G256" s="1501" t="s">
        <v>1154</v>
      </c>
      <c r="H256" s="1825">
        <v>-3011475000</v>
      </c>
      <c r="I256" s="1826">
        <v>0</v>
      </c>
      <c r="J256" s="1826">
        <v>0</v>
      </c>
      <c r="K256" s="1826">
        <v>0</v>
      </c>
      <c r="L256" s="1530">
        <f t="shared" si="34"/>
        <v>-3011475000</v>
      </c>
      <c r="N256" s="1531">
        <f>SUMIF('CF.2'!$H$5:$H$25,'CF.1'!E256,'CF.2'!$J$5:$J$25)-SUMIF('CF.2'!$K$5:$K$25,'CF.1'!E256,'CF.2'!$M$5:$M$25)</f>
        <v>0</v>
      </c>
      <c r="O256" s="1529">
        <f>SUMIF('CF.2'!$H$31:$H$60,'CF.1'!E256,'CF.2'!$J$31:$J$60)+SUMIF('CF.2'!$K$31:$K$60,'CF.1'!E256,'CF.2'!$M$31:$M$60)</f>
        <v>0</v>
      </c>
      <c r="P256" s="1529">
        <f>SUMIF('CF.2'!$H$65:$H$108,'CF.1'!E256,'CF.2'!$J$65:$J$108)+SUMIF('CF.2'!$K$65:$K$108,'CF.1'!E256,'CF.2'!$M$65:$M$108)</f>
        <v>0</v>
      </c>
      <c r="Q256" s="1529">
        <f>SUMIF('CF.2'!$H$112:$H$118,'CF.1'!E256,'CF.2'!$J$112:$J$118)+SUMIF('CF.2'!$K$112:$K$118,'CF.1'!E256,'CF.2'!$M$112:$M$118)</f>
        <v>0</v>
      </c>
      <c r="R256" s="1529">
        <f>SUMIF('CF.2'!$H$123:$H$134,'CF.1'!E256,'CF.2'!$J$123:$J$134)+SUMIF('CF.2'!$K$123:$K$134,'CF.1'!E256,'CF.2'!$M$123:$M$134)</f>
        <v>0</v>
      </c>
      <c r="S256" s="1530">
        <f t="shared" si="35"/>
        <v>0</v>
      </c>
      <c r="U256" s="1532">
        <f t="shared" si="36"/>
        <v>-3011475000</v>
      </c>
    </row>
    <row r="257" spans="3:26" s="1086" customFormat="1" ht="18" customHeight="1">
      <c r="C257" s="1086">
        <v>1</v>
      </c>
      <c r="D257" s="1533" t="s">
        <v>1155</v>
      </c>
      <c r="E257" s="1271" t="s">
        <v>1155</v>
      </c>
      <c r="F257" s="1534" t="s">
        <v>1474</v>
      </c>
      <c r="G257" s="1271" t="s">
        <v>1156</v>
      </c>
      <c r="H257" s="1824">
        <v>-1999950000</v>
      </c>
      <c r="I257" s="1827">
        <v>0</v>
      </c>
      <c r="J257" s="1827">
        <v>0</v>
      </c>
      <c r="K257" s="1827">
        <v>0</v>
      </c>
      <c r="L257" s="1536">
        <f t="shared" si="34"/>
        <v>-1999950000</v>
      </c>
      <c r="N257" s="1550">
        <f>SUMIF('CF.2'!$H$5:$H$25,'CF.1'!E257,'CF.2'!$J$5:$J$25)-SUMIF('CF.2'!$K$5:$K$25,'CF.1'!E257,'CF.2'!$M$5:$M$25)</f>
        <v>0</v>
      </c>
      <c r="O257" s="1535">
        <f>SUMIF('CF.2'!$H$31:$H$60,'CF.1'!E257,'CF.2'!$J$31:$J$60)+SUMIF('CF.2'!$K$31:$K$60,'CF.1'!E257,'CF.2'!$M$31:$M$60)</f>
        <v>0</v>
      </c>
      <c r="P257" s="1535">
        <f>SUMIF('CF.2'!$H$65:$H$108,'CF.1'!E257,'CF.2'!$J$65:$J$108)+SUMIF('CF.2'!$K$65:$K$108,'CF.1'!E257,'CF.2'!$M$65:$M$108)</f>
        <v>1999950000</v>
      </c>
      <c r="Q257" s="1535">
        <f>SUMIF('CF.2'!$H$112:$H$118,'CF.1'!E257,'CF.2'!$J$112:$J$118)+SUMIF('CF.2'!$K$112:$K$118,'CF.1'!E257,'CF.2'!$M$112:$M$118)</f>
        <v>0</v>
      </c>
      <c r="R257" s="1535">
        <f>SUMIF('CF.2'!$H$123:$H$134,'CF.1'!E257,'CF.2'!$J$123:$J$134)+SUMIF('CF.2'!$K$123:$K$134,'CF.1'!E257,'CF.2'!$M$123:$M$134)</f>
        <v>0</v>
      </c>
      <c r="S257" s="1536">
        <f t="shared" si="35"/>
        <v>1999950000</v>
      </c>
      <c r="U257" s="1537">
        <f t="shared" si="36"/>
        <v>0</v>
      </c>
    </row>
    <row r="258" spans="3:26" ht="18" customHeight="1">
      <c r="C258" s="1359">
        <v>1</v>
      </c>
      <c r="D258" s="1527" t="s">
        <v>1157</v>
      </c>
      <c r="E258" s="1501" t="s">
        <v>1157</v>
      </c>
      <c r="F258" s="1528" t="s">
        <v>1474</v>
      </c>
      <c r="G258" s="1501" t="s">
        <v>2196</v>
      </c>
      <c r="H258" s="1825">
        <v>0</v>
      </c>
      <c r="I258" s="1826">
        <v>0</v>
      </c>
      <c r="J258" s="1826">
        <v>0</v>
      </c>
      <c r="K258" s="1826">
        <v>0</v>
      </c>
      <c r="L258" s="1530">
        <f t="shared" si="34"/>
        <v>0</v>
      </c>
      <c r="N258" s="1531">
        <f>SUMIF('CF.2'!$H$5:$H$25,'CF.1'!E258,'CF.2'!$J$5:$J$25)-SUMIF('CF.2'!$K$5:$K$25,'CF.1'!E258,'CF.2'!$M$5:$M$25)</f>
        <v>0</v>
      </c>
      <c r="O258" s="1529">
        <f>SUMIF('CF.2'!$H$31:$H$60,'CF.1'!E258,'CF.2'!$J$31:$J$60)+SUMIF('CF.2'!$K$31:$K$60,'CF.1'!E258,'CF.2'!$M$31:$M$60)</f>
        <v>0</v>
      </c>
      <c r="P258" s="1529">
        <f>SUMIF('CF.2'!$H$65:$H$108,'CF.1'!E258,'CF.2'!$J$65:$J$108)+SUMIF('CF.2'!$K$65:$K$108,'CF.1'!E258,'CF.2'!$M$65:$M$108)</f>
        <v>0</v>
      </c>
      <c r="Q258" s="1529">
        <f>SUMIF('CF.2'!$H$112:$H$118,'CF.1'!E258,'CF.2'!$J$112:$J$118)+SUMIF('CF.2'!$K$112:$K$118,'CF.1'!E258,'CF.2'!$M$112:$M$118)</f>
        <v>0</v>
      </c>
      <c r="R258" s="1529">
        <f>SUMIF('CF.2'!$H$123:$H$134,'CF.1'!E258,'CF.2'!$J$123:$J$134)+SUMIF('CF.2'!$K$123:$K$134,'CF.1'!E258,'CF.2'!$M$123:$M$134)</f>
        <v>0</v>
      </c>
      <c r="S258" s="1530">
        <f t="shared" si="35"/>
        <v>0</v>
      </c>
      <c r="U258" s="1532">
        <f t="shared" si="36"/>
        <v>0</v>
      </c>
      <c r="V258" s="1086"/>
    </row>
    <row r="259" spans="3:26" ht="18" customHeight="1">
      <c r="C259" s="1359">
        <v>1</v>
      </c>
      <c r="D259" s="1527" t="s">
        <v>1159</v>
      </c>
      <c r="E259" s="1501" t="s">
        <v>1159</v>
      </c>
      <c r="F259" s="1528"/>
      <c r="G259" s="1501" t="s">
        <v>1160</v>
      </c>
      <c r="H259" s="1825">
        <v>0</v>
      </c>
      <c r="I259" s="1826">
        <v>0</v>
      </c>
      <c r="J259" s="1826">
        <v>0</v>
      </c>
      <c r="K259" s="1826">
        <v>0</v>
      </c>
      <c r="L259" s="1530">
        <f t="shared" si="34"/>
        <v>0</v>
      </c>
      <c r="N259" s="1531">
        <f>SUMIF('CF.2'!$H$5:$H$25,'CF.1'!E259,'CF.2'!$J$5:$J$25)-SUMIF('CF.2'!$K$5:$K$25,'CF.1'!E259,'CF.2'!$M$5:$M$25)</f>
        <v>0</v>
      </c>
      <c r="O259" s="1529">
        <f>SUMIF('CF.2'!$H$31:$H$60,'CF.1'!E259,'CF.2'!$J$31:$J$60)+SUMIF('CF.2'!$K$31:$K$60,'CF.1'!E259,'CF.2'!$M$31:$M$60)</f>
        <v>0</v>
      </c>
      <c r="P259" s="1529">
        <f>SUMIF('CF.2'!$H$65:$H$108,'CF.1'!E259,'CF.2'!$J$65:$J$108)+SUMIF('CF.2'!$K$65:$K$108,'CF.1'!E259,'CF.2'!$M$65:$M$108)</f>
        <v>0</v>
      </c>
      <c r="Q259" s="1529">
        <f>SUMIF('CF.2'!$H$112:$H$118,'CF.1'!E259,'CF.2'!$J$112:$J$118)+SUMIF('CF.2'!$K$112:$K$118,'CF.1'!E259,'CF.2'!$M$112:$M$118)</f>
        <v>0</v>
      </c>
      <c r="R259" s="1529">
        <f>SUMIF('CF.2'!$H$123:$H$134,'CF.1'!E259,'CF.2'!$J$123:$J$134)+SUMIF('CF.2'!$K$123:$K$134,'CF.1'!E259,'CF.2'!$M$123:$M$134)</f>
        <v>0</v>
      </c>
      <c r="S259" s="1530">
        <f t="shared" si="35"/>
        <v>0</v>
      </c>
      <c r="U259" s="1532">
        <f t="shared" si="36"/>
        <v>0</v>
      </c>
      <c r="V259" s="1086"/>
    </row>
    <row r="260" spans="3:26" ht="18" customHeight="1">
      <c r="C260" s="1359">
        <v>1</v>
      </c>
      <c r="D260" s="1527" t="s">
        <v>1161</v>
      </c>
      <c r="E260" s="1501" t="s">
        <v>1161</v>
      </c>
      <c r="F260" s="1528"/>
      <c r="G260" s="1501" t="s">
        <v>1162</v>
      </c>
      <c r="H260" s="1825">
        <v>0</v>
      </c>
      <c r="I260" s="1826">
        <v>0</v>
      </c>
      <c r="J260" s="1826">
        <v>0</v>
      </c>
      <c r="K260" s="1826">
        <v>0</v>
      </c>
      <c r="L260" s="1530">
        <f t="shared" si="34"/>
        <v>0</v>
      </c>
      <c r="N260" s="1531">
        <f>SUMIF('CF.2'!$H$5:$H$25,'CF.1'!E260,'CF.2'!$J$5:$J$25)-SUMIF('CF.2'!$K$5:$K$25,'CF.1'!E260,'CF.2'!$M$5:$M$25)</f>
        <v>0</v>
      </c>
      <c r="O260" s="1529">
        <f>SUMIF('CF.2'!$H$31:$H$60,'CF.1'!E260,'CF.2'!$J$31:$J$60)+SUMIF('CF.2'!$K$31:$K$60,'CF.1'!E260,'CF.2'!$M$31:$M$60)</f>
        <v>0</v>
      </c>
      <c r="P260" s="1529">
        <f>SUMIF('CF.2'!$H$65:$H$108,'CF.1'!E260,'CF.2'!$J$65:$J$108)+SUMIF('CF.2'!$K$65:$K$108,'CF.1'!E260,'CF.2'!$M$65:$M$108)</f>
        <v>0</v>
      </c>
      <c r="Q260" s="1529">
        <f>SUMIF('CF.2'!$H$112:$H$118,'CF.1'!E260,'CF.2'!$J$112:$J$118)+SUMIF('CF.2'!$K$112:$K$118,'CF.1'!E260,'CF.2'!$M$112:$M$118)</f>
        <v>0</v>
      </c>
      <c r="R260" s="1529">
        <f>SUMIF('CF.2'!$H$123:$H$134,'CF.1'!E260,'CF.2'!$J$123:$J$134)+SUMIF('CF.2'!$K$123:$K$134,'CF.1'!E260,'CF.2'!$M$123:$M$134)</f>
        <v>0</v>
      </c>
      <c r="S260" s="1530">
        <f t="shared" si="35"/>
        <v>0</v>
      </c>
      <c r="U260" s="1532">
        <f t="shared" si="36"/>
        <v>0</v>
      </c>
    </row>
    <row r="261" spans="3:26" ht="18" customHeight="1">
      <c r="C261" s="1359">
        <v>1</v>
      </c>
      <c r="D261" s="1527" t="s">
        <v>1163</v>
      </c>
      <c r="E261" s="1501" t="s">
        <v>1163</v>
      </c>
      <c r="F261" s="1528"/>
      <c r="G261" s="1501" t="s">
        <v>1164</v>
      </c>
      <c r="H261" s="1825">
        <v>0</v>
      </c>
      <c r="I261" s="1826">
        <v>0</v>
      </c>
      <c r="J261" s="1826">
        <v>0</v>
      </c>
      <c r="K261" s="1826">
        <v>0</v>
      </c>
      <c r="L261" s="1530">
        <f t="shared" si="34"/>
        <v>0</v>
      </c>
      <c r="N261" s="1531">
        <f>SUMIF('CF.2'!$H$5:$H$25,'CF.1'!E261,'CF.2'!$J$5:$J$25)-SUMIF('CF.2'!$K$5:$K$25,'CF.1'!E261,'CF.2'!$M$5:$M$25)</f>
        <v>0</v>
      </c>
      <c r="O261" s="1529">
        <f>SUMIF('CF.2'!$H$31:$H$60,'CF.1'!E261,'CF.2'!$J$31:$J$60)+SUMIF('CF.2'!$K$31:$K$60,'CF.1'!E261,'CF.2'!$M$31:$M$60)</f>
        <v>0</v>
      </c>
      <c r="P261" s="1529">
        <f>SUMIF('CF.2'!$H$65:$H$108,'CF.1'!E261,'CF.2'!$J$65:$J$108)+SUMIF('CF.2'!$K$65:$K$108,'CF.1'!E261,'CF.2'!$M$65:$M$108)</f>
        <v>0</v>
      </c>
      <c r="Q261" s="1529">
        <f>SUMIF('CF.2'!$H$112:$H$118,'CF.1'!E261,'CF.2'!$J$112:$J$118)+SUMIF('CF.2'!$K$112:$K$118,'CF.1'!E261,'CF.2'!$M$112:$M$118)</f>
        <v>0</v>
      </c>
      <c r="R261" s="1529">
        <f>SUMIF('CF.2'!$H$123:$H$134,'CF.1'!E261,'CF.2'!$J$123:$J$134)+SUMIF('CF.2'!$K$123:$K$134,'CF.1'!E261,'CF.2'!$M$123:$M$134)</f>
        <v>0</v>
      </c>
      <c r="S261" s="1530">
        <f t="shared" si="35"/>
        <v>0</v>
      </c>
      <c r="U261" s="1532">
        <f t="shared" si="36"/>
        <v>0</v>
      </c>
    </row>
    <row r="262" spans="3:26" ht="18" customHeight="1">
      <c r="C262" s="1359">
        <v>1</v>
      </c>
      <c r="D262" s="1527" t="s">
        <v>1165</v>
      </c>
      <c r="E262" s="1501" t="s">
        <v>1165</v>
      </c>
      <c r="F262" s="1528"/>
      <c r="G262" s="1501" t="s">
        <v>1166</v>
      </c>
      <c r="H262" s="1825">
        <v>0</v>
      </c>
      <c r="I262" s="1826">
        <v>0</v>
      </c>
      <c r="J262" s="1826">
        <v>0</v>
      </c>
      <c r="K262" s="1826">
        <v>0</v>
      </c>
      <c r="L262" s="1530">
        <f t="shared" si="34"/>
        <v>0</v>
      </c>
      <c r="N262" s="1531">
        <f>SUMIF('CF.2'!$H$5:$H$25,'CF.1'!E262,'CF.2'!$J$5:$J$25)-SUMIF('CF.2'!$K$5:$K$25,'CF.1'!E262,'CF.2'!$M$5:$M$25)</f>
        <v>0</v>
      </c>
      <c r="O262" s="1529">
        <f>SUMIF('CF.2'!$H$31:$H$60,'CF.1'!E262,'CF.2'!$J$31:$J$60)+SUMIF('CF.2'!$K$31:$K$60,'CF.1'!E262,'CF.2'!$M$31:$M$60)</f>
        <v>0</v>
      </c>
      <c r="P262" s="1529">
        <f>SUMIF('CF.2'!$H$65:$H$108,'CF.1'!E262,'CF.2'!$J$65:$J$108)+SUMIF('CF.2'!$K$65:$K$108,'CF.1'!E262,'CF.2'!$M$65:$M$108)</f>
        <v>0</v>
      </c>
      <c r="Q262" s="1529">
        <f>SUMIF('CF.2'!$H$112:$H$118,'CF.1'!E262,'CF.2'!$J$112:$J$118)+SUMIF('CF.2'!$K$112:$K$118,'CF.1'!E262,'CF.2'!$M$112:$M$118)</f>
        <v>0</v>
      </c>
      <c r="R262" s="1529">
        <f>SUMIF('CF.2'!$H$123:$H$134,'CF.1'!E262,'CF.2'!$J$123:$J$134)+SUMIF('CF.2'!$K$123:$K$134,'CF.1'!E262,'CF.2'!$M$123:$M$134)</f>
        <v>0</v>
      </c>
      <c r="S262" s="1530">
        <f t="shared" si="35"/>
        <v>0</v>
      </c>
      <c r="U262" s="1532">
        <f t="shared" si="36"/>
        <v>0</v>
      </c>
    </row>
    <row r="263" spans="3:26" ht="18" customHeight="1">
      <c r="C263" s="1359">
        <v>1</v>
      </c>
      <c r="D263" s="1527" t="s">
        <v>1167</v>
      </c>
      <c r="E263" s="1501" t="s">
        <v>1167</v>
      </c>
      <c r="F263" s="1528"/>
      <c r="G263" s="1501" t="s">
        <v>1168</v>
      </c>
      <c r="H263" s="1825">
        <v>0</v>
      </c>
      <c r="I263" s="1826">
        <v>0</v>
      </c>
      <c r="J263" s="1826">
        <v>0</v>
      </c>
      <c r="K263" s="1826">
        <v>0</v>
      </c>
      <c r="L263" s="1530">
        <f t="shared" si="34"/>
        <v>0</v>
      </c>
      <c r="N263" s="1531">
        <f>SUMIF('CF.2'!$H$5:$H$25,'CF.1'!E263,'CF.2'!$J$5:$J$25)-SUMIF('CF.2'!$K$5:$K$25,'CF.1'!E263,'CF.2'!$M$5:$M$25)</f>
        <v>0</v>
      </c>
      <c r="O263" s="1529">
        <f>SUMIF('CF.2'!$H$31:$H$60,'CF.1'!E263,'CF.2'!$J$31:$J$60)+SUMIF('CF.2'!$K$31:$K$60,'CF.1'!E263,'CF.2'!$M$31:$M$60)</f>
        <v>0</v>
      </c>
      <c r="P263" s="1529">
        <f>SUMIF('CF.2'!$H$65:$H$108,'CF.1'!E263,'CF.2'!$J$65:$J$108)+SUMIF('CF.2'!$K$65:$K$108,'CF.1'!E263,'CF.2'!$M$65:$M$108)</f>
        <v>0</v>
      </c>
      <c r="Q263" s="1529">
        <f>SUMIF('CF.2'!$H$112:$H$118,'CF.1'!E263,'CF.2'!$J$112:$J$118)+SUMIF('CF.2'!$K$112:$K$118,'CF.1'!E263,'CF.2'!$M$112:$M$118)</f>
        <v>0</v>
      </c>
      <c r="R263" s="1529">
        <f>SUMIF('CF.2'!$H$123:$H$134,'CF.1'!E263,'CF.2'!$J$123:$J$134)+SUMIF('CF.2'!$K$123:$K$134,'CF.1'!E263,'CF.2'!$M$123:$M$134)</f>
        <v>0</v>
      </c>
      <c r="S263" s="1530">
        <f t="shared" si="35"/>
        <v>0</v>
      </c>
      <c r="U263" s="1532">
        <f t="shared" si="36"/>
        <v>0</v>
      </c>
    </row>
    <row r="264" spans="3:26" ht="18" customHeight="1">
      <c r="C264" s="1359">
        <v>1</v>
      </c>
      <c r="D264" s="1527" t="s">
        <v>1169</v>
      </c>
      <c r="E264" s="1501" t="s">
        <v>1169</v>
      </c>
      <c r="F264" s="1528"/>
      <c r="G264" s="1501" t="s">
        <v>1170</v>
      </c>
      <c r="H264" s="1825">
        <v>0</v>
      </c>
      <c r="I264" s="1826">
        <v>0</v>
      </c>
      <c r="J264" s="1826">
        <v>0</v>
      </c>
      <c r="K264" s="1826"/>
      <c r="L264" s="1530">
        <f t="shared" si="34"/>
        <v>0</v>
      </c>
      <c r="N264" s="1531">
        <f>SUMIF('CF.2'!$H$5:$H$25,'CF.1'!E264,'CF.2'!$J$5:$J$25)-SUMIF('CF.2'!$K$5:$K$25,'CF.1'!E264,'CF.2'!$M$5:$M$25)</f>
        <v>0</v>
      </c>
      <c r="O264" s="1529">
        <f>SUMIF('CF.2'!$H$31:$H$60,'CF.1'!E264,'CF.2'!$J$31:$J$60)+SUMIF('CF.2'!$K$31:$K$60,'CF.1'!E264,'CF.2'!$M$31:$M$60)</f>
        <v>0</v>
      </c>
      <c r="P264" s="1529">
        <f>SUMIF('CF.2'!$H$65:$H$108,'CF.1'!E264,'CF.2'!$J$65:$J$108)+SUMIF('CF.2'!$K$65:$K$108,'CF.1'!E264,'CF.2'!$M$65:$M$108)</f>
        <v>0</v>
      </c>
      <c r="Q264" s="1529">
        <f>SUMIF('CF.2'!$H$112:$H$118,'CF.1'!E264,'CF.2'!$J$112:$J$118)+SUMIF('CF.2'!$K$112:$K$118,'CF.1'!E264,'CF.2'!$M$112:$M$118)</f>
        <v>0</v>
      </c>
      <c r="R264" s="1529">
        <f>SUMIF('CF.2'!$H$123:$H$134,'CF.1'!E264,'CF.2'!$J$123:$J$134)+SUMIF('CF.2'!$K$123:$K$134,'CF.1'!E264,'CF.2'!$M$123:$M$134)</f>
        <v>0</v>
      </c>
      <c r="S264" s="1530">
        <f t="shared" si="35"/>
        <v>0</v>
      </c>
      <c r="U264" s="1532">
        <f t="shared" si="36"/>
        <v>0</v>
      </c>
    </row>
    <row r="265" spans="3:26" ht="18" customHeight="1">
      <c r="C265" s="1359">
        <v>1</v>
      </c>
      <c r="D265" s="1527" t="s">
        <v>1171</v>
      </c>
      <c r="E265" s="1501" t="s">
        <v>1171</v>
      </c>
      <c r="F265" s="1528"/>
      <c r="G265" s="1501" t="s">
        <v>1172</v>
      </c>
      <c r="H265" s="1825">
        <v>0</v>
      </c>
      <c r="I265" s="1826">
        <v>0</v>
      </c>
      <c r="J265" s="1826">
        <v>0</v>
      </c>
      <c r="K265" s="1826">
        <v>0</v>
      </c>
      <c r="L265" s="1530">
        <f t="shared" si="34"/>
        <v>0</v>
      </c>
      <c r="N265" s="1531">
        <f>SUMIF('CF.2'!$H$5:$H$25,'CF.1'!E265,'CF.2'!$J$5:$J$25)-SUMIF('CF.2'!$K$5:$K$25,'CF.1'!E265,'CF.2'!$M$5:$M$25)</f>
        <v>0</v>
      </c>
      <c r="O265" s="1529">
        <f>SUMIF('CF.2'!$H$31:$H$60,'CF.1'!E265,'CF.2'!$J$31:$J$60)+SUMIF('CF.2'!$K$31:$K$60,'CF.1'!E265,'CF.2'!$M$31:$M$60)</f>
        <v>0</v>
      </c>
      <c r="P265" s="1529">
        <f>SUMIF('CF.2'!$H$65:$H$108,'CF.1'!E265,'CF.2'!$J$65:$J$108)+SUMIF('CF.2'!$K$65:$K$108,'CF.1'!E265,'CF.2'!$M$65:$M$108)</f>
        <v>0</v>
      </c>
      <c r="Q265" s="1529">
        <f>SUMIF('CF.2'!$H$112:$H$118,'CF.1'!E265,'CF.2'!$J$112:$J$118)+SUMIF('CF.2'!$K$112:$K$118,'CF.1'!E265,'CF.2'!$M$112:$M$118)</f>
        <v>0</v>
      </c>
      <c r="R265" s="1529">
        <f>SUMIF('CF.2'!$H$123:$H$134,'CF.1'!E265,'CF.2'!$J$123:$J$134)+SUMIF('CF.2'!$K$123:$K$134,'CF.1'!E265,'CF.2'!$M$123:$M$134)</f>
        <v>0</v>
      </c>
      <c r="S265" s="1530">
        <f t="shared" si="35"/>
        <v>0</v>
      </c>
      <c r="U265" s="1532">
        <f t="shared" si="36"/>
        <v>0</v>
      </c>
    </row>
    <row r="266" spans="3:26" ht="18" customHeight="1">
      <c r="C266" s="1359">
        <v>1</v>
      </c>
      <c r="D266" s="1527" t="s">
        <v>1173</v>
      </c>
      <c r="E266" s="1501" t="s">
        <v>1173</v>
      </c>
      <c r="F266" s="1528"/>
      <c r="G266" s="1501" t="s">
        <v>1174</v>
      </c>
      <c r="H266" s="1825">
        <v>0</v>
      </c>
      <c r="I266" s="1826">
        <v>0</v>
      </c>
      <c r="J266" s="1826">
        <v>0</v>
      </c>
      <c r="K266" s="1826">
        <v>0</v>
      </c>
      <c r="L266" s="1530">
        <f t="shared" si="34"/>
        <v>0</v>
      </c>
      <c r="N266" s="1531">
        <f>SUMIF('CF.2'!$H$5:$H$25,'CF.1'!E266,'CF.2'!$J$5:$J$25)-SUMIF('CF.2'!$K$5:$K$25,'CF.1'!E266,'CF.2'!$M$5:$M$25)</f>
        <v>0</v>
      </c>
      <c r="O266" s="1529">
        <f>SUMIF('CF.2'!$H$31:$H$60,'CF.1'!E266,'CF.2'!$J$31:$J$60)+SUMIF('CF.2'!$K$31:$K$60,'CF.1'!E266,'CF.2'!$M$31:$M$60)</f>
        <v>0</v>
      </c>
      <c r="P266" s="1529">
        <f>SUMIF('CF.2'!$H$65:$H$108,'CF.1'!E266,'CF.2'!$J$65:$J$108)+SUMIF('CF.2'!$K$65:$K$108,'CF.1'!E266,'CF.2'!$M$65:$M$108)</f>
        <v>0</v>
      </c>
      <c r="Q266" s="1529">
        <f>SUMIF('CF.2'!$H$112:$H$118,'CF.1'!E266,'CF.2'!$J$112:$J$118)+SUMIF('CF.2'!$K$112:$K$118,'CF.1'!E266,'CF.2'!$M$112:$M$118)</f>
        <v>0</v>
      </c>
      <c r="R266" s="1529">
        <f>SUMIF('CF.2'!$H$123:$H$134,'CF.1'!E266,'CF.2'!$J$123:$J$134)+SUMIF('CF.2'!$K$123:$K$134,'CF.1'!E266,'CF.2'!$M$123:$M$134)</f>
        <v>0</v>
      </c>
      <c r="S266" s="1530">
        <f t="shared" si="35"/>
        <v>0</v>
      </c>
      <c r="U266" s="1532">
        <f t="shared" si="36"/>
        <v>0</v>
      </c>
    </row>
    <row r="267" spans="3:26" ht="18" customHeight="1">
      <c r="C267" s="1359">
        <v>1</v>
      </c>
      <c r="D267" s="1527" t="s">
        <v>1175</v>
      </c>
      <c r="E267" s="1501" t="s">
        <v>1175</v>
      </c>
      <c r="F267" s="1528" t="s">
        <v>1440</v>
      </c>
      <c r="G267" s="1501" t="s">
        <v>1176</v>
      </c>
      <c r="H267" s="1825">
        <v>0</v>
      </c>
      <c r="I267" s="1826">
        <v>0</v>
      </c>
      <c r="J267" s="1826">
        <v>0</v>
      </c>
      <c r="K267" s="1826">
        <v>0</v>
      </c>
      <c r="L267" s="1530">
        <f t="shared" si="34"/>
        <v>0</v>
      </c>
      <c r="N267" s="1531">
        <f>SUMIF('CF.2'!$H$5:$H$25,'CF.1'!E267,'CF.2'!$J$5:$J$25)-SUMIF('CF.2'!$K$5:$K$25,'CF.1'!E267,'CF.2'!$M$5:$M$25)</f>
        <v>0</v>
      </c>
      <c r="O267" s="1529">
        <f>SUMIF('CF.2'!$H$31:$H$60,'CF.1'!E267,'CF.2'!$J$31:$J$60)+SUMIF('CF.2'!$K$31:$K$60,'CF.1'!E267,'CF.2'!$M$31:$M$60)</f>
        <v>0</v>
      </c>
      <c r="P267" s="1529">
        <f>SUMIF('CF.2'!$H$65:$H$108,'CF.1'!E267,'CF.2'!$J$65:$J$108)+SUMIF('CF.2'!$K$65:$K$108,'CF.1'!E267,'CF.2'!$M$65:$M$108)</f>
        <v>0</v>
      </c>
      <c r="Q267" s="1529">
        <f>SUMIF('CF.2'!$H$112:$H$118,'CF.1'!E267,'CF.2'!$J$112:$J$118)+SUMIF('CF.2'!$K$112:$K$118,'CF.1'!E267,'CF.2'!$M$112:$M$118)</f>
        <v>0</v>
      </c>
      <c r="R267" s="1529">
        <f>SUMIF('CF.2'!$H$123:$H$134,'CF.1'!E267,'CF.2'!$J$123:$J$134)+SUMIF('CF.2'!$K$123:$K$134,'CF.1'!E267,'CF.2'!$M$123:$M$134)</f>
        <v>0</v>
      </c>
      <c r="S267" s="1530">
        <f t="shared" si="35"/>
        <v>0</v>
      </c>
      <c r="U267" s="1532">
        <f t="shared" si="36"/>
        <v>0</v>
      </c>
    </row>
    <row r="268" spans="3:26" ht="18" customHeight="1">
      <c r="C268" s="1359">
        <v>1</v>
      </c>
      <c r="D268" s="1527" t="s">
        <v>1177</v>
      </c>
      <c r="E268" s="1501" t="s">
        <v>1177</v>
      </c>
      <c r="F268" s="1528"/>
      <c r="G268" s="1501" t="s">
        <v>1178</v>
      </c>
      <c r="H268" s="1825">
        <v>0</v>
      </c>
      <c r="I268" s="1826">
        <v>0</v>
      </c>
      <c r="J268" s="1826">
        <v>0</v>
      </c>
      <c r="K268" s="1826">
        <v>0</v>
      </c>
      <c r="L268" s="1530">
        <f t="shared" si="34"/>
        <v>0</v>
      </c>
      <c r="N268" s="1531">
        <f>SUMIF('CF.2'!$H$5:$H$25,'CF.1'!E268,'CF.2'!$J$5:$J$25)-SUMIF('CF.2'!$K$5:$K$25,'CF.1'!E268,'CF.2'!$M$5:$M$25)</f>
        <v>0</v>
      </c>
      <c r="O268" s="1529">
        <f>SUMIF('CF.2'!$H$31:$H$60,'CF.1'!E268,'CF.2'!$J$31:$J$60)+SUMIF('CF.2'!$K$31:$K$60,'CF.1'!E268,'CF.2'!$M$31:$M$60)</f>
        <v>0</v>
      </c>
      <c r="P268" s="1529">
        <f>SUMIF('CF.2'!$H$65:$H$108,'CF.1'!E268,'CF.2'!$J$65:$J$108)+SUMIF('CF.2'!$K$65:$K$108,'CF.1'!E268,'CF.2'!$M$65:$M$108)</f>
        <v>0</v>
      </c>
      <c r="Q268" s="1529">
        <f>SUMIF('CF.2'!$H$112:$H$118,'CF.1'!E268,'CF.2'!$J$112:$J$118)+SUMIF('CF.2'!$K$112:$K$118,'CF.1'!E268,'CF.2'!$M$112:$M$118)</f>
        <v>0</v>
      </c>
      <c r="R268" s="1529">
        <f>SUMIF('CF.2'!$H$123:$H$134,'CF.1'!E268,'CF.2'!$J$123:$J$134)+SUMIF('CF.2'!$K$123:$K$134,'CF.1'!E268,'CF.2'!$M$123:$M$134)</f>
        <v>0</v>
      </c>
      <c r="S268" s="1530">
        <f t="shared" si="35"/>
        <v>0</v>
      </c>
      <c r="U268" s="1532">
        <f t="shared" si="36"/>
        <v>0</v>
      </c>
    </row>
    <row r="269" spans="3:26" ht="18" customHeight="1">
      <c r="C269" s="1359">
        <v>1</v>
      </c>
      <c r="D269" s="1527" t="s">
        <v>1179</v>
      </c>
      <c r="E269" s="1501" t="s">
        <v>1179</v>
      </c>
      <c r="F269" s="1528" t="s">
        <v>1440</v>
      </c>
      <c r="G269" s="1501" t="s">
        <v>1180</v>
      </c>
      <c r="H269" s="1825">
        <v>0</v>
      </c>
      <c r="I269" s="1826">
        <v>0</v>
      </c>
      <c r="J269" s="1826">
        <v>0</v>
      </c>
      <c r="K269" s="1826">
        <v>0</v>
      </c>
      <c r="L269" s="1530">
        <f t="shared" si="34"/>
        <v>0</v>
      </c>
      <c r="N269" s="1531">
        <f>SUMIF('CF.2'!$H$5:$H$25,'CF.1'!E269,'CF.2'!$J$5:$J$25)-SUMIF('CF.2'!$K$5:$K$25,'CF.1'!E269,'CF.2'!$M$5:$M$25)</f>
        <v>0</v>
      </c>
      <c r="O269" s="1529">
        <f>SUMIF('CF.2'!$H$31:$H$60,'CF.1'!E269,'CF.2'!$J$31:$J$60)+SUMIF('CF.2'!$K$31:$K$60,'CF.1'!E269,'CF.2'!$M$31:$M$60)</f>
        <v>0</v>
      </c>
      <c r="P269" s="1529">
        <f>SUMIF('CF.2'!$H$65:$H$108,'CF.1'!E269,'CF.2'!$J$65:$J$108)+SUMIF('CF.2'!$K$65:$K$108,'CF.1'!E269,'CF.2'!$M$65:$M$108)</f>
        <v>0</v>
      </c>
      <c r="Q269" s="1529">
        <f>SUMIF('CF.2'!$H$112:$H$118,'CF.1'!E269,'CF.2'!$J$112:$J$118)+SUMIF('CF.2'!$K$112:$K$118,'CF.1'!E269,'CF.2'!$M$112:$M$118)</f>
        <v>0</v>
      </c>
      <c r="R269" s="1529">
        <f>SUMIF('CF.2'!$H$123:$H$134,'CF.1'!E269,'CF.2'!$J$123:$J$134)+SUMIF('CF.2'!$K$123:$K$134,'CF.1'!E269,'CF.2'!$M$123:$M$134)</f>
        <v>0</v>
      </c>
      <c r="S269" s="1530">
        <f t="shared" si="35"/>
        <v>0</v>
      </c>
      <c r="U269" s="1532">
        <f t="shared" si="36"/>
        <v>0</v>
      </c>
    </row>
    <row r="270" spans="3:26" ht="18" customHeight="1">
      <c r="C270" s="1359">
        <v>1</v>
      </c>
      <c r="D270" s="1527" t="s">
        <v>1181</v>
      </c>
      <c r="E270" s="1501" t="s">
        <v>1181</v>
      </c>
      <c r="F270" s="1528"/>
      <c r="G270" s="1501" t="s">
        <v>1182</v>
      </c>
      <c r="H270" s="1825">
        <v>0</v>
      </c>
      <c r="I270" s="1826">
        <v>0</v>
      </c>
      <c r="J270" s="1826">
        <v>0</v>
      </c>
      <c r="K270" s="1826">
        <v>0</v>
      </c>
      <c r="L270" s="1530">
        <f t="shared" si="34"/>
        <v>0</v>
      </c>
      <c r="N270" s="1531">
        <f>SUMIF('CF.2'!$H$5:$H$25,'CF.1'!E270,'CF.2'!$J$5:$J$25)-SUMIF('CF.2'!$K$5:$K$25,'CF.1'!E270,'CF.2'!$M$5:$M$25)</f>
        <v>0</v>
      </c>
      <c r="O270" s="1529">
        <f>SUMIF('CF.2'!$H$31:$H$60,'CF.1'!E270,'CF.2'!$J$31:$J$60)+SUMIF('CF.2'!$K$31:$K$60,'CF.1'!E270,'CF.2'!$M$31:$M$60)</f>
        <v>0</v>
      </c>
      <c r="P270" s="1529">
        <f>SUMIF('CF.2'!$H$65:$H$108,'CF.1'!E270,'CF.2'!$J$65:$J$108)+SUMIF('CF.2'!$K$65:$K$108,'CF.1'!E270,'CF.2'!$M$65:$M$108)</f>
        <v>0</v>
      </c>
      <c r="Q270" s="1529">
        <f>SUMIF('CF.2'!$H$112:$H$118,'CF.1'!E270,'CF.2'!$J$112:$J$118)+SUMIF('CF.2'!$K$112:$K$118,'CF.1'!E270,'CF.2'!$M$112:$M$118)</f>
        <v>0</v>
      </c>
      <c r="R270" s="1529">
        <f>SUMIF('CF.2'!$H$123:$H$134,'CF.1'!E270,'CF.2'!$J$123:$J$134)+SUMIF('CF.2'!$K$123:$K$134,'CF.1'!E270,'CF.2'!$M$123:$M$134)</f>
        <v>0</v>
      </c>
      <c r="S270" s="1530">
        <f t="shared" si="35"/>
        <v>0</v>
      </c>
      <c r="U270" s="1532">
        <f t="shared" si="36"/>
        <v>0</v>
      </c>
    </row>
    <row r="271" spans="3:26" ht="18" customHeight="1">
      <c r="C271" s="1359">
        <v>1</v>
      </c>
      <c r="D271" s="1527" t="s">
        <v>1183</v>
      </c>
      <c r="E271" s="1501" t="s">
        <v>1365</v>
      </c>
      <c r="F271" s="1528" t="s">
        <v>1440</v>
      </c>
      <c r="G271" s="1501" t="s">
        <v>1357</v>
      </c>
      <c r="H271" s="1825">
        <v>0</v>
      </c>
      <c r="I271" s="1826">
        <v>0</v>
      </c>
      <c r="J271" s="1826">
        <v>0</v>
      </c>
      <c r="K271" s="1826">
        <v>0</v>
      </c>
      <c r="L271" s="1530">
        <f t="shared" si="34"/>
        <v>0</v>
      </c>
      <c r="N271" s="1531">
        <f>SUMIF('CF.2'!$H$5:$H$25,'CF.1'!E271,'CF.2'!$J$5:$J$25)-SUMIF('CF.2'!$K$5:$K$25,'CF.1'!E271,'CF.2'!$M$5:$M$25)</f>
        <v>0</v>
      </c>
      <c r="O271" s="1529">
        <f>SUMIF('CF.2'!$H$31:$H$60,'CF.1'!E271,'CF.2'!$J$31:$J$60)+SUMIF('CF.2'!$K$31:$K$60,'CF.1'!E271,'CF.2'!$M$31:$M$60)</f>
        <v>0</v>
      </c>
      <c r="P271" s="1529">
        <f>SUMIF('CF.2'!$H$65:$H$108,'CF.1'!E271,'CF.2'!$J$65:$J$108)+SUMIF('CF.2'!$K$65:$K$108,'CF.1'!E271,'CF.2'!$M$65:$M$108)</f>
        <v>0</v>
      </c>
      <c r="Q271" s="1529">
        <f>SUMIF('CF.2'!$H$112:$H$118,'CF.1'!E271,'CF.2'!$J$112:$J$118)+SUMIF('CF.2'!$K$112:$K$118,'CF.1'!E271,'CF.2'!$M$112:$M$118)</f>
        <v>0</v>
      </c>
      <c r="R271" s="1529">
        <f>SUMIF('CF.2'!$H$123:$H$134,'CF.1'!E271,'CF.2'!$J$123:$J$134)+SUMIF('CF.2'!$K$123:$K$134,'CF.1'!E271,'CF.2'!$M$123:$M$134)</f>
        <v>0</v>
      </c>
      <c r="S271" s="1530">
        <f t="shared" si="35"/>
        <v>0</v>
      </c>
      <c r="U271" s="1532">
        <f t="shared" si="36"/>
        <v>0</v>
      </c>
    </row>
    <row r="272" spans="3:26" ht="18" customHeight="1">
      <c r="C272" s="1359">
        <v>1</v>
      </c>
      <c r="D272" s="1527" t="s">
        <v>1183</v>
      </c>
      <c r="E272" s="1501" t="s">
        <v>1366</v>
      </c>
      <c r="F272" s="1528" t="s">
        <v>1440</v>
      </c>
      <c r="G272" s="1501" t="s">
        <v>1358</v>
      </c>
      <c r="H272" s="1825">
        <v>-317111500</v>
      </c>
      <c r="I272" s="1825">
        <v>-9444545</v>
      </c>
      <c r="J272" s="1826">
        <v>0</v>
      </c>
      <c r="K272" s="1826">
        <v>-4236878</v>
      </c>
      <c r="L272" s="1530">
        <f t="shared" si="34"/>
        <v>-330792923</v>
      </c>
      <c r="N272" s="1531">
        <f>SUMIF('CF.2'!$H$5:$H$25,'CF.1'!E272,'CF.2'!$J$5:$J$25)-SUMIF('CF.2'!$K$5:$K$25,'CF.1'!E272,'CF.2'!$M$5:$M$25)</f>
        <v>0</v>
      </c>
      <c r="O272" s="1529">
        <f>SUMIF('CF.2'!$H$31:$H$60,'CF.1'!E272,'CF.2'!$J$31:$J$60)+SUMIF('CF.2'!$K$31:$K$60,'CF.1'!E272,'CF.2'!$M$31:$M$60)</f>
        <v>0</v>
      </c>
      <c r="P272" s="1529">
        <f>SUMIF('CF.2'!$H$65:$H$108,'CF.1'!E272,'CF.2'!$J$65:$J$108)+SUMIF('CF.2'!$K$65:$K$108,'CF.1'!E272,'CF.2'!$M$65:$M$108)</f>
        <v>0</v>
      </c>
      <c r="Q272" s="1529">
        <f>SUMIF('CF.2'!$H$112:$H$118,'CF.1'!E272,'CF.2'!$J$112:$J$118)+SUMIF('CF.2'!$K$112:$K$118,'CF.1'!E272,'CF.2'!$M$112:$M$118)</f>
        <v>0</v>
      </c>
      <c r="R272" s="1529">
        <f>SUMIF('CF.2'!$H$123:$H$134,'CF.1'!E272,'CF.2'!$J$123:$J$134)+SUMIF('CF.2'!$K$123:$K$134,'CF.1'!E272,'CF.2'!$M$123:$M$134)</f>
        <v>0</v>
      </c>
      <c r="S272" s="1530">
        <f t="shared" si="35"/>
        <v>0</v>
      </c>
      <c r="U272" s="1532">
        <f t="shared" si="36"/>
        <v>-330792923</v>
      </c>
      <c r="X272" s="965">
        <f>[3]FN0440!$K$3-[3]FN0440!$U$3</f>
        <v>645296381</v>
      </c>
      <c r="Y272" s="965">
        <f>SUM(U272,U273,U276,U277)</f>
        <v>-645296381</v>
      </c>
      <c r="Z272" s="509">
        <f>X272+Y272</f>
        <v>0</v>
      </c>
    </row>
    <row r="273" spans="3:26" ht="18" customHeight="1">
      <c r="C273" s="1359">
        <v>1</v>
      </c>
      <c r="D273" s="1527" t="s">
        <v>1183</v>
      </c>
      <c r="E273" s="1501" t="s">
        <v>1367</v>
      </c>
      <c r="F273" s="1528" t="s">
        <v>1440</v>
      </c>
      <c r="G273" s="1501" t="s">
        <v>1359</v>
      </c>
      <c r="H273" s="1825">
        <v>-211083465</v>
      </c>
      <c r="I273" s="1825">
        <v>0</v>
      </c>
      <c r="J273" s="1826">
        <v>0</v>
      </c>
      <c r="K273" s="1826">
        <v>0</v>
      </c>
      <c r="L273" s="1530">
        <f t="shared" si="34"/>
        <v>-211083465</v>
      </c>
      <c r="N273" s="1531">
        <f>SUMIF('CF.2'!$H$5:$H$25,'CF.1'!E273,'CF.2'!$J$5:$J$25)-SUMIF('CF.2'!$K$5:$K$25,'CF.1'!E273,'CF.2'!$M$5:$M$25)</f>
        <v>0</v>
      </c>
      <c r="O273" s="1529">
        <f>SUMIF('CF.2'!$H$31:$H$60,'CF.1'!E273,'CF.2'!$J$31:$J$60)+SUMIF('CF.2'!$K$31:$K$60,'CF.1'!E273,'CF.2'!$M$31:$M$60)</f>
        <v>0</v>
      </c>
      <c r="P273" s="1529">
        <f>SUMIF('CF.2'!$H$65:$H$108,'CF.1'!E273,'CF.2'!$J$65:$J$108)+SUMIF('CF.2'!$K$65:$K$108,'CF.1'!E273,'CF.2'!$M$65:$M$108)</f>
        <v>0</v>
      </c>
      <c r="Q273" s="1529">
        <f>SUMIF('CF.2'!$H$112:$H$118,'CF.1'!E273,'CF.2'!$J$112:$J$118)+SUMIF('CF.2'!$K$112:$K$118,'CF.1'!E273,'CF.2'!$M$112:$M$118)</f>
        <v>0</v>
      </c>
      <c r="R273" s="1529">
        <f>SUMIF('CF.2'!$H$123:$H$134,'CF.1'!E273,'CF.2'!$J$123:$J$134)+SUMIF('CF.2'!$K$123:$K$134,'CF.1'!E273,'CF.2'!$M$123:$M$134)</f>
        <v>0</v>
      </c>
      <c r="S273" s="1530">
        <f t="shared" si="35"/>
        <v>0</v>
      </c>
      <c r="U273" s="1532">
        <f t="shared" si="36"/>
        <v>-211083465</v>
      </c>
      <c r="Z273" s="1359">
        <f>Z272/2</f>
        <v>0</v>
      </c>
    </row>
    <row r="274" spans="3:26" ht="18" customHeight="1">
      <c r="C274" s="1359">
        <v>1</v>
      </c>
      <c r="D274" s="1527" t="s">
        <v>1184</v>
      </c>
      <c r="E274" s="1501" t="s">
        <v>1184</v>
      </c>
      <c r="F274" s="1528"/>
      <c r="G274" s="1501" t="s">
        <v>1185</v>
      </c>
      <c r="H274" s="1825">
        <v>0</v>
      </c>
      <c r="I274" s="1826">
        <v>0</v>
      </c>
      <c r="J274" s="1826">
        <v>0</v>
      </c>
      <c r="K274" s="1826">
        <v>0</v>
      </c>
      <c r="L274" s="1530">
        <f t="shared" si="34"/>
        <v>0</v>
      </c>
      <c r="N274" s="1531">
        <f>SUMIF('CF.2'!$H$5:$H$25,'CF.1'!E274,'CF.2'!$J$5:$J$25)-SUMIF('CF.2'!$K$5:$K$25,'CF.1'!E274,'CF.2'!$M$5:$M$25)</f>
        <v>0</v>
      </c>
      <c r="O274" s="1529">
        <f>SUMIF('CF.2'!$H$31:$H$60,'CF.1'!E274,'CF.2'!$J$31:$J$60)+SUMIF('CF.2'!$K$31:$K$60,'CF.1'!E274,'CF.2'!$M$31:$M$60)</f>
        <v>0</v>
      </c>
      <c r="P274" s="1529">
        <f>SUMIF('CF.2'!$H$65:$H$108,'CF.1'!E274,'CF.2'!$J$65:$J$108)+SUMIF('CF.2'!$K$65:$K$108,'CF.1'!E274,'CF.2'!$M$65:$M$108)</f>
        <v>0</v>
      </c>
      <c r="Q274" s="1529">
        <f>SUMIF('CF.2'!$H$112:$H$118,'CF.1'!E274,'CF.2'!$J$112:$J$118)+SUMIF('CF.2'!$K$112:$K$118,'CF.1'!E274,'CF.2'!$M$112:$M$118)</f>
        <v>0</v>
      </c>
      <c r="R274" s="1529">
        <f>SUMIF('CF.2'!$H$123:$H$134,'CF.1'!E274,'CF.2'!$J$123:$J$134)+SUMIF('CF.2'!$K$123:$K$134,'CF.1'!E274,'CF.2'!$M$123:$M$134)</f>
        <v>0</v>
      </c>
      <c r="S274" s="1530">
        <f t="shared" si="35"/>
        <v>0</v>
      </c>
      <c r="U274" s="1532">
        <f t="shared" si="36"/>
        <v>0</v>
      </c>
    </row>
    <row r="275" spans="3:26" ht="18" customHeight="1">
      <c r="C275" s="1359">
        <v>1</v>
      </c>
      <c r="D275" s="1527" t="s">
        <v>1186</v>
      </c>
      <c r="E275" s="1501" t="s">
        <v>1186</v>
      </c>
      <c r="F275" s="1528"/>
      <c r="G275" s="1501" t="s">
        <v>1187</v>
      </c>
      <c r="H275" s="1825">
        <v>0</v>
      </c>
      <c r="I275" s="1826">
        <v>0</v>
      </c>
      <c r="J275" s="1826">
        <v>0</v>
      </c>
      <c r="K275" s="1826">
        <v>0</v>
      </c>
      <c r="L275" s="1530">
        <f t="shared" ref="L275:L299" si="37">SUM(H275:K275)</f>
        <v>0</v>
      </c>
      <c r="N275" s="1531">
        <f>SUMIF('CF.2'!$H$5:$H$25,'CF.1'!E275,'CF.2'!$J$5:$J$25)-SUMIF('CF.2'!$K$5:$K$25,'CF.1'!E275,'CF.2'!$M$5:$M$25)</f>
        <v>0</v>
      </c>
      <c r="O275" s="1529">
        <f>SUMIF('CF.2'!$H$31:$H$60,'CF.1'!E275,'CF.2'!$J$31:$J$60)+SUMIF('CF.2'!$K$31:$K$60,'CF.1'!E275,'CF.2'!$M$31:$M$60)</f>
        <v>0</v>
      </c>
      <c r="P275" s="1529">
        <f>SUMIF('CF.2'!$H$65:$H$108,'CF.1'!E275,'CF.2'!$J$65:$J$108)+SUMIF('CF.2'!$K$65:$K$108,'CF.1'!E275,'CF.2'!$M$65:$M$108)</f>
        <v>0</v>
      </c>
      <c r="Q275" s="1529">
        <f>SUMIF('CF.2'!$H$112:$H$118,'CF.1'!E275,'CF.2'!$J$112:$J$118)+SUMIF('CF.2'!$K$112:$K$118,'CF.1'!E275,'CF.2'!$M$112:$M$118)</f>
        <v>0</v>
      </c>
      <c r="R275" s="1529">
        <f>SUMIF('CF.2'!$H$123:$H$134,'CF.1'!E275,'CF.2'!$J$123:$J$134)+SUMIF('CF.2'!$K$123:$K$134,'CF.1'!E275,'CF.2'!$M$123:$M$134)</f>
        <v>0</v>
      </c>
      <c r="S275" s="1530">
        <f t="shared" ref="S275:S299" si="38">SUM(N275:R275)</f>
        <v>0</v>
      </c>
      <c r="U275" s="1532">
        <f t="shared" ref="U275:U299" si="39">ROUND(S275+L275,0)</f>
        <v>0</v>
      </c>
    </row>
    <row r="276" spans="3:26" ht="18" customHeight="1">
      <c r="C276" s="1359">
        <v>1</v>
      </c>
      <c r="D276" s="1527" t="s">
        <v>1188</v>
      </c>
      <c r="E276" s="1501" t="s">
        <v>1188</v>
      </c>
      <c r="F276" s="1528" t="s">
        <v>1440</v>
      </c>
      <c r="G276" s="1501" t="s">
        <v>1189</v>
      </c>
      <c r="H276" s="1825">
        <v>-100069993</v>
      </c>
      <c r="I276" s="1825">
        <v>0</v>
      </c>
      <c r="J276" s="1826">
        <v>0</v>
      </c>
      <c r="K276" s="1826">
        <v>0</v>
      </c>
      <c r="L276" s="1530">
        <f t="shared" si="37"/>
        <v>-100069993</v>
      </c>
      <c r="N276" s="1531">
        <f>SUMIF('CF.2'!$H$5:$H$25,'CF.1'!E276,'CF.2'!$J$5:$J$25)-SUMIF('CF.2'!$K$5:$K$25,'CF.1'!E276,'CF.2'!$M$5:$M$25)</f>
        <v>0</v>
      </c>
      <c r="O276" s="1529">
        <f>SUMIF('CF.2'!$H$31:$H$60,'CF.1'!E276,'CF.2'!$J$31:$J$60)+SUMIF('CF.2'!$K$31:$K$60,'CF.1'!E276,'CF.2'!$M$31:$M$60)</f>
        <v>0</v>
      </c>
      <c r="P276" s="1529">
        <f>SUMIF('CF.2'!$H$65:$H$108,'CF.1'!E276,'CF.2'!$J$65:$J$108)+SUMIF('CF.2'!$K$65:$K$108,'CF.1'!E276,'CF.2'!$M$65:$M$108)</f>
        <v>0</v>
      </c>
      <c r="Q276" s="1529">
        <f>SUMIF('CF.2'!$H$112:$H$118,'CF.1'!E276,'CF.2'!$J$112:$J$118)+SUMIF('CF.2'!$K$112:$K$118,'CF.1'!E276,'CF.2'!$M$112:$M$118)</f>
        <v>0</v>
      </c>
      <c r="R276" s="1529">
        <f>SUMIF('CF.2'!$H$123:$H$134,'CF.1'!E276,'CF.2'!$J$123:$J$134)+SUMIF('CF.2'!$K$123:$K$134,'CF.1'!E276,'CF.2'!$M$123:$M$134)</f>
        <v>0</v>
      </c>
      <c r="S276" s="1530">
        <f t="shared" si="38"/>
        <v>0</v>
      </c>
      <c r="U276" s="1532">
        <f t="shared" si="39"/>
        <v>-100069993</v>
      </c>
    </row>
    <row r="277" spans="3:26" ht="18" customHeight="1">
      <c r="C277" s="1359">
        <v>1</v>
      </c>
      <c r="D277" s="1527" t="s">
        <v>1183</v>
      </c>
      <c r="E277" s="1501" t="s">
        <v>1190</v>
      </c>
      <c r="F277" s="1528" t="s">
        <v>1440</v>
      </c>
      <c r="G277" s="1501" t="s">
        <v>1191</v>
      </c>
      <c r="H277" s="1825">
        <v>0</v>
      </c>
      <c r="I277" s="1826">
        <v>-3350000</v>
      </c>
      <c r="J277" s="1826">
        <v>0</v>
      </c>
      <c r="K277" s="1826">
        <v>0</v>
      </c>
      <c r="L277" s="1530">
        <f t="shared" si="37"/>
        <v>-3350000</v>
      </c>
      <c r="N277" s="1531">
        <f>SUMIF('CF.2'!$H$5:$H$25,'CF.1'!E277,'CF.2'!$J$5:$J$25)-SUMIF('CF.2'!$K$5:$K$25,'CF.1'!E277,'CF.2'!$M$5:$M$25)</f>
        <v>0</v>
      </c>
      <c r="O277" s="1529">
        <f>SUMIF('CF.2'!$H$31:$H$60,'CF.1'!E277,'CF.2'!$J$31:$J$60)+SUMIF('CF.2'!$K$31:$K$60,'CF.1'!E277,'CF.2'!$M$31:$M$60)</f>
        <v>0</v>
      </c>
      <c r="P277" s="1529">
        <f>SUMIF('CF.2'!$H$65:$H$108,'CF.1'!E277,'CF.2'!$J$65:$J$108)+SUMIF('CF.2'!$K$65:$K$108,'CF.1'!E277,'CF.2'!$M$65:$M$108)</f>
        <v>0</v>
      </c>
      <c r="Q277" s="1529">
        <f>SUMIF('CF.2'!$H$112:$H$118,'CF.1'!E277,'CF.2'!$J$112:$J$118)+SUMIF('CF.2'!$K$112:$K$118,'CF.1'!E277,'CF.2'!$M$112:$M$118)</f>
        <v>0</v>
      </c>
      <c r="R277" s="1529">
        <f>SUMIF('CF.2'!$H$123:$H$134,'CF.1'!E277,'CF.2'!$J$123:$J$134)+SUMIF('CF.2'!$K$123:$K$134,'CF.1'!E277,'CF.2'!$M$123:$M$134)</f>
        <v>0</v>
      </c>
      <c r="S277" s="1530">
        <f t="shared" si="38"/>
        <v>0</v>
      </c>
      <c r="U277" s="1532">
        <f t="shared" si="39"/>
        <v>-3350000</v>
      </c>
    </row>
    <row r="278" spans="3:26" s="1086" customFormat="1" ht="18" customHeight="1">
      <c r="C278" s="1086">
        <v>1</v>
      </c>
      <c r="D278" s="1533" t="s">
        <v>1192</v>
      </c>
      <c r="E278" s="1271" t="s">
        <v>1192</v>
      </c>
      <c r="F278" s="1534" t="s">
        <v>1441</v>
      </c>
      <c r="G278" s="1271" t="s">
        <v>1193</v>
      </c>
      <c r="H278" s="1824">
        <v>-911571524</v>
      </c>
      <c r="I278" s="1824">
        <v>0</v>
      </c>
      <c r="J278" s="1827">
        <v>0</v>
      </c>
      <c r="K278" s="1827">
        <v>0</v>
      </c>
      <c r="L278" s="1536">
        <f t="shared" si="37"/>
        <v>-911571524</v>
      </c>
      <c r="N278" s="1550">
        <f>SUMIF('CF.2'!$H$5:$H$25,'CF.1'!E278,'CF.2'!$J$5:$J$25)-SUMIF('CF.2'!$K$5:$K$25,'CF.1'!E278,'CF.2'!$M$5:$M$25)</f>
        <v>0</v>
      </c>
      <c r="O278" s="1535">
        <f>SUMIF('CF.2'!$H$31:$H$60,'CF.1'!E278,'CF.2'!$J$31:$J$60)+SUMIF('CF.2'!$K$31:$K$60,'CF.1'!E278,'CF.2'!$M$31:$M$60)</f>
        <v>0</v>
      </c>
      <c r="P278" s="1535">
        <f>SUMIF('CF.2'!$H$65:$H$108,'CF.1'!E278,'CF.2'!$J$65:$J$108)+SUMIF('CF.2'!$K$65:$K$108,'CF.1'!E278,'CF.2'!$M$65:$M$108)</f>
        <v>0</v>
      </c>
      <c r="Q278" s="1535">
        <f>SUMIF('CF.2'!$H$112:$H$118,'CF.1'!E278,'CF.2'!$J$112:$J$118)+SUMIF('CF.2'!$K$112:$K$118,'CF.1'!E278,'CF.2'!$M$112:$M$118)</f>
        <v>0</v>
      </c>
      <c r="R278" s="1535">
        <f>SUMIF('CF.2'!$H$123:$H$134,'CF.1'!E278,'CF.2'!$J$123:$J$134)+SUMIF('CF.2'!$K$123:$K$134,'CF.1'!E278,'CF.2'!$M$123:$M$134)</f>
        <v>0</v>
      </c>
      <c r="S278" s="1536">
        <f t="shared" si="38"/>
        <v>0</v>
      </c>
      <c r="U278" s="1537">
        <f t="shared" si="39"/>
        <v>-911571524</v>
      </c>
      <c r="X278" s="1086">
        <f>[3]FN0440!$K$4-[3]FN0440!$U$4</f>
        <v>2345564660</v>
      </c>
      <c r="Y278" s="925">
        <f>SUM(U278:U287)</f>
        <v>-2257684660</v>
      </c>
      <c r="Z278" s="925">
        <f>X278+Y278</f>
        <v>87880000</v>
      </c>
    </row>
    <row r="279" spans="3:26" ht="18" customHeight="1">
      <c r="C279" s="1359">
        <v>1</v>
      </c>
      <c r="D279" s="1527" t="s">
        <v>1194</v>
      </c>
      <c r="E279" s="1501" t="s">
        <v>1194</v>
      </c>
      <c r="F279" s="1528"/>
      <c r="G279" s="1501" t="s">
        <v>1195</v>
      </c>
      <c r="H279" s="1825">
        <v>0</v>
      </c>
      <c r="I279" s="1826">
        <v>0</v>
      </c>
      <c r="J279" s="1826">
        <v>0</v>
      </c>
      <c r="K279" s="1826">
        <v>0</v>
      </c>
      <c r="L279" s="1530">
        <f t="shared" si="37"/>
        <v>0</v>
      </c>
      <c r="N279" s="1531">
        <f>SUMIF('CF.2'!$H$5:$H$25,'CF.1'!E279,'CF.2'!$J$5:$J$25)-SUMIF('CF.2'!$K$5:$K$25,'CF.1'!E279,'CF.2'!$M$5:$M$25)</f>
        <v>0</v>
      </c>
      <c r="O279" s="1529">
        <f>SUMIF('CF.2'!$H$31:$H$60,'CF.1'!E279,'CF.2'!$J$31:$J$60)+SUMIF('CF.2'!$K$31:$K$60,'CF.1'!E279,'CF.2'!$M$31:$M$60)</f>
        <v>0</v>
      </c>
      <c r="P279" s="1529">
        <f>SUMIF('CF.2'!$H$65:$H$108,'CF.1'!E279,'CF.2'!$J$65:$J$108)+SUMIF('CF.2'!$K$65:$K$108,'CF.1'!E279,'CF.2'!$M$65:$M$108)</f>
        <v>0</v>
      </c>
      <c r="Q279" s="1529">
        <f>SUMIF('CF.2'!$H$112:$H$118,'CF.1'!E279,'CF.2'!$J$112:$J$118)+SUMIF('CF.2'!$K$112:$K$118,'CF.1'!E279,'CF.2'!$M$112:$M$118)</f>
        <v>0</v>
      </c>
      <c r="R279" s="1529">
        <f>SUMIF('CF.2'!$H$123:$H$134,'CF.1'!E279,'CF.2'!$J$123:$J$134)+SUMIF('CF.2'!$K$123:$K$134,'CF.1'!E279,'CF.2'!$M$123:$M$134)</f>
        <v>0</v>
      </c>
      <c r="S279" s="1530">
        <f t="shared" si="38"/>
        <v>0</v>
      </c>
      <c r="U279" s="1532">
        <f t="shared" si="39"/>
        <v>0</v>
      </c>
    </row>
    <row r="280" spans="3:26" ht="18" customHeight="1">
      <c r="C280" s="1359">
        <v>1</v>
      </c>
      <c r="D280" s="1527" t="s">
        <v>1196</v>
      </c>
      <c r="E280" s="1501" t="s">
        <v>1196</v>
      </c>
      <c r="F280" s="1528"/>
      <c r="G280" s="1501" t="s">
        <v>1197</v>
      </c>
      <c r="H280" s="1825">
        <v>0</v>
      </c>
      <c r="I280" s="1826">
        <v>0</v>
      </c>
      <c r="J280" s="1826">
        <v>0</v>
      </c>
      <c r="K280" s="1826">
        <v>0</v>
      </c>
      <c r="L280" s="1530">
        <f t="shared" si="37"/>
        <v>0</v>
      </c>
      <c r="N280" s="1531">
        <f>SUMIF('CF.2'!$H$5:$H$25,'CF.1'!E280,'CF.2'!$J$5:$J$25)-SUMIF('CF.2'!$K$5:$K$25,'CF.1'!E280,'CF.2'!$M$5:$M$25)</f>
        <v>0</v>
      </c>
      <c r="O280" s="1529">
        <f>SUMIF('CF.2'!$H$31:$H$60,'CF.1'!E280,'CF.2'!$J$31:$J$60)+SUMIF('CF.2'!$K$31:$K$60,'CF.1'!E280,'CF.2'!$M$31:$M$60)</f>
        <v>0</v>
      </c>
      <c r="P280" s="1529">
        <f>SUMIF('CF.2'!$H$65:$H$108,'CF.1'!E280,'CF.2'!$J$65:$J$108)+SUMIF('CF.2'!$K$65:$K$108,'CF.1'!E280,'CF.2'!$M$65:$M$108)</f>
        <v>0</v>
      </c>
      <c r="Q280" s="1529">
        <f>SUMIF('CF.2'!$H$112:$H$118,'CF.1'!E280,'CF.2'!$J$112:$J$118)+SUMIF('CF.2'!$K$112:$K$118,'CF.1'!E280,'CF.2'!$M$112:$M$118)</f>
        <v>0</v>
      </c>
      <c r="R280" s="1529">
        <f>SUMIF('CF.2'!$H$123:$H$134,'CF.1'!E280,'CF.2'!$J$123:$J$134)+SUMIF('CF.2'!$K$123:$K$134,'CF.1'!E280,'CF.2'!$M$123:$M$134)</f>
        <v>0</v>
      </c>
      <c r="S280" s="1530">
        <f t="shared" si="38"/>
        <v>0</v>
      </c>
      <c r="U280" s="1532">
        <f t="shared" si="39"/>
        <v>0</v>
      </c>
    </row>
    <row r="281" spans="3:26" ht="18" customHeight="1">
      <c r="C281" s="1359">
        <v>1</v>
      </c>
      <c r="D281" s="1527" t="s">
        <v>1198</v>
      </c>
      <c r="E281" s="1501" t="s">
        <v>1198</v>
      </c>
      <c r="F281" s="1528"/>
      <c r="G281" s="1501" t="s">
        <v>1199</v>
      </c>
      <c r="H281" s="1825">
        <v>0</v>
      </c>
      <c r="I281" s="1826">
        <v>0</v>
      </c>
      <c r="J281" s="1826">
        <v>0</v>
      </c>
      <c r="K281" s="1826">
        <v>0</v>
      </c>
      <c r="L281" s="1530">
        <f t="shared" si="37"/>
        <v>0</v>
      </c>
      <c r="N281" s="1531">
        <f>SUMIF('CF.2'!$H$5:$H$25,'CF.1'!E281,'CF.2'!$J$5:$J$25)-SUMIF('CF.2'!$K$5:$K$25,'CF.1'!E281,'CF.2'!$M$5:$M$25)</f>
        <v>0</v>
      </c>
      <c r="O281" s="1529">
        <f>SUMIF('CF.2'!$H$31:$H$60,'CF.1'!E281,'CF.2'!$J$31:$J$60)+SUMIF('CF.2'!$K$31:$K$60,'CF.1'!E281,'CF.2'!$M$31:$M$60)</f>
        <v>0</v>
      </c>
      <c r="P281" s="1529">
        <f>SUMIF('CF.2'!$H$65:$H$108,'CF.1'!E281,'CF.2'!$J$65:$J$108)+SUMIF('CF.2'!$K$65:$K$108,'CF.1'!E281,'CF.2'!$M$65:$M$108)</f>
        <v>0</v>
      </c>
      <c r="Q281" s="1529">
        <f>SUMIF('CF.2'!$H$112:$H$118,'CF.1'!E281,'CF.2'!$J$112:$J$118)+SUMIF('CF.2'!$K$112:$K$118,'CF.1'!E281,'CF.2'!$M$112:$M$118)</f>
        <v>0</v>
      </c>
      <c r="R281" s="1529">
        <f>SUMIF('CF.2'!$H$123:$H$134,'CF.1'!E281,'CF.2'!$J$123:$J$134)+SUMIF('CF.2'!$K$123:$K$134,'CF.1'!E281,'CF.2'!$M$123:$M$134)</f>
        <v>0</v>
      </c>
      <c r="S281" s="1530">
        <f t="shared" si="38"/>
        <v>0</v>
      </c>
      <c r="U281" s="1532">
        <f t="shared" si="39"/>
        <v>0</v>
      </c>
    </row>
    <row r="282" spans="3:26" ht="18" customHeight="1">
      <c r="C282" s="1359">
        <v>1</v>
      </c>
      <c r="D282" s="1527" t="s">
        <v>1200</v>
      </c>
      <c r="E282" s="1501" t="s">
        <v>1200</v>
      </c>
      <c r="F282" s="1528" t="s">
        <v>1441</v>
      </c>
      <c r="G282" s="1501" t="s">
        <v>1201</v>
      </c>
      <c r="H282" s="1825">
        <v>-13893621</v>
      </c>
      <c r="I282" s="1825">
        <v>0</v>
      </c>
      <c r="J282" s="1826">
        <v>0</v>
      </c>
      <c r="K282" s="1826">
        <v>0</v>
      </c>
      <c r="L282" s="1530">
        <f t="shared" si="37"/>
        <v>-13893621</v>
      </c>
      <c r="N282" s="1531">
        <f>SUMIF('CF.2'!$H$5:$H$25,'CF.1'!E282,'CF.2'!$J$5:$J$25)-SUMIF('CF.2'!$K$5:$K$25,'CF.1'!E282,'CF.2'!$M$5:$M$25)</f>
        <v>0</v>
      </c>
      <c r="O282" s="1529">
        <f>SUMIF('CF.2'!$H$31:$H$60,'CF.1'!E282,'CF.2'!$J$31:$J$60)+SUMIF('CF.2'!$K$31:$K$60,'CF.1'!E282,'CF.2'!$M$31:$M$60)</f>
        <v>0</v>
      </c>
      <c r="P282" s="1529">
        <f>SUMIF('CF.2'!$H$65:$H$108,'CF.1'!E282,'CF.2'!$J$65:$J$108)+SUMIF('CF.2'!$K$65:$K$108,'CF.1'!E282,'CF.2'!$M$65:$M$108)</f>
        <v>0</v>
      </c>
      <c r="Q282" s="1529">
        <f>SUMIF('CF.2'!$H$112:$H$118,'CF.1'!E282,'CF.2'!$J$112:$J$118)+SUMIF('CF.2'!$K$112:$K$118,'CF.1'!E282,'CF.2'!$M$112:$M$118)</f>
        <v>0</v>
      </c>
      <c r="R282" s="1529">
        <f>SUMIF('CF.2'!$H$123:$H$134,'CF.1'!E282,'CF.2'!$J$123:$J$134)+SUMIF('CF.2'!$K$123:$K$134,'CF.1'!E282,'CF.2'!$M$123:$M$134)</f>
        <v>0</v>
      </c>
      <c r="S282" s="1530">
        <f t="shared" si="38"/>
        <v>0</v>
      </c>
      <c r="U282" s="1532">
        <f t="shared" si="39"/>
        <v>-13893621</v>
      </c>
    </row>
    <row r="283" spans="3:26" ht="18" customHeight="1">
      <c r="C283" s="1359">
        <v>1</v>
      </c>
      <c r="D283" s="1527" t="s">
        <v>1202</v>
      </c>
      <c r="E283" s="1501" t="s">
        <v>1202</v>
      </c>
      <c r="F283" s="1528"/>
      <c r="G283" s="1501" t="s">
        <v>1203</v>
      </c>
      <c r="H283" s="1825">
        <v>0</v>
      </c>
      <c r="I283" s="1826">
        <v>0</v>
      </c>
      <c r="J283" s="1826">
        <v>0</v>
      </c>
      <c r="K283" s="1826">
        <v>0</v>
      </c>
      <c r="L283" s="1530">
        <f t="shared" si="37"/>
        <v>0</v>
      </c>
      <c r="N283" s="1531">
        <f>SUMIF('CF.2'!$H$5:$H$25,'CF.1'!E283,'CF.2'!$J$5:$J$25)-SUMIF('CF.2'!$K$5:$K$25,'CF.1'!E283,'CF.2'!$M$5:$M$25)</f>
        <v>0</v>
      </c>
      <c r="O283" s="1529">
        <f>SUMIF('CF.2'!$H$31:$H$60,'CF.1'!E283,'CF.2'!$J$31:$J$60)+SUMIF('CF.2'!$K$31:$K$60,'CF.1'!E283,'CF.2'!$M$31:$M$60)</f>
        <v>0</v>
      </c>
      <c r="P283" s="1529">
        <f>SUMIF('CF.2'!$H$65:$H$108,'CF.1'!E283,'CF.2'!$J$65:$J$108)+SUMIF('CF.2'!$K$65:$K$108,'CF.1'!E283,'CF.2'!$M$65:$M$108)</f>
        <v>0</v>
      </c>
      <c r="Q283" s="1529">
        <f>SUMIF('CF.2'!$H$112:$H$118,'CF.1'!E283,'CF.2'!$J$112:$J$118)+SUMIF('CF.2'!$K$112:$K$118,'CF.1'!E283,'CF.2'!$M$112:$M$118)</f>
        <v>0</v>
      </c>
      <c r="R283" s="1529">
        <f>SUMIF('CF.2'!$H$123:$H$134,'CF.1'!E283,'CF.2'!$J$123:$J$134)+SUMIF('CF.2'!$K$123:$K$134,'CF.1'!E283,'CF.2'!$M$123:$M$134)</f>
        <v>0</v>
      </c>
      <c r="S283" s="1530">
        <f t="shared" si="38"/>
        <v>0</v>
      </c>
      <c r="U283" s="1532">
        <f t="shared" si="39"/>
        <v>0</v>
      </c>
    </row>
    <row r="284" spans="3:26" ht="18" customHeight="1">
      <c r="C284" s="1359">
        <v>1</v>
      </c>
      <c r="D284" s="1527" t="s">
        <v>1204</v>
      </c>
      <c r="E284" s="1501" t="s">
        <v>1204</v>
      </c>
      <c r="F284" s="1528"/>
      <c r="G284" s="1501" t="s">
        <v>1205</v>
      </c>
      <c r="H284" s="1825">
        <v>0</v>
      </c>
      <c r="I284" s="1826">
        <v>0</v>
      </c>
      <c r="J284" s="1826">
        <v>0</v>
      </c>
      <c r="K284" s="1826">
        <v>0</v>
      </c>
      <c r="L284" s="1530">
        <f t="shared" si="37"/>
        <v>0</v>
      </c>
      <c r="N284" s="1531">
        <f>SUMIF('CF.2'!$H$5:$H$25,'CF.1'!E284,'CF.2'!$J$5:$J$25)-SUMIF('CF.2'!$K$5:$K$25,'CF.1'!E284,'CF.2'!$M$5:$M$25)</f>
        <v>0</v>
      </c>
      <c r="O284" s="1529">
        <f>SUMIF('CF.2'!$H$31:$H$60,'CF.1'!E284,'CF.2'!$J$31:$J$60)+SUMIF('CF.2'!$K$31:$K$60,'CF.1'!E284,'CF.2'!$M$31:$M$60)</f>
        <v>0</v>
      </c>
      <c r="P284" s="1529">
        <f>SUMIF('CF.2'!$H$65:$H$108,'CF.1'!E284,'CF.2'!$J$65:$J$108)+SUMIF('CF.2'!$K$65:$K$108,'CF.1'!E284,'CF.2'!$M$65:$M$108)</f>
        <v>0</v>
      </c>
      <c r="Q284" s="1529">
        <f>SUMIF('CF.2'!$H$112:$H$118,'CF.1'!E284,'CF.2'!$J$112:$J$118)+SUMIF('CF.2'!$K$112:$K$118,'CF.1'!E284,'CF.2'!$M$112:$M$118)</f>
        <v>0</v>
      </c>
      <c r="R284" s="1529">
        <f>SUMIF('CF.2'!$H$123:$H$134,'CF.1'!E284,'CF.2'!$J$123:$J$134)+SUMIF('CF.2'!$K$123:$K$134,'CF.1'!E284,'CF.2'!$M$123:$M$134)</f>
        <v>0</v>
      </c>
      <c r="S284" s="1530">
        <f t="shared" si="38"/>
        <v>0</v>
      </c>
      <c r="U284" s="1532">
        <f t="shared" si="39"/>
        <v>0</v>
      </c>
    </row>
    <row r="285" spans="3:26" ht="18" customHeight="1">
      <c r="C285" s="1359">
        <v>1</v>
      </c>
      <c r="D285" s="1527" t="s">
        <v>1206</v>
      </c>
      <c r="E285" s="1501" t="s">
        <v>1206</v>
      </c>
      <c r="F285" s="1528" t="s">
        <v>1954</v>
      </c>
      <c r="G285" s="1501" t="s">
        <v>1207</v>
      </c>
      <c r="H285" s="1825">
        <v>0</v>
      </c>
      <c r="I285" s="1825">
        <v>0</v>
      </c>
      <c r="J285" s="1826">
        <v>0</v>
      </c>
      <c r="K285" s="1826">
        <v>0</v>
      </c>
      <c r="L285" s="1530">
        <f t="shared" si="37"/>
        <v>0</v>
      </c>
      <c r="N285" s="1531">
        <f>SUMIF('CF.2'!$H$5:$H$25,'CF.1'!E285,'CF.2'!$J$5:$J$25)-SUMIF('CF.2'!$K$5:$K$25,'CF.1'!E285,'CF.2'!$M$5:$M$25)</f>
        <v>0</v>
      </c>
      <c r="O285" s="1529">
        <f>SUMIF('CF.2'!$H$31:$H$60,'CF.1'!E285,'CF.2'!$J$31:$J$60)+SUMIF('CF.2'!$K$31:$K$60,'CF.1'!E285,'CF.2'!$M$31:$M$60)</f>
        <v>0</v>
      </c>
      <c r="P285" s="1529">
        <f>SUMIF('CF.2'!$H$65:$H$108,'CF.1'!E285,'CF.2'!$J$65:$J$108)+SUMIF('CF.2'!$K$65:$K$108,'CF.1'!E285,'CF.2'!$M$65:$M$108)</f>
        <v>0</v>
      </c>
      <c r="Q285" s="1529">
        <f>SUMIF('CF.2'!$H$112:$H$118,'CF.1'!E285,'CF.2'!$J$112:$J$118)+SUMIF('CF.2'!$K$112:$K$118,'CF.1'!E285,'CF.2'!$M$112:$M$118)</f>
        <v>0</v>
      </c>
      <c r="R285" s="1529">
        <f>SUMIF('CF.2'!$H$123:$H$134,'CF.1'!E285,'CF.2'!$J$123:$J$134)+SUMIF('CF.2'!$K$123:$K$134,'CF.1'!E285,'CF.2'!$M$123:$M$134)</f>
        <v>0</v>
      </c>
      <c r="S285" s="1530">
        <f t="shared" si="38"/>
        <v>0</v>
      </c>
      <c r="U285" s="1532">
        <f t="shared" si="39"/>
        <v>0</v>
      </c>
    </row>
    <row r="286" spans="3:26" ht="18" customHeight="1">
      <c r="C286" s="1359">
        <v>1</v>
      </c>
      <c r="D286" s="1527" t="s">
        <v>1208</v>
      </c>
      <c r="E286" s="1501" t="s">
        <v>1368</v>
      </c>
      <c r="F286" s="1528" t="s">
        <v>1441</v>
      </c>
      <c r="G286" s="1501" t="s">
        <v>1360</v>
      </c>
      <c r="H286" s="1825">
        <v>-116890000</v>
      </c>
      <c r="I286" s="1825">
        <v>-433636</v>
      </c>
      <c r="J286" s="1826">
        <v>0</v>
      </c>
      <c r="K286" s="1826">
        <v>0</v>
      </c>
      <c r="L286" s="1530">
        <f t="shared" si="37"/>
        <v>-117323636</v>
      </c>
      <c r="N286" s="1531">
        <f>SUMIF('CF.2'!$H$5:$H$25,'CF.1'!E286,'CF.2'!$J$5:$J$25)-SUMIF('CF.2'!$K$5:$K$25,'CF.1'!E286,'CF.2'!$M$5:$M$25)</f>
        <v>0</v>
      </c>
      <c r="O286" s="1529">
        <f>SUMIF('CF.2'!$H$31:$H$60,'CF.1'!E286,'CF.2'!$J$31:$J$60)+SUMIF('CF.2'!$K$31:$K$60,'CF.1'!E286,'CF.2'!$M$31:$M$60)</f>
        <v>0</v>
      </c>
      <c r="P286" s="1529">
        <f>SUMIF('CF.2'!$H$65:$H$108,'CF.1'!E286,'CF.2'!$J$65:$J$108)+SUMIF('CF.2'!$K$65:$K$108,'CF.1'!E286,'CF.2'!$M$65:$M$108)</f>
        <v>0</v>
      </c>
      <c r="Q286" s="1529">
        <f>SUMIF('CF.2'!$H$112:$H$118,'CF.1'!E286,'CF.2'!$J$112:$J$118)+SUMIF('CF.2'!$K$112:$K$118,'CF.1'!E286,'CF.2'!$M$112:$M$118)</f>
        <v>0</v>
      </c>
      <c r="R286" s="1529">
        <f>SUMIF('CF.2'!$H$123:$H$134,'CF.1'!E286,'CF.2'!$J$123:$J$134)+SUMIF('CF.2'!$K$123:$K$134,'CF.1'!E286,'CF.2'!$M$123:$M$134)</f>
        <v>0</v>
      </c>
      <c r="S286" s="1530">
        <f t="shared" si="38"/>
        <v>0</v>
      </c>
      <c r="U286" s="1532">
        <f t="shared" si="39"/>
        <v>-117323636</v>
      </c>
    </row>
    <row r="287" spans="3:26" ht="18" customHeight="1">
      <c r="C287" s="1359">
        <v>1</v>
      </c>
      <c r="D287" s="1527" t="s">
        <v>1208</v>
      </c>
      <c r="E287" s="1501" t="s">
        <v>1369</v>
      </c>
      <c r="F287" s="1528" t="s">
        <v>1441</v>
      </c>
      <c r="G287" s="1501" t="s">
        <v>1209</v>
      </c>
      <c r="H287" s="1825">
        <v>-1214895879</v>
      </c>
      <c r="I287" s="1825">
        <v>0</v>
      </c>
      <c r="J287" s="1826">
        <v>0</v>
      </c>
      <c r="K287" s="1826">
        <v>0</v>
      </c>
      <c r="L287" s="1530">
        <f t="shared" si="37"/>
        <v>-1214895879</v>
      </c>
      <c r="N287" s="1531">
        <f>SUMIF('CF.2'!$H$5:$H$25,'CF.1'!E287,'CF.2'!$J$5:$J$25)-SUMIF('CF.2'!$K$5:$K$25,'CF.1'!E287,'CF.2'!$M$5:$M$25)</f>
        <v>0</v>
      </c>
      <c r="O287" s="1529">
        <f>SUMIF('CF.2'!$H$31:$H$60,'CF.1'!E287,'CF.2'!$J$31:$J$60)+SUMIF('CF.2'!$K$31:$K$60,'CF.1'!E287,'CF.2'!$M$31:$M$60)</f>
        <v>0</v>
      </c>
      <c r="P287" s="1529">
        <f>SUMIF('CF.2'!$H$65:$H$108,'CF.1'!E287,'CF.2'!$J$65:$J$108)+SUMIF('CF.2'!$K$65:$K$108,'CF.1'!E287,'CF.2'!$M$65:$M$108)</f>
        <v>0</v>
      </c>
      <c r="Q287" s="1529">
        <f>SUMIF('CF.2'!$H$112:$H$118,'CF.1'!E287,'CF.2'!$J$112:$J$118)+SUMIF('CF.2'!$K$112:$K$118,'CF.1'!E287,'CF.2'!$M$112:$M$118)</f>
        <v>0</v>
      </c>
      <c r="R287" s="1529">
        <f>SUMIF('CF.2'!$H$123:$H$134,'CF.1'!E287,'CF.2'!$J$123:$J$134)+SUMIF('CF.2'!$K$123:$K$134,'CF.1'!E287,'CF.2'!$M$123:$M$134)</f>
        <v>0</v>
      </c>
      <c r="S287" s="1530">
        <f t="shared" si="38"/>
        <v>0</v>
      </c>
      <c r="U287" s="1532">
        <f t="shared" si="39"/>
        <v>-1214895879</v>
      </c>
    </row>
    <row r="288" spans="3:26" ht="18" customHeight="1">
      <c r="C288" s="1359">
        <v>1</v>
      </c>
      <c r="D288" s="1527" t="s">
        <v>1210</v>
      </c>
      <c r="E288" s="1501" t="s">
        <v>1210</v>
      </c>
      <c r="F288" s="1528"/>
      <c r="G288" s="1501" t="s">
        <v>1211</v>
      </c>
      <c r="H288" s="1825">
        <v>0</v>
      </c>
      <c r="I288" s="1826">
        <v>0</v>
      </c>
      <c r="J288" s="1826">
        <v>0</v>
      </c>
      <c r="K288" s="1826">
        <v>0</v>
      </c>
      <c r="L288" s="1530">
        <f t="shared" si="37"/>
        <v>0</v>
      </c>
      <c r="N288" s="1531">
        <f>SUMIF('CF.2'!$H$5:$H$25,'CF.1'!E288,'CF.2'!$J$5:$J$25)-SUMIF('CF.2'!$K$5:$K$25,'CF.1'!E288,'CF.2'!$M$5:$M$25)</f>
        <v>0</v>
      </c>
      <c r="O288" s="1529">
        <f>SUMIF('CF.2'!$H$31:$H$60,'CF.1'!E288,'CF.2'!$J$31:$J$60)+SUMIF('CF.2'!$K$31:$K$60,'CF.1'!E288,'CF.2'!$M$31:$M$60)</f>
        <v>0</v>
      </c>
      <c r="P288" s="1529">
        <f>SUMIF('CF.2'!$H$65:$H$108,'CF.1'!E288,'CF.2'!$J$65:$J$108)+SUMIF('CF.2'!$K$65:$K$108,'CF.1'!E288,'CF.2'!$M$65:$M$108)</f>
        <v>0</v>
      </c>
      <c r="Q288" s="1529">
        <f>SUMIF('CF.2'!$H$112:$H$118,'CF.1'!E288,'CF.2'!$J$112:$J$118)+SUMIF('CF.2'!$K$112:$K$118,'CF.1'!E288,'CF.2'!$M$112:$M$118)</f>
        <v>0</v>
      </c>
      <c r="R288" s="1529">
        <f>SUMIF('CF.2'!$H$123:$H$134,'CF.1'!E288,'CF.2'!$J$123:$J$134)+SUMIF('CF.2'!$K$123:$K$134,'CF.1'!E288,'CF.2'!$M$123:$M$134)</f>
        <v>0</v>
      </c>
      <c r="S288" s="1530">
        <f t="shared" si="38"/>
        <v>0</v>
      </c>
      <c r="U288" s="1532">
        <f t="shared" si="39"/>
        <v>0</v>
      </c>
    </row>
    <row r="289" spans="3:23" ht="18" customHeight="1">
      <c r="C289" s="1359">
        <v>1</v>
      </c>
      <c r="D289" s="1527" t="s">
        <v>1212</v>
      </c>
      <c r="E289" s="1501" t="s">
        <v>1212</v>
      </c>
      <c r="F289" s="1528"/>
      <c r="G289" s="1501" t="s">
        <v>1213</v>
      </c>
      <c r="H289" s="1825">
        <v>0</v>
      </c>
      <c r="I289" s="1826">
        <v>0</v>
      </c>
      <c r="J289" s="1826">
        <v>0</v>
      </c>
      <c r="K289" s="1826">
        <v>0</v>
      </c>
      <c r="L289" s="1530">
        <f t="shared" si="37"/>
        <v>0</v>
      </c>
      <c r="N289" s="1531">
        <f>SUMIF('CF.2'!$H$5:$H$25,'CF.1'!E289,'CF.2'!$J$5:$J$25)-SUMIF('CF.2'!$K$5:$K$25,'CF.1'!E289,'CF.2'!$M$5:$M$25)</f>
        <v>0</v>
      </c>
      <c r="O289" s="1529">
        <f>SUMIF('CF.2'!$H$31:$H$60,'CF.1'!E289,'CF.2'!$J$31:$J$60)+SUMIF('CF.2'!$K$31:$K$60,'CF.1'!E289,'CF.2'!$M$31:$M$60)</f>
        <v>0</v>
      </c>
      <c r="P289" s="1529">
        <f>SUMIF('CF.2'!$H$65:$H$108,'CF.1'!E289,'CF.2'!$J$65:$J$108)+SUMIF('CF.2'!$K$65:$K$108,'CF.1'!E289,'CF.2'!$M$65:$M$108)</f>
        <v>0</v>
      </c>
      <c r="Q289" s="1529">
        <f>SUMIF('CF.2'!$H$112:$H$118,'CF.1'!E289,'CF.2'!$J$112:$J$118)+SUMIF('CF.2'!$K$112:$K$118,'CF.1'!E289,'CF.2'!$M$112:$M$118)</f>
        <v>0</v>
      </c>
      <c r="R289" s="1529">
        <f>SUMIF('CF.2'!$H$123:$H$134,'CF.1'!E289,'CF.2'!$J$123:$J$134)+SUMIF('CF.2'!$K$123:$K$134,'CF.1'!E289,'CF.2'!$M$123:$M$134)</f>
        <v>0</v>
      </c>
      <c r="S289" s="1530">
        <f t="shared" si="38"/>
        <v>0</v>
      </c>
      <c r="U289" s="1532">
        <f t="shared" si="39"/>
        <v>0</v>
      </c>
    </row>
    <row r="290" spans="3:23" ht="18" customHeight="1">
      <c r="C290" s="1359">
        <v>1</v>
      </c>
      <c r="D290" s="1527" t="s">
        <v>1214</v>
      </c>
      <c r="E290" s="1501" t="s">
        <v>1214</v>
      </c>
      <c r="F290" s="1543" t="s">
        <v>1682</v>
      </c>
      <c r="G290" s="1501" t="s">
        <v>1215</v>
      </c>
      <c r="H290" s="1825">
        <v>0</v>
      </c>
      <c r="I290" s="1826">
        <v>0</v>
      </c>
      <c r="J290" s="1826">
        <v>0</v>
      </c>
      <c r="K290" s="1826">
        <v>0</v>
      </c>
      <c r="L290" s="1530">
        <f t="shared" si="37"/>
        <v>0</v>
      </c>
      <c r="N290" s="1531">
        <f>SUMIF('CF.2'!$H$5:$H$25,'CF.1'!E290,'CF.2'!$J$5:$J$25)-SUMIF('CF.2'!$K$5:$K$25,'CF.1'!E290,'CF.2'!$M$5:$M$25)</f>
        <v>0</v>
      </c>
      <c r="O290" s="1529">
        <f>SUMIF('CF.2'!$H$31:$H$60,'CF.1'!E290,'CF.2'!$J$31:$J$60)+SUMIF('CF.2'!$K$31:$K$60,'CF.1'!E290,'CF.2'!$M$31:$M$60)</f>
        <v>0</v>
      </c>
      <c r="P290" s="1529">
        <f>SUMIF('CF.2'!$H$65:$H$108,'CF.1'!E290,'CF.2'!$J$65:$J$108)+SUMIF('CF.2'!$K$65:$K$108,'CF.1'!E290,'CF.2'!$M$65:$M$108)</f>
        <v>0</v>
      </c>
      <c r="Q290" s="1529">
        <f>SUMIF('CF.2'!$H$112:$H$118,'CF.1'!E290,'CF.2'!$J$112:$J$118)+SUMIF('CF.2'!$K$112:$K$118,'CF.1'!E290,'CF.2'!$M$112:$M$118)</f>
        <v>0</v>
      </c>
      <c r="R290" s="1529">
        <f>SUMIF('CF.2'!$H$123:$H$134,'CF.1'!E290,'CF.2'!$J$123:$J$134)+SUMIF('CF.2'!$K$123:$K$134,'CF.1'!E290,'CF.2'!$M$123:$M$134)</f>
        <v>0</v>
      </c>
      <c r="S290" s="1530">
        <f t="shared" si="38"/>
        <v>0</v>
      </c>
      <c r="U290" s="1532">
        <f t="shared" si="39"/>
        <v>0</v>
      </c>
    </row>
    <row r="291" spans="3:23" ht="18" customHeight="1">
      <c r="C291" s="1359">
        <v>1</v>
      </c>
      <c r="D291" s="1527" t="s">
        <v>1216</v>
      </c>
      <c r="E291" s="1501" t="s">
        <v>1216</v>
      </c>
      <c r="F291" s="1528"/>
      <c r="G291" s="1501" t="s">
        <v>1217</v>
      </c>
      <c r="H291" s="1825">
        <v>0</v>
      </c>
      <c r="I291" s="1826">
        <v>0</v>
      </c>
      <c r="J291" s="1826">
        <v>0</v>
      </c>
      <c r="K291" s="1826">
        <v>0</v>
      </c>
      <c r="L291" s="1530">
        <f t="shared" si="37"/>
        <v>0</v>
      </c>
      <c r="N291" s="1531">
        <f>SUMIF('CF.2'!$H$5:$H$25,'CF.1'!E291,'CF.2'!$J$5:$J$25)-SUMIF('CF.2'!$K$5:$K$25,'CF.1'!E291,'CF.2'!$M$5:$M$25)</f>
        <v>0</v>
      </c>
      <c r="O291" s="1529">
        <f>SUMIF('CF.2'!$H$31:$H$60,'CF.1'!E291,'CF.2'!$J$31:$J$60)+SUMIF('CF.2'!$K$31:$K$60,'CF.1'!E291,'CF.2'!$M$31:$M$60)</f>
        <v>0</v>
      </c>
      <c r="P291" s="1529">
        <f>SUMIF('CF.2'!$H$65:$H$108,'CF.1'!E291,'CF.2'!$J$65:$J$108)+SUMIF('CF.2'!$K$65:$K$108,'CF.1'!E291,'CF.2'!$M$65:$M$108)</f>
        <v>0</v>
      </c>
      <c r="Q291" s="1529">
        <f>SUMIF('CF.2'!$H$112:$H$118,'CF.1'!E291,'CF.2'!$J$112:$J$118)+SUMIF('CF.2'!$K$112:$K$118,'CF.1'!E291,'CF.2'!$M$112:$M$118)</f>
        <v>0</v>
      </c>
      <c r="R291" s="1529">
        <f>SUMIF('CF.2'!$H$123:$H$134,'CF.1'!E291,'CF.2'!$J$123:$J$134)+SUMIF('CF.2'!$K$123:$K$134,'CF.1'!E291,'CF.2'!$M$123:$M$134)</f>
        <v>0</v>
      </c>
      <c r="S291" s="1530">
        <f t="shared" si="38"/>
        <v>0</v>
      </c>
      <c r="U291" s="1532">
        <f t="shared" si="39"/>
        <v>0</v>
      </c>
    </row>
    <row r="292" spans="3:23" ht="18" customHeight="1">
      <c r="C292" s="1359">
        <v>1</v>
      </c>
      <c r="D292" s="1527" t="s">
        <v>1218</v>
      </c>
      <c r="E292" s="1501" t="s">
        <v>1218</v>
      </c>
      <c r="F292" s="1528" t="s">
        <v>1473</v>
      </c>
      <c r="G292" s="1501" t="s">
        <v>1219</v>
      </c>
      <c r="H292" s="1825">
        <v>0</v>
      </c>
      <c r="I292" s="1826">
        <v>0</v>
      </c>
      <c r="J292" s="1826">
        <v>0</v>
      </c>
      <c r="K292" s="1826">
        <v>0</v>
      </c>
      <c r="L292" s="1530">
        <f t="shared" si="37"/>
        <v>0</v>
      </c>
      <c r="N292" s="1531">
        <f>SUMIF('CF.2'!$H$5:$H$25,'CF.1'!E292,'CF.2'!$J$5:$J$25)-SUMIF('CF.2'!$K$5:$K$25,'CF.1'!E292,'CF.2'!$M$5:$M$25)</f>
        <v>0</v>
      </c>
      <c r="O292" s="1529">
        <f>SUMIF('CF.2'!$H$31:$H$60,'CF.1'!E292,'CF.2'!$J$31:$J$60)+SUMIF('CF.2'!$K$31:$K$60,'CF.1'!E292,'CF.2'!$M$31:$M$60)</f>
        <v>0</v>
      </c>
      <c r="P292" s="1529">
        <f>SUMIF('CF.2'!$H$65:$H$108,'CF.1'!E292,'CF.2'!$J$65:$J$108)+SUMIF('CF.2'!$K$65:$K$108,'CF.1'!E292,'CF.2'!$M$65:$M$108)</f>
        <v>0</v>
      </c>
      <c r="Q292" s="1529">
        <f>SUMIF('CF.2'!$H$112:$H$118,'CF.1'!E292,'CF.2'!$J$112:$J$118)+SUMIF('CF.2'!$K$112:$K$118,'CF.1'!E292,'CF.2'!$M$112:$M$118)</f>
        <v>0</v>
      </c>
      <c r="R292" s="1529">
        <f>SUMIF('CF.2'!$H$123:$H$134,'CF.1'!E292,'CF.2'!$J$123:$J$134)+SUMIF('CF.2'!$K$123:$K$134,'CF.1'!E292,'CF.2'!$M$123:$M$134)</f>
        <v>0</v>
      </c>
      <c r="S292" s="1530">
        <f t="shared" si="38"/>
        <v>0</v>
      </c>
      <c r="U292" s="1532">
        <f t="shared" si="39"/>
        <v>0</v>
      </c>
    </row>
    <row r="293" spans="3:23" ht="18" customHeight="1">
      <c r="C293" s="1359">
        <v>1</v>
      </c>
      <c r="D293" s="1527" t="s">
        <v>1220</v>
      </c>
      <c r="E293" s="1501" t="s">
        <v>1220</v>
      </c>
      <c r="F293" s="1528"/>
      <c r="G293" s="1501" t="s">
        <v>1221</v>
      </c>
      <c r="H293" s="1825">
        <v>0</v>
      </c>
      <c r="I293" s="1826">
        <v>0</v>
      </c>
      <c r="J293" s="1826">
        <v>0</v>
      </c>
      <c r="K293" s="1826">
        <v>0</v>
      </c>
      <c r="L293" s="1530">
        <f t="shared" si="37"/>
        <v>0</v>
      </c>
      <c r="N293" s="1531">
        <f>SUMIF('CF.2'!$H$5:$H$25,'CF.1'!E293,'CF.2'!$J$5:$J$25)-SUMIF('CF.2'!$K$5:$K$25,'CF.1'!E293,'CF.2'!$M$5:$M$25)</f>
        <v>0</v>
      </c>
      <c r="O293" s="1529">
        <f>SUMIF('CF.2'!$H$31:$H$60,'CF.1'!E293,'CF.2'!$J$31:$J$60)+SUMIF('CF.2'!$K$31:$K$60,'CF.1'!E293,'CF.2'!$M$31:$M$60)</f>
        <v>0</v>
      </c>
      <c r="P293" s="1529">
        <f>SUMIF('CF.2'!$H$65:$H$108,'CF.1'!E293,'CF.2'!$J$65:$J$108)+SUMIF('CF.2'!$K$65:$K$108,'CF.1'!E293,'CF.2'!$M$65:$M$108)</f>
        <v>0</v>
      </c>
      <c r="Q293" s="1529">
        <f>SUMIF('CF.2'!$H$112:$H$118,'CF.1'!E293,'CF.2'!$J$112:$J$118)+SUMIF('CF.2'!$K$112:$K$118,'CF.1'!E293,'CF.2'!$M$112:$M$118)</f>
        <v>0</v>
      </c>
      <c r="R293" s="1529">
        <f>SUMIF('CF.2'!$H$123:$H$134,'CF.1'!E293,'CF.2'!$J$123:$J$134)+SUMIF('CF.2'!$K$123:$K$134,'CF.1'!E293,'CF.2'!$M$123:$M$134)</f>
        <v>0</v>
      </c>
      <c r="S293" s="1530">
        <f t="shared" si="38"/>
        <v>0</v>
      </c>
      <c r="U293" s="1532">
        <f t="shared" si="39"/>
        <v>0</v>
      </c>
    </row>
    <row r="294" spans="3:23" ht="18" customHeight="1">
      <c r="C294" s="1359">
        <v>1</v>
      </c>
      <c r="D294" s="1527" t="s">
        <v>1222</v>
      </c>
      <c r="E294" s="1501" t="s">
        <v>1222</v>
      </c>
      <c r="F294" s="1528"/>
      <c r="G294" s="1501" t="s">
        <v>1223</v>
      </c>
      <c r="H294" s="1825">
        <v>0</v>
      </c>
      <c r="I294" s="1826">
        <v>0</v>
      </c>
      <c r="J294" s="1826">
        <v>0</v>
      </c>
      <c r="K294" s="1826">
        <v>0</v>
      </c>
      <c r="L294" s="1530">
        <f t="shared" si="37"/>
        <v>0</v>
      </c>
      <c r="N294" s="1531">
        <f>SUMIF('CF.2'!$H$5:$H$25,'CF.1'!E294,'CF.2'!$J$5:$J$25)-SUMIF('CF.2'!$K$5:$K$25,'CF.1'!E294,'CF.2'!$M$5:$M$25)</f>
        <v>0</v>
      </c>
      <c r="O294" s="1529">
        <f>SUMIF('CF.2'!$H$31:$H$60,'CF.1'!E294,'CF.2'!$J$31:$J$60)+SUMIF('CF.2'!$K$31:$K$60,'CF.1'!E294,'CF.2'!$M$31:$M$60)</f>
        <v>0</v>
      </c>
      <c r="P294" s="1529">
        <f>SUMIF('CF.2'!$H$65:$H$108,'CF.1'!E294,'CF.2'!$J$65:$J$108)+SUMIF('CF.2'!$K$65:$K$108,'CF.1'!E294,'CF.2'!$M$65:$M$108)</f>
        <v>0</v>
      </c>
      <c r="Q294" s="1529">
        <f>SUMIF('CF.2'!$H$112:$H$118,'CF.1'!E294,'CF.2'!$J$112:$J$118)+SUMIF('CF.2'!$K$112:$K$118,'CF.1'!E294,'CF.2'!$M$112:$M$118)</f>
        <v>0</v>
      </c>
      <c r="R294" s="1529">
        <f>SUMIF('CF.2'!$H$123:$H$134,'CF.1'!E294,'CF.2'!$J$123:$J$134)+SUMIF('CF.2'!$K$123:$K$134,'CF.1'!E294,'CF.2'!$M$123:$M$134)</f>
        <v>0</v>
      </c>
      <c r="S294" s="1530">
        <f t="shared" si="38"/>
        <v>0</v>
      </c>
      <c r="U294" s="1532">
        <f t="shared" si="39"/>
        <v>0</v>
      </c>
    </row>
    <row r="295" spans="3:23" ht="18" customHeight="1">
      <c r="C295" s="1359">
        <v>1</v>
      </c>
      <c r="D295" s="1527" t="s">
        <v>1224</v>
      </c>
      <c r="E295" s="1501" t="s">
        <v>1224</v>
      </c>
      <c r="F295" s="1528" t="s">
        <v>2549</v>
      </c>
      <c r="G295" s="1254" t="s">
        <v>1225</v>
      </c>
      <c r="H295" s="1828">
        <v>-20301223536</v>
      </c>
      <c r="I295" s="1826">
        <v>0</v>
      </c>
      <c r="J295" s="1826">
        <v>0</v>
      </c>
      <c r="K295" s="1826">
        <v>0</v>
      </c>
      <c r="L295" s="1530">
        <f t="shared" si="37"/>
        <v>-20301223536</v>
      </c>
      <c r="N295" s="1531">
        <f>SUMIF('CF.2'!$H$5:$H$25,'CF.1'!E295,'CF.2'!$J$5:$J$25)-SUMIF('CF.2'!$K$5:$K$25,'CF.1'!E295,'CF.2'!$M$5:$M$25)</f>
        <v>0</v>
      </c>
      <c r="O295" s="1529">
        <f>SUMIF('CF.2'!$H$31:$H$60,'CF.1'!E295,'CF.2'!$J$31:$J$60)+SUMIF('CF.2'!$K$31:$K$60,'CF.1'!E295,'CF.2'!$M$31:$M$60)</f>
        <v>0</v>
      </c>
      <c r="P295" s="1529">
        <f>SUMIF('CF.2'!$H$65:$H$108,'CF.1'!E295,'CF.2'!$J$65:$J$108)+SUMIF('CF.2'!$K$65:$K$108,'CF.1'!E295,'CF.2'!$M$65:$M$108)</f>
        <v>0</v>
      </c>
      <c r="Q295" s="1529">
        <f>SUMIF('CF.2'!$H$112:$H$118,'CF.1'!E295,'CF.2'!$J$112:$J$118)+SUMIF('CF.2'!$K$112:$K$118,'CF.1'!E295,'CF.2'!$M$112:$M$118)</f>
        <v>0</v>
      </c>
      <c r="R295" s="1529">
        <f>SUMIF('CF.2'!$H$123:$H$134,'CF.1'!E295,'CF.2'!$J$123:$J$134)+SUMIF('CF.2'!$K$123:$K$134,'CF.1'!E295,'CF.2'!$M$123:$M$134)</f>
        <v>0</v>
      </c>
      <c r="S295" s="1530">
        <f t="shared" si="38"/>
        <v>0</v>
      </c>
      <c r="U295" s="1532">
        <f t="shared" si="39"/>
        <v>-20301223536</v>
      </c>
    </row>
    <row r="296" spans="3:23" ht="18" customHeight="1">
      <c r="C296" s="1359">
        <v>1</v>
      </c>
      <c r="D296" s="1527" t="s">
        <v>1226</v>
      </c>
      <c r="E296" s="1501" t="s">
        <v>1226</v>
      </c>
      <c r="F296" s="1528"/>
      <c r="G296" s="1501" t="s">
        <v>1227</v>
      </c>
      <c r="H296" s="1825">
        <v>0</v>
      </c>
      <c r="I296" s="1826">
        <v>0</v>
      </c>
      <c r="J296" s="1826">
        <v>0</v>
      </c>
      <c r="K296" s="1826">
        <v>0</v>
      </c>
      <c r="L296" s="1530">
        <f t="shared" si="37"/>
        <v>0</v>
      </c>
      <c r="N296" s="1531">
        <f>SUMIF('CF.2'!$H$5:$H$25,'CF.1'!E296,'CF.2'!$J$5:$J$25)-SUMIF('CF.2'!$K$5:$K$25,'CF.1'!E296,'CF.2'!$M$5:$M$25)</f>
        <v>0</v>
      </c>
      <c r="O296" s="1529">
        <f>SUMIF('CF.2'!$H$31:$H$60,'CF.1'!E296,'CF.2'!$J$31:$J$60)+SUMIF('CF.2'!$K$31:$K$60,'CF.1'!E296,'CF.2'!$M$31:$M$60)</f>
        <v>0</v>
      </c>
      <c r="P296" s="1529">
        <f>SUMIF('CF.2'!$H$65:$H$108,'CF.1'!E296,'CF.2'!$J$65:$J$108)+SUMIF('CF.2'!$K$65:$K$108,'CF.1'!E296,'CF.2'!$M$65:$M$108)</f>
        <v>0</v>
      </c>
      <c r="Q296" s="1529">
        <f>SUMIF('CF.2'!$H$112:$H$118,'CF.1'!E296,'CF.2'!$J$112:$J$118)+SUMIF('CF.2'!$K$112:$K$118,'CF.1'!E296,'CF.2'!$M$112:$M$118)</f>
        <v>0</v>
      </c>
      <c r="R296" s="1529">
        <f>SUMIF('CF.2'!$H$123:$H$134,'CF.1'!E296,'CF.2'!$J$123:$J$134)+SUMIF('CF.2'!$K$123:$K$134,'CF.1'!E296,'CF.2'!$M$123:$M$134)</f>
        <v>0</v>
      </c>
      <c r="S296" s="1530">
        <f t="shared" si="38"/>
        <v>0</v>
      </c>
      <c r="U296" s="1532">
        <f t="shared" si="39"/>
        <v>0</v>
      </c>
    </row>
    <row r="297" spans="3:23" ht="18" customHeight="1">
      <c r="C297" s="1359">
        <v>1</v>
      </c>
      <c r="D297" s="1527" t="s">
        <v>1228</v>
      </c>
      <c r="E297" s="1501" t="s">
        <v>1228</v>
      </c>
      <c r="F297" s="1528"/>
      <c r="G297" s="1501" t="s">
        <v>1229</v>
      </c>
      <c r="H297" s="1825">
        <v>0</v>
      </c>
      <c r="I297" s="1826">
        <v>0</v>
      </c>
      <c r="J297" s="1826">
        <v>0</v>
      </c>
      <c r="K297" s="1826">
        <v>0</v>
      </c>
      <c r="L297" s="1530">
        <f t="shared" si="37"/>
        <v>0</v>
      </c>
      <c r="N297" s="1531">
        <f>SUMIF('CF.2'!$H$5:$H$25,'CF.1'!E297,'CF.2'!$J$5:$J$25)-SUMIF('CF.2'!$K$5:$K$25,'CF.1'!E297,'CF.2'!$M$5:$M$25)</f>
        <v>0</v>
      </c>
      <c r="O297" s="1529">
        <f>SUMIF('CF.2'!$H$31:$H$60,'CF.1'!E297,'CF.2'!$J$31:$J$60)+SUMIF('CF.2'!$K$31:$K$60,'CF.1'!E297,'CF.2'!$M$31:$M$60)</f>
        <v>0</v>
      </c>
      <c r="P297" s="1529">
        <f>SUMIF('CF.2'!$H$65:$H$108,'CF.1'!E297,'CF.2'!$J$65:$J$108)+SUMIF('CF.2'!$K$65:$K$108,'CF.1'!E297,'CF.2'!$M$65:$M$108)</f>
        <v>0</v>
      </c>
      <c r="Q297" s="1529">
        <f>SUMIF('CF.2'!$H$112:$H$118,'CF.1'!E297,'CF.2'!$J$112:$J$118)+SUMIF('CF.2'!$K$112:$K$118,'CF.1'!E297,'CF.2'!$M$112:$M$118)</f>
        <v>0</v>
      </c>
      <c r="R297" s="1529">
        <f>SUMIF('CF.2'!$H$123:$H$134,'CF.1'!E297,'CF.2'!$J$123:$J$134)+SUMIF('CF.2'!$K$123:$K$134,'CF.1'!E297,'CF.2'!$M$123:$M$134)</f>
        <v>0</v>
      </c>
      <c r="S297" s="1530">
        <f t="shared" si="38"/>
        <v>0</v>
      </c>
      <c r="U297" s="1532">
        <f t="shared" si="39"/>
        <v>0</v>
      </c>
    </row>
    <row r="298" spans="3:23" ht="18" customHeight="1">
      <c r="C298" s="1359">
        <v>1</v>
      </c>
      <c r="D298" s="1527" t="s">
        <v>1230</v>
      </c>
      <c r="E298" s="1501" t="s">
        <v>1230</v>
      </c>
      <c r="F298" s="1528"/>
      <c r="G298" s="1501" t="s">
        <v>1231</v>
      </c>
      <c r="H298" s="1825">
        <v>0</v>
      </c>
      <c r="I298" s="1826">
        <v>0</v>
      </c>
      <c r="J298" s="1826">
        <v>0</v>
      </c>
      <c r="K298" s="1826">
        <v>0</v>
      </c>
      <c r="L298" s="1530">
        <f t="shared" si="37"/>
        <v>0</v>
      </c>
      <c r="N298" s="1531">
        <f>SUMIF('CF.2'!$H$5:$H$25,'CF.1'!E298,'CF.2'!$J$5:$J$25)-SUMIF('CF.2'!$K$5:$K$25,'CF.1'!E298,'CF.2'!$M$5:$M$25)</f>
        <v>0</v>
      </c>
      <c r="O298" s="1529">
        <f>SUMIF('CF.2'!$H$31:$H$60,'CF.1'!E298,'CF.2'!$J$31:$J$60)+SUMIF('CF.2'!$K$31:$K$60,'CF.1'!E298,'CF.2'!$M$31:$M$60)</f>
        <v>0</v>
      </c>
      <c r="P298" s="1529">
        <f>SUMIF('CF.2'!$H$65:$H$108,'CF.1'!E298,'CF.2'!$J$65:$J$108)+SUMIF('CF.2'!$K$65:$K$108,'CF.1'!E298,'CF.2'!$M$65:$M$108)</f>
        <v>0</v>
      </c>
      <c r="Q298" s="1529">
        <f>SUMIF('CF.2'!$H$112:$H$118,'CF.1'!E298,'CF.2'!$J$112:$J$118)+SUMIF('CF.2'!$K$112:$K$118,'CF.1'!E298,'CF.2'!$M$112:$M$118)</f>
        <v>0</v>
      </c>
      <c r="R298" s="1529">
        <f>SUMIF('CF.2'!$H$123:$H$134,'CF.1'!E298,'CF.2'!$J$123:$J$134)+SUMIF('CF.2'!$K$123:$K$134,'CF.1'!E298,'CF.2'!$M$123:$M$134)</f>
        <v>0</v>
      </c>
      <c r="S298" s="1530">
        <f t="shared" si="38"/>
        <v>0</v>
      </c>
      <c r="U298" s="1532">
        <f t="shared" si="39"/>
        <v>0</v>
      </c>
    </row>
    <row r="299" spans="3:23" ht="18" customHeight="1">
      <c r="C299" s="1359">
        <v>1</v>
      </c>
      <c r="D299" s="1527" t="s">
        <v>1232</v>
      </c>
      <c r="E299" s="1501" t="s">
        <v>1232</v>
      </c>
      <c r="F299" s="1528" t="s">
        <v>1473</v>
      </c>
      <c r="G299" s="1501" t="s">
        <v>1233</v>
      </c>
      <c r="H299" s="1825">
        <v>0</v>
      </c>
      <c r="I299" s="1826">
        <v>0</v>
      </c>
      <c r="J299" s="1826">
        <v>0</v>
      </c>
      <c r="K299" s="1826">
        <v>0</v>
      </c>
      <c r="L299" s="1530">
        <f t="shared" si="37"/>
        <v>0</v>
      </c>
      <c r="N299" s="1531">
        <f>SUMIF('CF.2'!$H$5:$H$25,'CF.1'!E299,'CF.2'!$J$5:$J$25)-SUMIF('CF.2'!$K$5:$K$25,'CF.1'!E299,'CF.2'!$M$5:$M$25)</f>
        <v>0</v>
      </c>
      <c r="O299" s="1529">
        <f>SUMIF('CF.2'!$H$31:$H$60,'CF.1'!E299,'CF.2'!$J$31:$J$60)+SUMIF('CF.2'!$K$31:$K$60,'CF.1'!E299,'CF.2'!$M$31:$M$60)</f>
        <v>0</v>
      </c>
      <c r="P299" s="1529">
        <f>SUMIF('CF.2'!$H$65:$H$108,'CF.1'!E299,'CF.2'!$J$65:$J$108)+SUMIF('CF.2'!$K$65:$K$108,'CF.1'!E299,'CF.2'!$M$65:$M$108)</f>
        <v>0</v>
      </c>
      <c r="Q299" s="1529">
        <f>SUMIF('CF.2'!$H$112:$H$118,'CF.1'!E299,'CF.2'!$J$112:$J$118)+SUMIF('CF.2'!$K$112:$K$118,'CF.1'!E299,'CF.2'!$M$112:$M$118)</f>
        <v>0</v>
      </c>
      <c r="R299" s="1529">
        <f>SUMIF('CF.2'!$H$123:$H$134,'CF.1'!E299,'CF.2'!$J$123:$J$134)+SUMIF('CF.2'!$K$123:$K$134,'CF.1'!E299,'CF.2'!$M$123:$M$134)</f>
        <v>0</v>
      </c>
      <c r="S299" s="1530">
        <f t="shared" si="38"/>
        <v>0</v>
      </c>
      <c r="U299" s="1532">
        <f t="shared" si="39"/>
        <v>0</v>
      </c>
    </row>
    <row r="300" spans="3:23" ht="18" customHeight="1">
      <c r="C300" s="1359">
        <v>1</v>
      </c>
      <c r="D300" s="1520" t="s">
        <v>1234</v>
      </c>
      <c r="E300" s="1521" t="s">
        <v>1234</v>
      </c>
      <c r="F300" s="1522"/>
      <c r="G300" s="1521" t="s">
        <v>1235</v>
      </c>
      <c r="H300" s="1823">
        <f>H301+H323</f>
        <v>-1749635971</v>
      </c>
      <c r="I300" s="1823">
        <f>I301+I323</f>
        <v>359140466</v>
      </c>
      <c r="J300" s="1823">
        <f>J301+J323</f>
        <v>-11628798</v>
      </c>
      <c r="K300" s="1823">
        <f>K301+K323</f>
        <v>-177767642</v>
      </c>
      <c r="L300" s="1524">
        <f>SUM(L301,L323)</f>
        <v>-1579891945</v>
      </c>
      <c r="N300" s="1525">
        <f t="shared" ref="N300:S300" si="40">SUM(N301,N323)</f>
        <v>0</v>
      </c>
      <c r="O300" s="1523">
        <f t="shared" si="40"/>
        <v>0</v>
      </c>
      <c r="P300" s="1523">
        <f t="shared" si="40"/>
        <v>-499950000</v>
      </c>
      <c r="Q300" s="1523">
        <f t="shared" si="40"/>
        <v>0</v>
      </c>
      <c r="R300" s="1523">
        <f t="shared" si="40"/>
        <v>0</v>
      </c>
      <c r="S300" s="1524">
        <f t="shared" si="40"/>
        <v>-499950000</v>
      </c>
      <c r="U300" s="1526">
        <f>SUM(U301,U323)</f>
        <v>-2079841945</v>
      </c>
      <c r="V300" s="1359" t="b">
        <f>U300=U301+U323</f>
        <v>1</v>
      </c>
    </row>
    <row r="301" spans="3:23" ht="18" customHeight="1">
      <c r="C301" s="1359">
        <v>1</v>
      </c>
      <c r="D301" s="1520" t="s">
        <v>1236</v>
      </c>
      <c r="E301" s="1521" t="s">
        <v>1236</v>
      </c>
      <c r="F301" s="1522"/>
      <c r="G301" s="1521" t="s">
        <v>1237</v>
      </c>
      <c r="H301" s="1823">
        <f>SUM(H302:H322)</f>
        <v>2468977</v>
      </c>
      <c r="I301" s="1823">
        <f>SUM(I302:I322)</f>
        <v>1999950000</v>
      </c>
      <c r="J301" s="1823">
        <f>SUM(J302:J322)</f>
        <v>0</v>
      </c>
      <c r="K301" s="1823">
        <f>SUM(K302:K322)</f>
        <v>0</v>
      </c>
      <c r="L301" s="1524">
        <f>SUM(L302:L322)</f>
        <v>2002418977</v>
      </c>
      <c r="N301" s="1525">
        <f t="shared" ref="N301:S301" si="41">SUM(N302:N322)</f>
        <v>0</v>
      </c>
      <c r="O301" s="1523">
        <f t="shared" si="41"/>
        <v>0</v>
      </c>
      <c r="P301" s="1523">
        <f t="shared" si="41"/>
        <v>-1999950000</v>
      </c>
      <c r="Q301" s="1523">
        <f t="shared" si="41"/>
        <v>0</v>
      </c>
      <c r="R301" s="1523">
        <f t="shared" si="41"/>
        <v>0</v>
      </c>
      <c r="S301" s="1524">
        <f t="shared" si="41"/>
        <v>-1999950000</v>
      </c>
      <c r="U301" s="1526">
        <f>SUM(U302:U322)</f>
        <v>2468977</v>
      </c>
    </row>
    <row r="302" spans="3:23" s="1086" customFormat="1" ht="18" customHeight="1">
      <c r="C302" s="1086">
        <v>1</v>
      </c>
      <c r="D302" s="1533" t="s">
        <v>1238</v>
      </c>
      <c r="E302" s="1271" t="s">
        <v>1238</v>
      </c>
      <c r="F302" s="1534" t="s">
        <v>532</v>
      </c>
      <c r="G302" s="1271" t="s">
        <v>1239</v>
      </c>
      <c r="H302" s="1824">
        <v>0</v>
      </c>
      <c r="I302" s="1827">
        <v>1999950000</v>
      </c>
      <c r="J302" s="1827">
        <v>0</v>
      </c>
      <c r="K302" s="1827">
        <v>0</v>
      </c>
      <c r="L302" s="1536">
        <f t="shared" ref="L302:L322" si="42">SUM(H302:K302)</f>
        <v>1999950000</v>
      </c>
      <c r="N302" s="1550">
        <f>SUMIF('CF.2'!$H$5:$H$25,'CF.1'!E302,'CF.2'!$J$5:$J$25)-SUMIF('CF.2'!$K$5:$K$25,'CF.1'!E302,'CF.2'!$M$5:$M$25)</f>
        <v>0</v>
      </c>
      <c r="O302" s="1535">
        <f>SUMIF('CF.2'!$H$31:$H$60,'CF.1'!E302,'CF.2'!$J$31:$J$60)+SUMIF('CF.2'!$K$31:$K$60,'CF.1'!E302,'CF.2'!$M$31:$M$60)</f>
        <v>0</v>
      </c>
      <c r="P302" s="1535">
        <f>SUMIF('CF.2'!$H$65:$H$108,'CF.1'!E302,'CF.2'!$J$65:$J$108)+SUMIF('CF.2'!$K$65:$K$108,'CF.1'!E302,'CF.2'!$M$65:$M$108)</f>
        <v>-1999950000</v>
      </c>
      <c r="Q302" s="1535">
        <f>SUMIF('CF.2'!$H$112:$H$118,'CF.1'!E302,'CF.2'!$J$112:$J$118)+SUMIF('CF.2'!$K$112:$K$118,'CF.1'!E302,'CF.2'!$M$112:$M$118)</f>
        <v>0</v>
      </c>
      <c r="R302" s="1535">
        <f>SUMIF('CF.2'!$H$123:$H$134,'CF.1'!E302,'CF.2'!$J$123:$J$134)+SUMIF('CF.2'!$K$123:$K$134,'CF.1'!E302,'CF.2'!$M$123:$M$134)</f>
        <v>0</v>
      </c>
      <c r="S302" s="1536">
        <f t="shared" ref="S302:S322" si="43">SUM(N302:R302)</f>
        <v>-1999950000</v>
      </c>
      <c r="U302" s="1537">
        <f t="shared" ref="U302:U322" si="44">ROUND(S302+L302,0)</f>
        <v>0</v>
      </c>
      <c r="V302" s="1359"/>
      <c r="W302" s="1359"/>
    </row>
    <row r="303" spans="3:23" ht="18" customHeight="1">
      <c r="C303" s="1359">
        <v>1</v>
      </c>
      <c r="D303" s="1527" t="s">
        <v>1240</v>
      </c>
      <c r="E303" s="1501" t="s">
        <v>1240</v>
      </c>
      <c r="F303" s="1528" t="s">
        <v>2555</v>
      </c>
      <c r="G303" s="1501" t="s">
        <v>1241</v>
      </c>
      <c r="H303" s="1825">
        <v>0</v>
      </c>
      <c r="I303" s="1826">
        <v>0</v>
      </c>
      <c r="J303" s="1826">
        <v>0</v>
      </c>
      <c r="K303" s="1826">
        <v>0</v>
      </c>
      <c r="L303" s="1530">
        <f t="shared" si="42"/>
        <v>0</v>
      </c>
      <c r="N303" s="1531">
        <f>SUMIF('CF.2'!$H$5:$H$25,'CF.1'!E303,'CF.2'!$J$5:$J$25)-SUMIF('CF.2'!$K$5:$K$25,'CF.1'!E303,'CF.2'!$M$5:$M$25)</f>
        <v>0</v>
      </c>
      <c r="O303" s="1529">
        <f>SUMIF('CF.2'!$H$31:$H$60,'CF.1'!E303,'CF.2'!$J$31:$J$60)+SUMIF('CF.2'!$K$31:$K$60,'CF.1'!E303,'CF.2'!$M$31:$M$60)</f>
        <v>0</v>
      </c>
      <c r="P303" s="1529">
        <f>SUMIF('CF.2'!$H$65:$H$108,'CF.1'!E303,'CF.2'!$J$65:$J$108)+SUMIF('CF.2'!$K$65:$K$108,'CF.1'!E303,'CF.2'!$M$65:$M$108)</f>
        <v>0</v>
      </c>
      <c r="Q303" s="1529">
        <f>SUMIF('CF.2'!$H$112:$H$118,'CF.1'!E303,'CF.2'!$J$112:$J$118)+SUMIF('CF.2'!$K$112:$K$118,'CF.1'!E303,'CF.2'!$M$112:$M$118)</f>
        <v>0</v>
      </c>
      <c r="R303" s="1529">
        <f>SUMIF('CF.2'!$H$123:$H$134,'CF.1'!E303,'CF.2'!$J$123:$J$134)+SUMIF('CF.2'!$K$123:$K$134,'CF.1'!E303,'CF.2'!$M$123:$M$134)</f>
        <v>0</v>
      </c>
      <c r="S303" s="1530">
        <f t="shared" si="43"/>
        <v>0</v>
      </c>
      <c r="U303" s="1532">
        <f t="shared" si="44"/>
        <v>0</v>
      </c>
    </row>
    <row r="304" spans="3:23" ht="18" customHeight="1">
      <c r="C304" s="1359">
        <v>1</v>
      </c>
      <c r="D304" s="1527" t="s">
        <v>1242</v>
      </c>
      <c r="E304" s="1501" t="s">
        <v>1242</v>
      </c>
      <c r="F304" s="1528" t="s">
        <v>1243</v>
      </c>
      <c r="G304" s="1501" t="s">
        <v>1243</v>
      </c>
      <c r="H304" s="1825">
        <v>0</v>
      </c>
      <c r="I304" s="1826">
        <v>0</v>
      </c>
      <c r="J304" s="1826">
        <v>0</v>
      </c>
      <c r="K304" s="1826">
        <v>0</v>
      </c>
      <c r="L304" s="1530">
        <f t="shared" si="42"/>
        <v>0</v>
      </c>
      <c r="N304" s="1531">
        <f>SUMIF('CF.2'!$H$5:$H$25,'CF.1'!E304,'CF.2'!$J$5:$J$25)-SUMIF('CF.2'!$K$5:$K$25,'CF.1'!E304,'CF.2'!$M$5:$M$25)</f>
        <v>0</v>
      </c>
      <c r="O304" s="1529">
        <f>SUMIF('CF.2'!$H$31:$H$60,'CF.1'!E304,'CF.2'!$J$31:$J$60)+SUMIF('CF.2'!$K$31:$K$60,'CF.1'!E304,'CF.2'!$M$31:$M$60)</f>
        <v>0</v>
      </c>
      <c r="P304" s="1529">
        <f>SUMIF('CF.2'!$H$65:$H$108,'CF.1'!E304,'CF.2'!$J$65:$J$108)+SUMIF('CF.2'!$K$65:$K$108,'CF.1'!E304,'CF.2'!$M$65:$M$108)</f>
        <v>0</v>
      </c>
      <c r="Q304" s="1529">
        <f>SUMIF('CF.2'!$H$112:$H$118,'CF.1'!E304,'CF.2'!$J$112:$J$118)+SUMIF('CF.2'!$K$112:$K$118,'CF.1'!E304,'CF.2'!$M$112:$M$118)</f>
        <v>0</v>
      </c>
      <c r="R304" s="1529">
        <f>SUMIF('CF.2'!$H$123:$H$134,'CF.1'!E304,'CF.2'!$J$123:$J$134)+SUMIF('CF.2'!$K$123:$K$134,'CF.1'!E304,'CF.2'!$M$123:$M$134)</f>
        <v>0</v>
      </c>
      <c r="S304" s="1530">
        <f t="shared" si="43"/>
        <v>0</v>
      </c>
      <c r="U304" s="1532">
        <f t="shared" si="44"/>
        <v>0</v>
      </c>
      <c r="W304" s="1359" t="b">
        <f>U304=0</f>
        <v>1</v>
      </c>
    </row>
    <row r="305" spans="3:21" ht="18" customHeight="1">
      <c r="C305" s="1359">
        <v>1</v>
      </c>
      <c r="D305" s="1527" t="s">
        <v>1244</v>
      </c>
      <c r="E305" s="1501" t="s">
        <v>1244</v>
      </c>
      <c r="F305" s="1528"/>
      <c r="G305" s="1501" t="s">
        <v>1245</v>
      </c>
      <c r="H305" s="1825">
        <v>0</v>
      </c>
      <c r="I305" s="1826">
        <v>0</v>
      </c>
      <c r="J305" s="1826">
        <v>0</v>
      </c>
      <c r="K305" s="1826">
        <v>0</v>
      </c>
      <c r="L305" s="1530">
        <f t="shared" si="42"/>
        <v>0</v>
      </c>
      <c r="N305" s="1531">
        <f>SUMIF('CF.2'!$H$5:$H$25,'CF.1'!E305,'CF.2'!$J$5:$J$25)-SUMIF('CF.2'!$K$5:$K$25,'CF.1'!E305,'CF.2'!$M$5:$M$25)</f>
        <v>0</v>
      </c>
      <c r="O305" s="1529">
        <f>SUMIF('CF.2'!$H$31:$H$60,'CF.1'!E305,'CF.2'!$J$31:$J$60)+SUMIF('CF.2'!$K$31:$K$60,'CF.1'!E305,'CF.2'!$M$31:$M$60)</f>
        <v>0</v>
      </c>
      <c r="P305" s="1529">
        <f>SUMIF('CF.2'!$H$65:$H$108,'CF.1'!E305,'CF.2'!$J$65:$J$108)+SUMIF('CF.2'!$K$65:$K$108,'CF.1'!E305,'CF.2'!$M$65:$M$108)</f>
        <v>0</v>
      </c>
      <c r="Q305" s="1529">
        <f>SUMIF('CF.2'!$H$112:$H$118,'CF.1'!E305,'CF.2'!$J$112:$J$118)+SUMIF('CF.2'!$K$112:$K$118,'CF.1'!E305,'CF.2'!$M$112:$M$118)</f>
        <v>0</v>
      </c>
      <c r="R305" s="1529">
        <f>SUMIF('CF.2'!$H$123:$H$134,'CF.1'!E305,'CF.2'!$J$123:$J$134)+SUMIF('CF.2'!$K$123:$K$134,'CF.1'!E305,'CF.2'!$M$123:$M$134)</f>
        <v>0</v>
      </c>
      <c r="S305" s="1530">
        <f t="shared" si="43"/>
        <v>0</v>
      </c>
      <c r="U305" s="1532">
        <f t="shared" si="44"/>
        <v>0</v>
      </c>
    </row>
    <row r="306" spans="3:21" ht="18" customHeight="1">
      <c r="C306" s="1359">
        <v>1</v>
      </c>
      <c r="D306" s="1527" t="s">
        <v>1246</v>
      </c>
      <c r="E306" s="1501" t="s">
        <v>1246</v>
      </c>
      <c r="F306" s="1528"/>
      <c r="G306" s="1501" t="s">
        <v>1247</v>
      </c>
      <c r="H306" s="1825">
        <v>0</v>
      </c>
      <c r="I306" s="1826">
        <v>0</v>
      </c>
      <c r="J306" s="1826">
        <v>0</v>
      </c>
      <c r="K306" s="1826">
        <v>0</v>
      </c>
      <c r="L306" s="1530">
        <f t="shared" si="42"/>
        <v>0</v>
      </c>
      <c r="N306" s="1531">
        <f>SUMIF('CF.2'!$H$5:$H$25,'CF.1'!E306,'CF.2'!$J$5:$J$25)-SUMIF('CF.2'!$K$5:$K$25,'CF.1'!E306,'CF.2'!$M$5:$M$25)</f>
        <v>0</v>
      </c>
      <c r="O306" s="1529">
        <f>SUMIF('CF.2'!$H$31:$H$60,'CF.1'!E306,'CF.2'!$J$31:$J$60)+SUMIF('CF.2'!$K$31:$K$60,'CF.1'!E306,'CF.2'!$M$31:$M$60)</f>
        <v>0</v>
      </c>
      <c r="P306" s="1529">
        <f>SUMIF('CF.2'!$H$65:$H$108,'CF.1'!E306,'CF.2'!$J$65:$J$108)+SUMIF('CF.2'!$K$65:$K$108,'CF.1'!E306,'CF.2'!$M$65:$M$108)</f>
        <v>0</v>
      </c>
      <c r="Q306" s="1529">
        <f>SUMIF('CF.2'!$H$112:$H$118,'CF.1'!E306,'CF.2'!$J$112:$J$118)+SUMIF('CF.2'!$K$112:$K$118,'CF.1'!E306,'CF.2'!$M$112:$M$118)</f>
        <v>0</v>
      </c>
      <c r="R306" s="1529">
        <f>SUMIF('CF.2'!$H$123:$H$134,'CF.1'!E306,'CF.2'!$J$123:$J$134)+SUMIF('CF.2'!$K$123:$K$134,'CF.1'!E306,'CF.2'!$M$123:$M$134)</f>
        <v>0</v>
      </c>
      <c r="S306" s="1530">
        <f t="shared" si="43"/>
        <v>0</v>
      </c>
      <c r="U306" s="1532">
        <f t="shared" si="44"/>
        <v>0</v>
      </c>
    </row>
    <row r="307" spans="3:21" ht="18" customHeight="1">
      <c r="C307" s="1359">
        <v>1</v>
      </c>
      <c r="D307" s="1527" t="s">
        <v>1248</v>
      </c>
      <c r="E307" s="1501" t="s">
        <v>1248</v>
      </c>
      <c r="F307" s="1528"/>
      <c r="G307" s="1501" t="s">
        <v>1249</v>
      </c>
      <c r="H307" s="1825">
        <v>0</v>
      </c>
      <c r="I307" s="1826">
        <v>0</v>
      </c>
      <c r="J307" s="1826">
        <v>0</v>
      </c>
      <c r="K307" s="1826">
        <v>0</v>
      </c>
      <c r="L307" s="1530">
        <f t="shared" si="42"/>
        <v>0</v>
      </c>
      <c r="N307" s="1531">
        <f>SUMIF('CF.2'!$H$5:$H$25,'CF.1'!E307,'CF.2'!$J$5:$J$25)-SUMIF('CF.2'!$K$5:$K$25,'CF.1'!E307,'CF.2'!$M$5:$M$25)</f>
        <v>0</v>
      </c>
      <c r="O307" s="1529">
        <f>SUMIF('CF.2'!$H$31:$H$60,'CF.1'!E307,'CF.2'!$J$31:$J$60)+SUMIF('CF.2'!$K$31:$K$60,'CF.1'!E307,'CF.2'!$M$31:$M$60)</f>
        <v>0</v>
      </c>
      <c r="P307" s="1529">
        <f>SUMIF('CF.2'!$H$65:$H$108,'CF.1'!E307,'CF.2'!$J$65:$J$108)+SUMIF('CF.2'!$K$65:$K$108,'CF.1'!E307,'CF.2'!$M$65:$M$108)</f>
        <v>0</v>
      </c>
      <c r="Q307" s="1529">
        <f>SUMIF('CF.2'!$H$112:$H$118,'CF.1'!E307,'CF.2'!$J$112:$J$118)+SUMIF('CF.2'!$K$112:$K$118,'CF.1'!E307,'CF.2'!$M$112:$M$118)</f>
        <v>0</v>
      </c>
      <c r="R307" s="1529">
        <f>SUMIF('CF.2'!$H$123:$H$134,'CF.1'!E307,'CF.2'!$J$123:$J$134)+SUMIF('CF.2'!$K$123:$K$134,'CF.1'!E307,'CF.2'!$M$123:$M$134)</f>
        <v>0</v>
      </c>
      <c r="S307" s="1530">
        <f t="shared" si="43"/>
        <v>0</v>
      </c>
      <c r="U307" s="1532">
        <f t="shared" si="44"/>
        <v>0</v>
      </c>
    </row>
    <row r="308" spans="3:21" ht="18" customHeight="1">
      <c r="C308" s="1359">
        <v>1</v>
      </c>
      <c r="D308" s="1527" t="s">
        <v>1250</v>
      </c>
      <c r="E308" s="1501" t="s">
        <v>1250</v>
      </c>
      <c r="F308" s="1528"/>
      <c r="G308" s="1501" t="s">
        <v>1251</v>
      </c>
      <c r="H308" s="1825">
        <v>0</v>
      </c>
      <c r="I308" s="1826">
        <v>0</v>
      </c>
      <c r="J308" s="1826">
        <v>0</v>
      </c>
      <c r="K308" s="1826">
        <v>0</v>
      </c>
      <c r="L308" s="1530">
        <f t="shared" si="42"/>
        <v>0</v>
      </c>
      <c r="N308" s="1531">
        <f>SUMIF('CF.2'!$H$5:$H$25,'CF.1'!E308,'CF.2'!$J$5:$J$25)-SUMIF('CF.2'!$K$5:$K$25,'CF.1'!E308,'CF.2'!$M$5:$M$25)</f>
        <v>0</v>
      </c>
      <c r="O308" s="1529">
        <f>SUMIF('CF.2'!$H$31:$H$60,'CF.1'!E308,'CF.2'!$J$31:$J$60)+SUMIF('CF.2'!$K$31:$K$60,'CF.1'!E308,'CF.2'!$M$31:$M$60)</f>
        <v>0</v>
      </c>
      <c r="P308" s="1529">
        <f>SUMIF('CF.2'!$H$65:$H$108,'CF.1'!E308,'CF.2'!$J$65:$J$108)+SUMIF('CF.2'!$K$65:$K$108,'CF.1'!E308,'CF.2'!$M$65:$M$108)</f>
        <v>0</v>
      </c>
      <c r="Q308" s="1529">
        <f>SUMIF('CF.2'!$H$112:$H$118,'CF.1'!E308,'CF.2'!$J$112:$J$118)+SUMIF('CF.2'!$K$112:$K$118,'CF.1'!E308,'CF.2'!$M$112:$M$118)</f>
        <v>0</v>
      </c>
      <c r="R308" s="1529">
        <f>SUMIF('CF.2'!$H$123:$H$134,'CF.1'!E308,'CF.2'!$J$123:$J$134)+SUMIF('CF.2'!$K$123:$K$134,'CF.1'!E308,'CF.2'!$M$123:$M$134)</f>
        <v>0</v>
      </c>
      <c r="S308" s="1530">
        <f t="shared" si="43"/>
        <v>0</v>
      </c>
      <c r="U308" s="1532">
        <f t="shared" si="44"/>
        <v>0</v>
      </c>
    </row>
    <row r="309" spans="3:21" ht="18" customHeight="1">
      <c r="C309" s="1359">
        <v>1</v>
      </c>
      <c r="D309" s="1527" t="s">
        <v>1252</v>
      </c>
      <c r="E309" s="1501" t="s">
        <v>1252</v>
      </c>
      <c r="F309" s="1528"/>
      <c r="G309" s="1501" t="s">
        <v>1253</v>
      </c>
      <c r="H309" s="1825">
        <v>0</v>
      </c>
      <c r="I309" s="1826">
        <v>0</v>
      </c>
      <c r="J309" s="1826">
        <v>0</v>
      </c>
      <c r="K309" s="1826">
        <v>0</v>
      </c>
      <c r="L309" s="1530">
        <f t="shared" si="42"/>
        <v>0</v>
      </c>
      <c r="N309" s="1531">
        <f>SUMIF('CF.2'!$H$5:$H$25,'CF.1'!E309,'CF.2'!$J$5:$J$25)-SUMIF('CF.2'!$K$5:$K$25,'CF.1'!E309,'CF.2'!$M$5:$M$25)</f>
        <v>0</v>
      </c>
      <c r="O309" s="1529">
        <f>SUMIF('CF.2'!$H$31:$H$60,'CF.1'!E309,'CF.2'!$J$31:$J$60)+SUMIF('CF.2'!$K$31:$K$60,'CF.1'!E309,'CF.2'!$M$31:$M$60)</f>
        <v>0</v>
      </c>
      <c r="P309" s="1529">
        <f>SUMIF('CF.2'!$H$65:$H$108,'CF.1'!E309,'CF.2'!$J$65:$J$108)+SUMIF('CF.2'!$K$65:$K$108,'CF.1'!E309,'CF.2'!$M$65:$M$108)</f>
        <v>0</v>
      </c>
      <c r="Q309" s="1529">
        <f>SUMIF('CF.2'!$H$112:$H$118,'CF.1'!E309,'CF.2'!$J$112:$J$118)+SUMIF('CF.2'!$K$112:$K$118,'CF.1'!E309,'CF.2'!$M$112:$M$118)</f>
        <v>0</v>
      </c>
      <c r="R309" s="1529">
        <f>SUMIF('CF.2'!$H$123:$H$134,'CF.1'!E309,'CF.2'!$J$123:$J$134)+SUMIF('CF.2'!$K$123:$K$134,'CF.1'!E309,'CF.2'!$M$123:$M$134)</f>
        <v>0</v>
      </c>
      <c r="S309" s="1530">
        <f t="shared" si="43"/>
        <v>0</v>
      </c>
      <c r="U309" s="1532">
        <f t="shared" si="44"/>
        <v>0</v>
      </c>
    </row>
    <row r="310" spans="3:21" ht="18" customHeight="1">
      <c r="C310" s="1359">
        <v>1</v>
      </c>
      <c r="D310" s="1527" t="s">
        <v>1254</v>
      </c>
      <c r="E310" s="1501" t="s">
        <v>1254</v>
      </c>
      <c r="F310" s="1528"/>
      <c r="G310" s="1501" t="s">
        <v>1255</v>
      </c>
      <c r="H310" s="1825">
        <v>0</v>
      </c>
      <c r="I310" s="1826">
        <v>0</v>
      </c>
      <c r="J310" s="1826">
        <v>0</v>
      </c>
      <c r="K310" s="1826">
        <v>0</v>
      </c>
      <c r="L310" s="1530">
        <f t="shared" si="42"/>
        <v>0</v>
      </c>
      <c r="N310" s="1531">
        <f>SUMIF('CF.2'!$H$5:$H$25,'CF.1'!E310,'CF.2'!$J$5:$J$25)-SUMIF('CF.2'!$K$5:$K$25,'CF.1'!E310,'CF.2'!$M$5:$M$25)</f>
        <v>0</v>
      </c>
      <c r="O310" s="1529">
        <f>SUMIF('CF.2'!$H$31:$H$60,'CF.1'!E310,'CF.2'!$J$31:$J$60)+SUMIF('CF.2'!$K$31:$K$60,'CF.1'!E310,'CF.2'!$M$31:$M$60)</f>
        <v>0</v>
      </c>
      <c r="P310" s="1529">
        <f>SUMIF('CF.2'!$H$65:$H$108,'CF.1'!E310,'CF.2'!$J$65:$J$108)+SUMIF('CF.2'!$K$65:$K$108,'CF.1'!E310,'CF.2'!$M$65:$M$108)</f>
        <v>0</v>
      </c>
      <c r="Q310" s="1529">
        <f>SUMIF('CF.2'!$H$112:$H$118,'CF.1'!E310,'CF.2'!$J$112:$J$118)+SUMIF('CF.2'!$K$112:$K$118,'CF.1'!E310,'CF.2'!$M$112:$M$118)</f>
        <v>0</v>
      </c>
      <c r="R310" s="1529">
        <f>SUMIF('CF.2'!$H$123:$H$134,'CF.1'!E310,'CF.2'!$J$123:$J$134)+SUMIF('CF.2'!$K$123:$K$134,'CF.1'!E310,'CF.2'!$M$123:$M$134)</f>
        <v>0</v>
      </c>
      <c r="S310" s="1530">
        <f t="shared" si="43"/>
        <v>0</v>
      </c>
      <c r="U310" s="1532">
        <f t="shared" si="44"/>
        <v>0</v>
      </c>
    </row>
    <row r="311" spans="3:21" ht="18" customHeight="1">
      <c r="C311" s="1359">
        <v>1</v>
      </c>
      <c r="D311" s="1527" t="s">
        <v>1256</v>
      </c>
      <c r="E311" s="1501" t="s">
        <v>1256</v>
      </c>
      <c r="F311" s="1528"/>
      <c r="G311" s="1501" t="s">
        <v>1031</v>
      </c>
      <c r="H311" s="1825">
        <v>0</v>
      </c>
      <c r="I311" s="1826">
        <v>0</v>
      </c>
      <c r="J311" s="1826">
        <v>0</v>
      </c>
      <c r="K311" s="1826">
        <v>0</v>
      </c>
      <c r="L311" s="1530">
        <f t="shared" si="42"/>
        <v>0</v>
      </c>
      <c r="N311" s="1531">
        <f>SUMIF('CF.2'!$H$5:$H$25,'CF.1'!E311,'CF.2'!$J$5:$J$25)-SUMIF('CF.2'!$K$5:$K$25,'CF.1'!E311,'CF.2'!$M$5:$M$25)</f>
        <v>0</v>
      </c>
      <c r="O311" s="1529">
        <f>SUMIF('CF.2'!$H$31:$H$60,'CF.1'!E311,'CF.2'!$J$31:$J$60)+SUMIF('CF.2'!$K$31:$K$60,'CF.1'!E311,'CF.2'!$M$31:$M$60)</f>
        <v>0</v>
      </c>
      <c r="P311" s="1529">
        <f>SUMIF('CF.2'!$H$65:$H$108,'CF.1'!E311,'CF.2'!$J$65:$J$108)+SUMIF('CF.2'!$K$65:$K$108,'CF.1'!E311,'CF.2'!$M$65:$M$108)</f>
        <v>0</v>
      </c>
      <c r="Q311" s="1529">
        <f>SUMIF('CF.2'!$H$112:$H$118,'CF.1'!E311,'CF.2'!$J$112:$J$118)+SUMIF('CF.2'!$K$112:$K$118,'CF.1'!E311,'CF.2'!$M$112:$M$118)</f>
        <v>0</v>
      </c>
      <c r="R311" s="1529">
        <f>SUMIF('CF.2'!$H$123:$H$134,'CF.1'!E311,'CF.2'!$J$123:$J$134)+SUMIF('CF.2'!$K$123:$K$134,'CF.1'!E311,'CF.2'!$M$123:$M$134)</f>
        <v>0</v>
      </c>
      <c r="S311" s="1530">
        <f t="shared" si="43"/>
        <v>0</v>
      </c>
      <c r="U311" s="1532">
        <f t="shared" si="44"/>
        <v>0</v>
      </c>
    </row>
    <row r="312" spans="3:21" ht="18" customHeight="1">
      <c r="C312" s="1359">
        <v>1</v>
      </c>
      <c r="D312" s="1527" t="s">
        <v>1257</v>
      </c>
      <c r="E312" s="1501" t="s">
        <v>1257</v>
      </c>
      <c r="F312" s="1528"/>
      <c r="G312" s="1501" t="s">
        <v>1033</v>
      </c>
      <c r="H312" s="1825">
        <v>0</v>
      </c>
      <c r="I312" s="1826">
        <v>0</v>
      </c>
      <c r="J312" s="1826">
        <v>0</v>
      </c>
      <c r="K312" s="1826">
        <v>0</v>
      </c>
      <c r="L312" s="1530">
        <f t="shared" si="42"/>
        <v>0</v>
      </c>
      <c r="N312" s="1531">
        <f>SUMIF('CF.2'!$H$5:$H$25,'CF.1'!E312,'CF.2'!$J$5:$J$25)-SUMIF('CF.2'!$K$5:$K$25,'CF.1'!E312,'CF.2'!$M$5:$M$25)</f>
        <v>0</v>
      </c>
      <c r="O312" s="1529">
        <f>SUMIF('CF.2'!$H$31:$H$60,'CF.1'!E312,'CF.2'!$J$31:$J$60)+SUMIF('CF.2'!$K$31:$K$60,'CF.1'!E312,'CF.2'!$M$31:$M$60)</f>
        <v>0</v>
      </c>
      <c r="P312" s="1529">
        <f>SUMIF('CF.2'!$H$65:$H$108,'CF.1'!E312,'CF.2'!$J$65:$J$108)+SUMIF('CF.2'!$K$65:$K$108,'CF.1'!E312,'CF.2'!$M$65:$M$108)</f>
        <v>0</v>
      </c>
      <c r="Q312" s="1529">
        <f>SUMIF('CF.2'!$H$112:$H$118,'CF.1'!E312,'CF.2'!$J$112:$J$118)+SUMIF('CF.2'!$K$112:$K$118,'CF.1'!E312,'CF.2'!$M$112:$M$118)</f>
        <v>0</v>
      </c>
      <c r="R312" s="1529">
        <f>SUMIF('CF.2'!$H$123:$H$134,'CF.1'!E312,'CF.2'!$J$123:$J$134)+SUMIF('CF.2'!$K$123:$K$134,'CF.1'!E312,'CF.2'!$M$123:$M$134)</f>
        <v>0</v>
      </c>
      <c r="S312" s="1530">
        <f t="shared" si="43"/>
        <v>0</v>
      </c>
      <c r="U312" s="1532">
        <f t="shared" si="44"/>
        <v>0</v>
      </c>
    </row>
    <row r="313" spans="3:21" ht="18" customHeight="1">
      <c r="C313" s="1359">
        <v>1</v>
      </c>
      <c r="D313" s="1527" t="s">
        <v>1258</v>
      </c>
      <c r="E313" s="1501" t="s">
        <v>1258</v>
      </c>
      <c r="F313" s="1528" t="s">
        <v>1259</v>
      </c>
      <c r="G313" s="1501" t="s">
        <v>1259</v>
      </c>
      <c r="H313" s="1825">
        <v>2468977</v>
      </c>
      <c r="I313" s="1826">
        <v>0</v>
      </c>
      <c r="J313" s="1826">
        <v>0</v>
      </c>
      <c r="K313" s="1826">
        <v>0</v>
      </c>
      <c r="L313" s="1530">
        <f t="shared" si="42"/>
        <v>2468977</v>
      </c>
      <c r="N313" s="1531">
        <f>SUMIF('CF.2'!$H$5:$H$25,'CF.1'!E313,'CF.2'!$J$5:$J$25)-SUMIF('CF.2'!$K$5:$K$25,'CF.1'!E313,'CF.2'!$M$5:$M$25)</f>
        <v>0</v>
      </c>
      <c r="O313" s="1529">
        <f>SUMIF('CF.2'!$H$31:$H$60,'CF.1'!E313,'CF.2'!$J$31:$J$60)+SUMIF('CF.2'!$K$31:$K$60,'CF.1'!E313,'CF.2'!$M$31:$M$60)</f>
        <v>0</v>
      </c>
      <c r="P313" s="1529">
        <f>SUMIF('CF.2'!$H$65:$H$108,'CF.1'!E313,'CF.2'!$J$65:$J$108)+SUMIF('CF.2'!$K$65:$K$108,'CF.1'!E313,'CF.2'!$M$65:$M$108)</f>
        <v>0</v>
      </c>
      <c r="Q313" s="1529">
        <f>SUMIF('CF.2'!$H$112:$H$118,'CF.1'!E313,'CF.2'!$J$112:$J$118)+SUMIF('CF.2'!$K$112:$K$118,'CF.1'!E313,'CF.2'!$M$112:$M$118)</f>
        <v>0</v>
      </c>
      <c r="R313" s="1529">
        <f>SUMIF('CF.2'!$H$123:$H$134,'CF.1'!E313,'CF.2'!$J$123:$J$134)+SUMIF('CF.2'!$K$123:$K$134,'CF.1'!E313,'CF.2'!$M$123:$M$134)</f>
        <v>0</v>
      </c>
      <c r="S313" s="1530">
        <f t="shared" si="43"/>
        <v>0</v>
      </c>
      <c r="U313" s="1532">
        <f t="shared" si="44"/>
        <v>2468977</v>
      </c>
    </row>
    <row r="314" spans="3:21" ht="18" customHeight="1">
      <c r="C314" s="1359">
        <v>1</v>
      </c>
      <c r="D314" s="1527" t="s">
        <v>1260</v>
      </c>
      <c r="E314" s="1501" t="s">
        <v>1260</v>
      </c>
      <c r="F314" s="1528"/>
      <c r="G314" s="1501" t="s">
        <v>1261</v>
      </c>
      <c r="H314" s="1825">
        <v>0</v>
      </c>
      <c r="I314" s="1826">
        <v>0</v>
      </c>
      <c r="J314" s="1826">
        <v>0</v>
      </c>
      <c r="K314" s="1826">
        <v>0</v>
      </c>
      <c r="L314" s="1530">
        <f t="shared" si="42"/>
        <v>0</v>
      </c>
      <c r="N314" s="1531">
        <f>SUMIF('CF.2'!$H$5:$H$25,'CF.1'!E314,'CF.2'!$J$5:$J$25)-SUMIF('CF.2'!$K$5:$K$25,'CF.1'!E314,'CF.2'!$M$5:$M$25)</f>
        <v>0</v>
      </c>
      <c r="O314" s="1529">
        <f>SUMIF('CF.2'!$H$31:$H$60,'CF.1'!E314,'CF.2'!$J$31:$J$60)+SUMIF('CF.2'!$K$31:$K$60,'CF.1'!E314,'CF.2'!$M$31:$M$60)</f>
        <v>0</v>
      </c>
      <c r="P314" s="1529">
        <f>SUMIF('CF.2'!$H$65:$H$108,'CF.1'!E314,'CF.2'!$J$65:$J$108)+SUMIF('CF.2'!$K$65:$K$108,'CF.1'!E314,'CF.2'!$M$65:$M$108)</f>
        <v>0</v>
      </c>
      <c r="Q314" s="1529">
        <f>SUMIF('CF.2'!$H$112:$H$118,'CF.1'!E314,'CF.2'!$J$112:$J$118)+SUMIF('CF.2'!$K$112:$K$118,'CF.1'!E314,'CF.2'!$M$112:$M$118)</f>
        <v>0</v>
      </c>
      <c r="R314" s="1529">
        <f>SUMIF('CF.2'!$H$123:$H$134,'CF.1'!E314,'CF.2'!$J$123:$J$134)+SUMIF('CF.2'!$K$123:$K$134,'CF.1'!E314,'CF.2'!$M$123:$M$134)</f>
        <v>0</v>
      </c>
      <c r="S314" s="1530">
        <f t="shared" si="43"/>
        <v>0</v>
      </c>
      <c r="U314" s="1532">
        <f t="shared" si="44"/>
        <v>0</v>
      </c>
    </row>
    <row r="315" spans="3:21" ht="18" customHeight="1">
      <c r="C315" s="1359">
        <v>1</v>
      </c>
      <c r="D315" s="1527" t="s">
        <v>1262</v>
      </c>
      <c r="E315" s="1501" t="s">
        <v>1262</v>
      </c>
      <c r="F315" s="1528"/>
      <c r="G315" s="1501" t="s">
        <v>1263</v>
      </c>
      <c r="H315" s="1825">
        <v>0</v>
      </c>
      <c r="I315" s="1826">
        <v>0</v>
      </c>
      <c r="J315" s="1826">
        <v>0</v>
      </c>
      <c r="K315" s="1826">
        <v>0</v>
      </c>
      <c r="L315" s="1530">
        <f t="shared" si="42"/>
        <v>0</v>
      </c>
      <c r="N315" s="1531">
        <f>SUMIF('CF.2'!$H$5:$H$25,'CF.1'!E315,'CF.2'!$J$5:$J$25)-SUMIF('CF.2'!$K$5:$K$25,'CF.1'!E315,'CF.2'!$M$5:$M$25)</f>
        <v>0</v>
      </c>
      <c r="O315" s="1529">
        <f>SUMIF('CF.2'!$H$31:$H$60,'CF.1'!E315,'CF.2'!$J$31:$J$60)+SUMIF('CF.2'!$K$31:$K$60,'CF.1'!E315,'CF.2'!$M$31:$M$60)</f>
        <v>0</v>
      </c>
      <c r="P315" s="1529">
        <f>SUMIF('CF.2'!$H$65:$H$108,'CF.1'!E315,'CF.2'!$J$65:$J$108)+SUMIF('CF.2'!$K$65:$K$108,'CF.1'!E315,'CF.2'!$M$65:$M$108)</f>
        <v>0</v>
      </c>
      <c r="Q315" s="1529">
        <f>SUMIF('CF.2'!$H$112:$H$118,'CF.1'!E315,'CF.2'!$J$112:$J$118)+SUMIF('CF.2'!$K$112:$K$118,'CF.1'!E315,'CF.2'!$M$112:$M$118)</f>
        <v>0</v>
      </c>
      <c r="R315" s="1529">
        <f>SUMIF('CF.2'!$H$123:$H$134,'CF.1'!E315,'CF.2'!$J$123:$J$134)+SUMIF('CF.2'!$K$123:$K$134,'CF.1'!E315,'CF.2'!$M$123:$M$134)</f>
        <v>0</v>
      </c>
      <c r="S315" s="1530">
        <f t="shared" si="43"/>
        <v>0</v>
      </c>
      <c r="U315" s="1532">
        <f t="shared" si="44"/>
        <v>0</v>
      </c>
    </row>
    <row r="316" spans="3:21" ht="18" customHeight="1">
      <c r="C316" s="1359">
        <v>1</v>
      </c>
      <c r="D316" s="1527" t="s">
        <v>1264</v>
      </c>
      <c r="E316" s="1501" t="s">
        <v>1264</v>
      </c>
      <c r="F316" s="1528"/>
      <c r="G316" s="1501" t="s">
        <v>1265</v>
      </c>
      <c r="H316" s="1825">
        <v>0</v>
      </c>
      <c r="I316" s="1826">
        <v>0</v>
      </c>
      <c r="J316" s="1826">
        <v>0</v>
      </c>
      <c r="K316" s="1826">
        <v>0</v>
      </c>
      <c r="L316" s="1530">
        <f t="shared" si="42"/>
        <v>0</v>
      </c>
      <c r="N316" s="1531">
        <f>SUMIF('CF.2'!$H$5:$H$25,'CF.1'!E316,'CF.2'!$J$5:$J$25)-SUMIF('CF.2'!$K$5:$K$25,'CF.1'!E316,'CF.2'!$M$5:$M$25)</f>
        <v>0</v>
      </c>
      <c r="O316" s="1529">
        <f>SUMIF('CF.2'!$H$31:$H$60,'CF.1'!E316,'CF.2'!$J$31:$J$60)+SUMIF('CF.2'!$K$31:$K$60,'CF.1'!E316,'CF.2'!$M$31:$M$60)</f>
        <v>0</v>
      </c>
      <c r="P316" s="1529">
        <f>SUMIF('CF.2'!$H$65:$H$108,'CF.1'!E316,'CF.2'!$J$65:$J$108)+SUMIF('CF.2'!$K$65:$K$108,'CF.1'!E316,'CF.2'!$M$65:$M$108)</f>
        <v>0</v>
      </c>
      <c r="Q316" s="1529">
        <f>SUMIF('CF.2'!$H$112:$H$118,'CF.1'!E316,'CF.2'!$J$112:$J$118)+SUMIF('CF.2'!$K$112:$K$118,'CF.1'!E316,'CF.2'!$M$112:$M$118)</f>
        <v>0</v>
      </c>
      <c r="R316" s="1529">
        <f>SUMIF('CF.2'!$H$123:$H$134,'CF.1'!E316,'CF.2'!$J$123:$J$134)+SUMIF('CF.2'!$K$123:$K$134,'CF.1'!E316,'CF.2'!$M$123:$M$134)</f>
        <v>0</v>
      </c>
      <c r="S316" s="1530">
        <f t="shared" si="43"/>
        <v>0</v>
      </c>
      <c r="U316" s="1532">
        <f t="shared" si="44"/>
        <v>0</v>
      </c>
    </row>
    <row r="317" spans="3:21" ht="18" customHeight="1">
      <c r="C317" s="1359">
        <v>1</v>
      </c>
      <c r="D317" s="1527" t="s">
        <v>1266</v>
      </c>
      <c r="E317" s="1501" t="s">
        <v>1266</v>
      </c>
      <c r="F317" s="1528"/>
      <c r="G317" s="1501" t="s">
        <v>1267</v>
      </c>
      <c r="H317" s="1825">
        <v>0</v>
      </c>
      <c r="I317" s="1826">
        <v>0</v>
      </c>
      <c r="J317" s="1826">
        <v>0</v>
      </c>
      <c r="K317" s="1826">
        <v>0</v>
      </c>
      <c r="L317" s="1530">
        <f t="shared" si="42"/>
        <v>0</v>
      </c>
      <c r="N317" s="1531">
        <f>SUMIF('CF.2'!$H$5:$H$25,'CF.1'!E317,'CF.2'!$J$5:$J$25)-SUMIF('CF.2'!$K$5:$K$25,'CF.1'!E317,'CF.2'!$M$5:$M$25)</f>
        <v>0</v>
      </c>
      <c r="O317" s="1529">
        <f>SUMIF('CF.2'!$H$31:$H$60,'CF.1'!E317,'CF.2'!$J$31:$J$60)+SUMIF('CF.2'!$K$31:$K$60,'CF.1'!E317,'CF.2'!$M$31:$M$60)</f>
        <v>0</v>
      </c>
      <c r="P317" s="1529">
        <f>SUMIF('CF.2'!$H$65:$H$108,'CF.1'!E317,'CF.2'!$J$65:$J$108)+SUMIF('CF.2'!$K$65:$K$108,'CF.1'!E317,'CF.2'!$M$65:$M$108)</f>
        <v>0</v>
      </c>
      <c r="Q317" s="1529">
        <f>SUMIF('CF.2'!$H$112:$H$118,'CF.1'!E317,'CF.2'!$J$112:$J$118)+SUMIF('CF.2'!$K$112:$K$118,'CF.1'!E317,'CF.2'!$M$112:$M$118)</f>
        <v>0</v>
      </c>
      <c r="R317" s="1529">
        <f>SUMIF('CF.2'!$H$123:$H$134,'CF.1'!E317,'CF.2'!$J$123:$J$134)+SUMIF('CF.2'!$K$123:$K$134,'CF.1'!E317,'CF.2'!$M$123:$M$134)</f>
        <v>0</v>
      </c>
      <c r="S317" s="1530">
        <f t="shared" si="43"/>
        <v>0</v>
      </c>
      <c r="U317" s="1532">
        <f t="shared" si="44"/>
        <v>0</v>
      </c>
    </row>
    <row r="318" spans="3:21" ht="18" customHeight="1">
      <c r="C318" s="1359">
        <v>1</v>
      </c>
      <c r="D318" s="1527" t="s">
        <v>1268</v>
      </c>
      <c r="E318" s="1501" t="s">
        <v>1268</v>
      </c>
      <c r="F318" s="1528"/>
      <c r="G318" s="1501" t="s">
        <v>1269</v>
      </c>
      <c r="H318" s="1825">
        <v>0</v>
      </c>
      <c r="I318" s="1826">
        <v>0</v>
      </c>
      <c r="J318" s="1826">
        <v>0</v>
      </c>
      <c r="K318" s="1826">
        <v>0</v>
      </c>
      <c r="L318" s="1530">
        <f t="shared" si="42"/>
        <v>0</v>
      </c>
      <c r="N318" s="1531">
        <f>SUMIF('CF.2'!$H$5:$H$25,'CF.1'!E318,'CF.2'!$J$5:$J$25)-SUMIF('CF.2'!$K$5:$K$25,'CF.1'!E318,'CF.2'!$M$5:$M$25)</f>
        <v>0</v>
      </c>
      <c r="O318" s="1529">
        <f>SUMIF('CF.2'!$H$31:$H$60,'CF.1'!E318,'CF.2'!$J$31:$J$60)+SUMIF('CF.2'!$K$31:$K$60,'CF.1'!E318,'CF.2'!$M$31:$M$60)</f>
        <v>0</v>
      </c>
      <c r="P318" s="1529">
        <f>SUMIF('CF.2'!$H$65:$H$108,'CF.1'!E318,'CF.2'!$J$65:$J$108)+SUMIF('CF.2'!$K$65:$K$108,'CF.1'!E318,'CF.2'!$M$65:$M$108)</f>
        <v>0</v>
      </c>
      <c r="Q318" s="1529">
        <f>SUMIF('CF.2'!$H$112:$H$118,'CF.1'!E318,'CF.2'!$J$112:$J$118)+SUMIF('CF.2'!$K$112:$K$118,'CF.1'!E318,'CF.2'!$M$112:$M$118)</f>
        <v>0</v>
      </c>
      <c r="R318" s="1529">
        <f>SUMIF('CF.2'!$H$123:$H$134,'CF.1'!E318,'CF.2'!$J$123:$J$134)+SUMIF('CF.2'!$K$123:$K$134,'CF.1'!E318,'CF.2'!$M$123:$M$134)</f>
        <v>0</v>
      </c>
      <c r="S318" s="1530">
        <f t="shared" si="43"/>
        <v>0</v>
      </c>
      <c r="U318" s="1532">
        <f t="shared" si="44"/>
        <v>0</v>
      </c>
    </row>
    <row r="319" spans="3:21" ht="18" customHeight="1">
      <c r="C319" s="1359">
        <v>1</v>
      </c>
      <c r="D319" s="1527" t="s">
        <v>1270</v>
      </c>
      <c r="E319" s="1501" t="s">
        <v>1270</v>
      </c>
      <c r="F319" s="1528"/>
      <c r="G319" s="1501" t="s">
        <v>1271</v>
      </c>
      <c r="H319" s="1825">
        <v>0</v>
      </c>
      <c r="I319" s="1826">
        <v>0</v>
      </c>
      <c r="J319" s="1826">
        <v>0</v>
      </c>
      <c r="K319" s="1826">
        <v>0</v>
      </c>
      <c r="L319" s="1530">
        <f t="shared" si="42"/>
        <v>0</v>
      </c>
      <c r="N319" s="1531">
        <f>SUMIF('CF.2'!$H$5:$H$25,'CF.1'!E319,'CF.2'!$J$5:$J$25)-SUMIF('CF.2'!$K$5:$K$25,'CF.1'!E319,'CF.2'!$M$5:$M$25)</f>
        <v>0</v>
      </c>
      <c r="O319" s="1529">
        <f>SUMIF('CF.2'!$H$31:$H$60,'CF.1'!E319,'CF.2'!$J$31:$J$60)+SUMIF('CF.2'!$K$31:$K$60,'CF.1'!E319,'CF.2'!$M$31:$M$60)</f>
        <v>0</v>
      </c>
      <c r="P319" s="1529">
        <f>SUMIF('CF.2'!$H$65:$H$108,'CF.1'!E319,'CF.2'!$J$65:$J$108)+SUMIF('CF.2'!$K$65:$K$108,'CF.1'!E319,'CF.2'!$M$65:$M$108)</f>
        <v>0</v>
      </c>
      <c r="Q319" s="1529">
        <f>SUMIF('CF.2'!$H$112:$H$118,'CF.1'!E319,'CF.2'!$J$112:$J$118)+SUMIF('CF.2'!$K$112:$K$118,'CF.1'!E319,'CF.2'!$M$112:$M$118)</f>
        <v>0</v>
      </c>
      <c r="R319" s="1529">
        <f>SUMIF('CF.2'!$H$123:$H$134,'CF.1'!E319,'CF.2'!$J$123:$J$134)+SUMIF('CF.2'!$K$123:$K$134,'CF.1'!E319,'CF.2'!$M$123:$M$134)</f>
        <v>0</v>
      </c>
      <c r="S319" s="1530">
        <f t="shared" si="43"/>
        <v>0</v>
      </c>
      <c r="U319" s="1532">
        <f t="shared" si="44"/>
        <v>0</v>
      </c>
    </row>
    <row r="320" spans="3:21" ht="18" customHeight="1">
      <c r="C320" s="1359">
        <v>1</v>
      </c>
      <c r="D320" s="1527" t="s">
        <v>1272</v>
      </c>
      <c r="E320" s="1501" t="s">
        <v>1272</v>
      </c>
      <c r="F320" s="1528"/>
      <c r="G320" s="1501" t="s">
        <v>1273</v>
      </c>
      <c r="H320" s="1825">
        <v>0</v>
      </c>
      <c r="I320" s="1826">
        <v>0</v>
      </c>
      <c r="J320" s="1826">
        <v>0</v>
      </c>
      <c r="K320" s="1826">
        <v>0</v>
      </c>
      <c r="L320" s="1530">
        <f t="shared" si="42"/>
        <v>0</v>
      </c>
      <c r="N320" s="1531">
        <f>SUMIF('CF.2'!$H$5:$H$25,'CF.1'!E320,'CF.2'!$J$5:$J$25)-SUMIF('CF.2'!$K$5:$K$25,'CF.1'!E320,'CF.2'!$M$5:$M$25)</f>
        <v>0</v>
      </c>
      <c r="O320" s="1529">
        <f>SUMIF('CF.2'!$H$31:$H$60,'CF.1'!E320,'CF.2'!$J$31:$J$60)+SUMIF('CF.2'!$K$31:$K$60,'CF.1'!E320,'CF.2'!$M$31:$M$60)</f>
        <v>0</v>
      </c>
      <c r="P320" s="1529">
        <f>SUMIF('CF.2'!$H$65:$H$108,'CF.1'!E320,'CF.2'!$J$65:$J$108)+SUMIF('CF.2'!$K$65:$K$108,'CF.1'!E320,'CF.2'!$M$65:$M$108)</f>
        <v>0</v>
      </c>
      <c r="Q320" s="1529">
        <f>SUMIF('CF.2'!$H$112:$H$118,'CF.1'!E320,'CF.2'!$J$112:$J$118)+SUMIF('CF.2'!$K$112:$K$118,'CF.1'!E320,'CF.2'!$M$112:$M$118)</f>
        <v>0</v>
      </c>
      <c r="R320" s="1529">
        <f>SUMIF('CF.2'!$H$123:$H$134,'CF.1'!E320,'CF.2'!$J$123:$J$134)+SUMIF('CF.2'!$K$123:$K$134,'CF.1'!E320,'CF.2'!$M$123:$M$134)</f>
        <v>0</v>
      </c>
      <c r="S320" s="1530">
        <f t="shared" si="43"/>
        <v>0</v>
      </c>
      <c r="U320" s="1532">
        <f t="shared" si="44"/>
        <v>0</v>
      </c>
    </row>
    <row r="321" spans="3:23" ht="18" customHeight="1">
      <c r="C321" s="1359">
        <v>1</v>
      </c>
      <c r="D321" s="1527" t="s">
        <v>1274</v>
      </c>
      <c r="E321" s="1501" t="s">
        <v>1274</v>
      </c>
      <c r="F321" s="1528"/>
      <c r="G321" s="1501" t="s">
        <v>1275</v>
      </c>
      <c r="H321" s="1825">
        <v>0</v>
      </c>
      <c r="I321" s="1826">
        <v>0</v>
      </c>
      <c r="J321" s="1826">
        <v>0</v>
      </c>
      <c r="K321" s="1826">
        <v>0</v>
      </c>
      <c r="L321" s="1530">
        <f t="shared" si="42"/>
        <v>0</v>
      </c>
      <c r="N321" s="1531">
        <f>SUMIF('CF.2'!$H$5:$H$25,'CF.1'!E321,'CF.2'!$J$5:$J$25)-SUMIF('CF.2'!$K$5:$K$25,'CF.1'!E321,'CF.2'!$M$5:$M$25)</f>
        <v>0</v>
      </c>
      <c r="O321" s="1529">
        <f>SUMIF('CF.2'!$H$31:$H$60,'CF.1'!E321,'CF.2'!$J$31:$J$60)+SUMIF('CF.2'!$K$31:$K$60,'CF.1'!E321,'CF.2'!$M$31:$M$60)</f>
        <v>0</v>
      </c>
      <c r="P321" s="1529">
        <f>SUMIF('CF.2'!$H$65:$H$108,'CF.1'!E321,'CF.2'!$J$65:$J$108)+SUMIF('CF.2'!$K$65:$K$108,'CF.1'!E321,'CF.2'!$M$65:$M$108)</f>
        <v>0</v>
      </c>
      <c r="Q321" s="1529">
        <f>SUMIF('CF.2'!$H$112:$H$118,'CF.1'!E321,'CF.2'!$J$112:$J$118)+SUMIF('CF.2'!$K$112:$K$118,'CF.1'!E321,'CF.2'!$M$112:$M$118)</f>
        <v>0</v>
      </c>
      <c r="R321" s="1529">
        <f>SUMIF('CF.2'!$H$123:$H$134,'CF.1'!E321,'CF.2'!$J$123:$J$134)+SUMIF('CF.2'!$K$123:$K$134,'CF.1'!E321,'CF.2'!$M$123:$M$134)</f>
        <v>0</v>
      </c>
      <c r="S321" s="1530">
        <f t="shared" si="43"/>
        <v>0</v>
      </c>
      <c r="U321" s="1532">
        <f t="shared" si="44"/>
        <v>0</v>
      </c>
    </row>
    <row r="322" spans="3:23" ht="18" customHeight="1">
      <c r="C322" s="1359">
        <v>1</v>
      </c>
      <c r="D322" s="1527" t="s">
        <v>1276</v>
      </c>
      <c r="E322" s="1501" t="s">
        <v>1276</v>
      </c>
      <c r="F322" s="1528"/>
      <c r="G322" s="1501" t="s">
        <v>1277</v>
      </c>
      <c r="H322" s="1825">
        <v>0</v>
      </c>
      <c r="I322" s="1826">
        <v>0</v>
      </c>
      <c r="J322" s="1826">
        <v>0</v>
      </c>
      <c r="K322" s="1826">
        <v>0</v>
      </c>
      <c r="L322" s="1530">
        <f t="shared" si="42"/>
        <v>0</v>
      </c>
      <c r="N322" s="1531">
        <f>SUMIF('CF.2'!$H$5:$H$25,'CF.1'!E322,'CF.2'!$J$5:$J$25)-SUMIF('CF.2'!$K$5:$K$25,'CF.1'!E322,'CF.2'!$M$5:$M$25)</f>
        <v>0</v>
      </c>
      <c r="O322" s="1529">
        <f>SUMIF('CF.2'!$H$31:$H$60,'CF.1'!E322,'CF.2'!$J$31:$J$60)+SUMIF('CF.2'!$K$31:$K$60,'CF.1'!E322,'CF.2'!$M$31:$M$60)</f>
        <v>0</v>
      </c>
      <c r="P322" s="1529">
        <f>SUMIF('CF.2'!$H$65:$H$108,'CF.1'!E322,'CF.2'!$J$65:$J$108)+SUMIF('CF.2'!$K$65:$K$108,'CF.1'!E322,'CF.2'!$M$65:$M$108)</f>
        <v>0</v>
      </c>
      <c r="Q322" s="1529">
        <f>SUMIF('CF.2'!$H$112:$H$118,'CF.1'!E322,'CF.2'!$J$112:$J$118)+SUMIF('CF.2'!$K$112:$K$118,'CF.1'!E322,'CF.2'!$M$112:$M$118)</f>
        <v>0</v>
      </c>
      <c r="R322" s="1529">
        <f>SUMIF('CF.2'!$H$123:$H$134,'CF.1'!E322,'CF.2'!$J$123:$J$134)+SUMIF('CF.2'!$K$123:$K$134,'CF.1'!E322,'CF.2'!$M$123:$M$134)</f>
        <v>0</v>
      </c>
      <c r="S322" s="1530">
        <f t="shared" si="43"/>
        <v>0</v>
      </c>
      <c r="U322" s="1532">
        <f t="shared" si="44"/>
        <v>0</v>
      </c>
    </row>
    <row r="323" spans="3:23" ht="18" customHeight="1">
      <c r="C323" s="1359">
        <v>1</v>
      </c>
      <c r="D323" s="1520" t="s">
        <v>1278</v>
      </c>
      <c r="E323" s="1521" t="s">
        <v>1278</v>
      </c>
      <c r="F323" s="1522"/>
      <c r="G323" s="1521" t="s">
        <v>1279</v>
      </c>
      <c r="H323" s="1823">
        <f>SUM(H324:H342)</f>
        <v>-1752104948</v>
      </c>
      <c r="I323" s="1823">
        <f>SUM(I324:I342)</f>
        <v>-1640809534</v>
      </c>
      <c r="J323" s="1823">
        <f>SUM(J324:J342)</f>
        <v>-11628798</v>
      </c>
      <c r="K323" s="1823">
        <f>SUM(K324:K342)</f>
        <v>-177767642</v>
      </c>
      <c r="L323" s="1524">
        <f>SUM(L324:L342)</f>
        <v>-3582310922</v>
      </c>
      <c r="N323" s="1525">
        <f t="shared" ref="N323:S323" si="45">SUM(N324:N342)</f>
        <v>0</v>
      </c>
      <c r="O323" s="1523">
        <f t="shared" si="45"/>
        <v>0</v>
      </c>
      <c r="P323" s="1523">
        <f t="shared" si="45"/>
        <v>1500000000</v>
      </c>
      <c r="Q323" s="1523">
        <f t="shared" si="45"/>
        <v>0</v>
      </c>
      <c r="R323" s="1523">
        <f t="shared" si="45"/>
        <v>0</v>
      </c>
      <c r="S323" s="1524">
        <f t="shared" si="45"/>
        <v>1500000000</v>
      </c>
      <c r="U323" s="1526">
        <f>SUM(U324:U342)</f>
        <v>-2082310922</v>
      </c>
      <c r="V323" s="1359" t="b">
        <f>U323=SUM(U324:U342)</f>
        <v>1</v>
      </c>
    </row>
    <row r="324" spans="3:23" ht="18" customHeight="1">
      <c r="C324" s="1359">
        <v>1</v>
      </c>
      <c r="D324" s="1527" t="s">
        <v>1280</v>
      </c>
      <c r="E324" s="1501" t="s">
        <v>1280</v>
      </c>
      <c r="F324" s="1528" t="s">
        <v>1281</v>
      </c>
      <c r="G324" s="1501" t="s">
        <v>1281</v>
      </c>
      <c r="H324" s="1825">
        <v>0</v>
      </c>
      <c r="I324" s="1826">
        <v>-1500000000</v>
      </c>
      <c r="J324" s="1826">
        <v>0</v>
      </c>
      <c r="K324" s="1826">
        <v>0</v>
      </c>
      <c r="L324" s="1530">
        <f t="shared" ref="L324:L342" si="46">SUM(H324:K324)</f>
        <v>-1500000000</v>
      </c>
      <c r="N324" s="1531">
        <f>SUMIF('CF.2'!$H$5:$H$25,'CF.1'!E324,'CF.2'!$J$5:$J$25)-SUMIF('CF.2'!$K$5:$K$25,'CF.1'!E324,'CF.2'!$M$5:$M$25)</f>
        <v>0</v>
      </c>
      <c r="O324" s="1529">
        <f>SUMIF('CF.2'!$H$31:$H$60,'CF.1'!E324,'CF.2'!$J$31:$J$60)+SUMIF('CF.2'!$K$31:$K$60,'CF.1'!E324,'CF.2'!$M$31:$M$60)</f>
        <v>0</v>
      </c>
      <c r="P324" s="1535">
        <f>SUMIF('CF.2'!$H$65:$H$108,'CF.1'!E324,'CF.2'!$J$65:$J$108)+SUMIF('CF.2'!$K$65:$K$108,'CF.1'!E324,'CF.2'!$M$65:$M$108)</f>
        <v>1500000000</v>
      </c>
      <c r="Q324" s="1529">
        <f>SUMIF('CF.2'!$H$112:$H$118,'CF.1'!E324,'CF.2'!$J$112:$J$118)+SUMIF('CF.2'!$K$112:$K$118,'CF.1'!E324,'CF.2'!$M$112:$M$118)</f>
        <v>0</v>
      </c>
      <c r="R324" s="1529">
        <f>SUMIF('CF.2'!$H$123:$H$134,'CF.1'!E324,'CF.2'!$J$123:$J$134)+SUMIF('CF.2'!$K$123:$K$134,'CF.1'!E324,'CF.2'!$M$123:$M$134)</f>
        <v>0</v>
      </c>
      <c r="S324" s="1530">
        <f t="shared" ref="S324:S342" si="47">SUM(N324:R324)</f>
        <v>1500000000</v>
      </c>
      <c r="U324" s="1532">
        <f t="shared" ref="U324:U342" si="48">ROUND(S324+L324,0)</f>
        <v>0</v>
      </c>
      <c r="V324" s="1086"/>
      <c r="W324" s="925"/>
    </row>
    <row r="325" spans="3:23" ht="18" customHeight="1">
      <c r="C325" s="1359">
        <v>1</v>
      </c>
      <c r="D325" s="1527" t="s">
        <v>1282</v>
      </c>
      <c r="E325" s="1501" t="s">
        <v>1282</v>
      </c>
      <c r="F325" s="1528"/>
      <c r="G325" s="1501" t="s">
        <v>1283</v>
      </c>
      <c r="H325" s="1825">
        <v>0</v>
      </c>
      <c r="I325" s="1826">
        <v>0</v>
      </c>
      <c r="J325" s="1826">
        <v>0</v>
      </c>
      <c r="K325" s="1826">
        <v>0</v>
      </c>
      <c r="L325" s="1530">
        <f t="shared" si="46"/>
        <v>0</v>
      </c>
      <c r="N325" s="1531">
        <f>SUMIF('CF.2'!$H$5:$H$25,'CF.1'!E325,'CF.2'!$J$5:$J$25)-SUMIF('CF.2'!$K$5:$K$25,'CF.1'!E325,'CF.2'!$M$5:$M$25)</f>
        <v>0</v>
      </c>
      <c r="O325" s="1529">
        <f>SUMIF('CF.2'!$H$31:$H$60,'CF.1'!E325,'CF.2'!$J$31:$J$60)+SUMIF('CF.2'!$K$31:$K$60,'CF.1'!E325,'CF.2'!$M$31:$M$60)</f>
        <v>0</v>
      </c>
      <c r="P325" s="1529">
        <f>SUMIF('CF.2'!$H$65:$H$108,'CF.1'!E325,'CF.2'!$J$65:$J$108)+SUMIF('CF.2'!$K$65:$K$108,'CF.1'!E325,'CF.2'!$M$65:$M$108)</f>
        <v>0</v>
      </c>
      <c r="Q325" s="1529">
        <f>SUMIF('CF.2'!$H$112:$H$118,'CF.1'!E325,'CF.2'!$J$112:$J$118)+SUMIF('CF.2'!$K$112:$K$118,'CF.1'!E325,'CF.2'!$M$112:$M$118)</f>
        <v>0</v>
      </c>
      <c r="R325" s="1529">
        <f>SUMIF('CF.2'!$H$123:$H$134,'CF.1'!E325,'CF.2'!$J$123:$J$134)+SUMIF('CF.2'!$K$123:$K$134,'CF.1'!E325,'CF.2'!$M$123:$M$134)</f>
        <v>0</v>
      </c>
      <c r="S325" s="1530">
        <f t="shared" si="47"/>
        <v>0</v>
      </c>
      <c r="U325" s="1532">
        <f t="shared" si="48"/>
        <v>0</v>
      </c>
    </row>
    <row r="326" spans="3:23" ht="18" customHeight="1">
      <c r="C326" s="1359">
        <v>1</v>
      </c>
      <c r="D326" s="1527" t="s">
        <v>1284</v>
      </c>
      <c r="E326" s="1501" t="s">
        <v>1284</v>
      </c>
      <c r="F326" s="1528"/>
      <c r="G326" s="1501" t="s">
        <v>1285</v>
      </c>
      <c r="H326" s="1825">
        <v>0</v>
      </c>
      <c r="I326" s="1826">
        <v>0</v>
      </c>
      <c r="J326" s="1826">
        <v>0</v>
      </c>
      <c r="K326" s="1826">
        <v>0</v>
      </c>
      <c r="L326" s="1530">
        <f t="shared" si="46"/>
        <v>0</v>
      </c>
      <c r="N326" s="1531">
        <f>SUMIF('CF.2'!$H$5:$H$25,'CF.1'!E326,'CF.2'!$J$5:$J$25)-SUMIF('CF.2'!$K$5:$K$25,'CF.1'!E326,'CF.2'!$M$5:$M$25)</f>
        <v>0</v>
      </c>
      <c r="O326" s="1529">
        <f>SUMIF('CF.2'!$H$31:$H$60,'CF.1'!E326,'CF.2'!$J$31:$J$60)+SUMIF('CF.2'!$K$31:$K$60,'CF.1'!E326,'CF.2'!$M$31:$M$60)</f>
        <v>0</v>
      </c>
      <c r="P326" s="1529">
        <f>SUMIF('CF.2'!$H$65:$H$108,'CF.1'!E326,'CF.2'!$J$65:$J$108)+SUMIF('CF.2'!$K$65:$K$108,'CF.1'!E326,'CF.2'!$M$65:$M$108)</f>
        <v>0</v>
      </c>
      <c r="Q326" s="1529">
        <f>SUMIF('CF.2'!$H$112:$H$118,'CF.1'!E326,'CF.2'!$J$112:$J$118)+SUMIF('CF.2'!$K$112:$K$118,'CF.1'!E326,'CF.2'!$M$112:$M$118)</f>
        <v>0</v>
      </c>
      <c r="R326" s="1529">
        <f>SUMIF('CF.2'!$H$123:$H$134,'CF.1'!E326,'CF.2'!$J$123:$J$134)+SUMIF('CF.2'!$K$123:$K$134,'CF.1'!E326,'CF.2'!$M$123:$M$134)</f>
        <v>0</v>
      </c>
      <c r="S326" s="1530">
        <f t="shared" si="47"/>
        <v>0</v>
      </c>
      <c r="U326" s="1532">
        <f t="shared" si="48"/>
        <v>0</v>
      </c>
    </row>
    <row r="327" spans="3:23" ht="18" customHeight="1">
      <c r="C327" s="1359">
        <v>1</v>
      </c>
      <c r="D327" s="1527" t="s">
        <v>1286</v>
      </c>
      <c r="E327" s="1501" t="s">
        <v>1286</v>
      </c>
      <c r="F327" s="1528"/>
      <c r="G327" s="1501" t="s">
        <v>1287</v>
      </c>
      <c r="H327" s="1825">
        <v>0</v>
      </c>
      <c r="I327" s="1826">
        <v>0</v>
      </c>
      <c r="J327" s="1826">
        <v>0</v>
      </c>
      <c r="K327" s="1826">
        <v>0</v>
      </c>
      <c r="L327" s="1530">
        <f t="shared" si="46"/>
        <v>0</v>
      </c>
      <c r="N327" s="1531">
        <f>SUMIF('CF.2'!$H$5:$H$25,'CF.1'!E327,'CF.2'!$J$5:$J$25)-SUMIF('CF.2'!$K$5:$K$25,'CF.1'!E327,'CF.2'!$M$5:$M$25)</f>
        <v>0</v>
      </c>
      <c r="O327" s="1529">
        <f>SUMIF('CF.2'!$H$31:$H$60,'CF.1'!E327,'CF.2'!$J$31:$J$60)+SUMIF('CF.2'!$K$31:$K$60,'CF.1'!E327,'CF.2'!$M$31:$M$60)</f>
        <v>0</v>
      </c>
      <c r="P327" s="1529">
        <f>SUMIF('CF.2'!$H$65:$H$108,'CF.1'!E327,'CF.2'!$J$65:$J$108)+SUMIF('CF.2'!$K$65:$K$108,'CF.1'!E327,'CF.2'!$M$65:$M$108)</f>
        <v>0</v>
      </c>
      <c r="Q327" s="1529">
        <f>SUMIF('CF.2'!$H$112:$H$118,'CF.1'!E327,'CF.2'!$J$112:$J$118)+SUMIF('CF.2'!$K$112:$K$118,'CF.1'!E327,'CF.2'!$M$112:$M$118)</f>
        <v>0</v>
      </c>
      <c r="R327" s="1529">
        <f>SUMIF('CF.2'!$H$123:$H$134,'CF.1'!E327,'CF.2'!$J$123:$J$134)+SUMIF('CF.2'!$K$123:$K$134,'CF.1'!E327,'CF.2'!$M$123:$M$134)</f>
        <v>0</v>
      </c>
      <c r="S327" s="1530">
        <f t="shared" si="47"/>
        <v>0</v>
      </c>
      <c r="U327" s="1532">
        <f t="shared" si="48"/>
        <v>0</v>
      </c>
    </row>
    <row r="328" spans="3:23" ht="18" customHeight="1">
      <c r="C328" s="1359">
        <v>1</v>
      </c>
      <c r="D328" s="1527" t="s">
        <v>1288</v>
      </c>
      <c r="E328" s="1501" t="s">
        <v>1288</v>
      </c>
      <c r="F328" s="1528"/>
      <c r="G328" s="1501" t="s">
        <v>1289</v>
      </c>
      <c r="H328" s="1825">
        <v>0</v>
      </c>
      <c r="I328" s="1826">
        <v>0</v>
      </c>
      <c r="J328" s="1826">
        <v>0</v>
      </c>
      <c r="K328" s="1826">
        <v>0</v>
      </c>
      <c r="L328" s="1530">
        <f t="shared" si="46"/>
        <v>0</v>
      </c>
      <c r="N328" s="1531">
        <f>SUMIF('CF.2'!$H$5:$H$25,'CF.1'!E328,'CF.2'!$J$5:$J$25)-SUMIF('CF.2'!$K$5:$K$25,'CF.1'!E328,'CF.2'!$M$5:$M$25)</f>
        <v>0</v>
      </c>
      <c r="O328" s="1529">
        <f>SUMIF('CF.2'!$H$31:$H$60,'CF.1'!E328,'CF.2'!$J$31:$J$60)+SUMIF('CF.2'!$K$31:$K$60,'CF.1'!E328,'CF.2'!$M$31:$M$60)</f>
        <v>0</v>
      </c>
      <c r="P328" s="1529">
        <f>SUMIF('CF.2'!$H$65:$H$108,'CF.1'!E328,'CF.2'!$J$65:$J$108)+SUMIF('CF.2'!$K$65:$K$108,'CF.1'!E328,'CF.2'!$M$65:$M$108)</f>
        <v>0</v>
      </c>
      <c r="Q328" s="1529">
        <f>SUMIF('CF.2'!$H$112:$H$118,'CF.1'!E328,'CF.2'!$J$112:$J$118)+SUMIF('CF.2'!$K$112:$K$118,'CF.1'!E328,'CF.2'!$M$112:$M$118)</f>
        <v>0</v>
      </c>
      <c r="R328" s="1529">
        <f>SUMIF('CF.2'!$H$123:$H$134,'CF.1'!E328,'CF.2'!$J$123:$J$134)+SUMIF('CF.2'!$K$123:$K$134,'CF.1'!E328,'CF.2'!$M$123:$M$134)</f>
        <v>0</v>
      </c>
      <c r="S328" s="1530">
        <f t="shared" si="47"/>
        <v>0</v>
      </c>
      <c r="U328" s="1532">
        <f t="shared" si="48"/>
        <v>0</v>
      </c>
    </row>
    <row r="329" spans="3:23" ht="18" customHeight="1">
      <c r="C329" s="1359">
        <v>1</v>
      </c>
      <c r="D329" s="1527" t="s">
        <v>1290</v>
      </c>
      <c r="E329" s="1501" t="s">
        <v>1290</v>
      </c>
      <c r="F329" s="1528"/>
      <c r="G329" s="1501" t="s">
        <v>1291</v>
      </c>
      <c r="H329" s="1825">
        <v>0</v>
      </c>
      <c r="I329" s="1826">
        <v>0</v>
      </c>
      <c r="J329" s="1826">
        <v>0</v>
      </c>
      <c r="K329" s="1826">
        <v>0</v>
      </c>
      <c r="L329" s="1530">
        <f t="shared" si="46"/>
        <v>0</v>
      </c>
      <c r="N329" s="1531">
        <f>SUMIF('CF.2'!$H$5:$H$25,'CF.1'!E329,'CF.2'!$J$5:$J$25)-SUMIF('CF.2'!$K$5:$K$25,'CF.1'!E329,'CF.2'!$M$5:$M$25)</f>
        <v>0</v>
      </c>
      <c r="O329" s="1529">
        <f>SUMIF('CF.2'!$H$31:$H$60,'CF.1'!E329,'CF.2'!$J$31:$J$60)+SUMIF('CF.2'!$K$31:$K$60,'CF.1'!E329,'CF.2'!$M$31:$M$60)</f>
        <v>0</v>
      </c>
      <c r="P329" s="1529">
        <f>SUMIF('CF.2'!$H$65:$H$108,'CF.1'!E329,'CF.2'!$J$65:$J$108)+SUMIF('CF.2'!$K$65:$K$108,'CF.1'!E329,'CF.2'!$M$65:$M$108)</f>
        <v>0</v>
      </c>
      <c r="Q329" s="1529">
        <f>SUMIF('CF.2'!$H$112:$H$118,'CF.1'!E329,'CF.2'!$J$112:$J$118)+SUMIF('CF.2'!$K$112:$K$118,'CF.1'!E329,'CF.2'!$M$112:$M$118)</f>
        <v>0</v>
      </c>
      <c r="R329" s="1529">
        <f>SUMIF('CF.2'!$H$123:$H$134,'CF.1'!E329,'CF.2'!$J$123:$J$134)+SUMIF('CF.2'!$K$123:$K$134,'CF.1'!E329,'CF.2'!$M$123:$M$134)</f>
        <v>0</v>
      </c>
      <c r="S329" s="1530">
        <f t="shared" si="47"/>
        <v>0</v>
      </c>
      <c r="U329" s="1532">
        <f t="shared" si="48"/>
        <v>0</v>
      </c>
    </row>
    <row r="330" spans="3:23" ht="18" customHeight="1">
      <c r="C330" s="1359">
        <v>1</v>
      </c>
      <c r="D330" s="1527" t="s">
        <v>1292</v>
      </c>
      <c r="E330" s="1501" t="s">
        <v>1292</v>
      </c>
      <c r="F330" s="1528"/>
      <c r="G330" s="1501" t="s">
        <v>1140</v>
      </c>
      <c r="H330" s="1825">
        <v>0</v>
      </c>
      <c r="I330" s="1826">
        <v>0</v>
      </c>
      <c r="J330" s="1826">
        <v>0</v>
      </c>
      <c r="K330" s="1826">
        <v>0</v>
      </c>
      <c r="L330" s="1530">
        <f t="shared" si="46"/>
        <v>0</v>
      </c>
      <c r="N330" s="1531">
        <f>SUMIF('CF.2'!$H$5:$H$25,'CF.1'!E330,'CF.2'!$J$5:$J$25)-SUMIF('CF.2'!$K$5:$K$25,'CF.1'!E330,'CF.2'!$M$5:$M$25)</f>
        <v>0</v>
      </c>
      <c r="O330" s="1529">
        <f>SUMIF('CF.2'!$H$31:$H$60,'CF.1'!E330,'CF.2'!$J$31:$J$60)+SUMIF('CF.2'!$K$31:$K$60,'CF.1'!E330,'CF.2'!$M$31:$M$60)</f>
        <v>0</v>
      </c>
      <c r="P330" s="1529">
        <f>SUMIF('CF.2'!$H$65:$H$108,'CF.1'!E330,'CF.2'!$J$65:$J$108)+SUMIF('CF.2'!$K$65:$K$108,'CF.1'!E330,'CF.2'!$M$65:$M$108)</f>
        <v>0</v>
      </c>
      <c r="Q330" s="1529">
        <f>SUMIF('CF.2'!$H$112:$H$118,'CF.1'!E330,'CF.2'!$J$112:$J$118)+SUMIF('CF.2'!$K$112:$K$118,'CF.1'!E330,'CF.2'!$M$112:$M$118)</f>
        <v>0</v>
      </c>
      <c r="R330" s="1529">
        <f>SUMIF('CF.2'!$H$123:$H$134,'CF.1'!E330,'CF.2'!$J$123:$J$134)+SUMIF('CF.2'!$K$123:$K$134,'CF.1'!E330,'CF.2'!$M$123:$M$134)</f>
        <v>0</v>
      </c>
      <c r="S330" s="1530">
        <f t="shared" si="47"/>
        <v>0</v>
      </c>
      <c r="U330" s="1532">
        <f t="shared" si="48"/>
        <v>0</v>
      </c>
    </row>
    <row r="331" spans="3:23" ht="18" customHeight="1">
      <c r="C331" s="1359">
        <v>1</v>
      </c>
      <c r="D331" s="1527" t="s">
        <v>1293</v>
      </c>
      <c r="E331" s="1501" t="s">
        <v>1370</v>
      </c>
      <c r="F331" s="1528"/>
      <c r="G331" s="1501" t="s">
        <v>1372</v>
      </c>
      <c r="H331" s="1825">
        <v>0</v>
      </c>
      <c r="I331" s="1826">
        <v>0</v>
      </c>
      <c r="J331" s="1826">
        <v>0</v>
      </c>
      <c r="K331" s="1826">
        <v>0</v>
      </c>
      <c r="L331" s="1530">
        <f t="shared" si="46"/>
        <v>0</v>
      </c>
      <c r="N331" s="1531">
        <f>SUMIF('CF.2'!$H$5:$H$25,'CF.1'!E331,'CF.2'!$J$5:$J$25)-SUMIF('CF.2'!$K$5:$K$25,'CF.1'!E331,'CF.2'!$M$5:$M$25)</f>
        <v>0</v>
      </c>
      <c r="O331" s="1529">
        <f>SUMIF('CF.2'!$H$31:$H$60,'CF.1'!E331,'CF.2'!$J$31:$J$60)+SUMIF('CF.2'!$K$31:$K$60,'CF.1'!E331,'CF.2'!$M$31:$M$60)</f>
        <v>0</v>
      </c>
      <c r="P331" s="1529">
        <f>SUMIF('CF.2'!$H$65:$H$108,'CF.1'!E331,'CF.2'!$J$65:$J$108)+SUMIF('CF.2'!$K$65:$K$108,'CF.1'!E331,'CF.2'!$M$65:$M$108)</f>
        <v>0</v>
      </c>
      <c r="Q331" s="1529">
        <f>SUMIF('CF.2'!$H$112:$H$118,'CF.1'!E331,'CF.2'!$J$112:$J$118)+SUMIF('CF.2'!$K$112:$K$118,'CF.1'!E331,'CF.2'!$M$112:$M$118)</f>
        <v>0</v>
      </c>
      <c r="R331" s="1529">
        <f>SUMIF('CF.2'!$H$123:$H$134,'CF.1'!E331,'CF.2'!$J$123:$J$134)+SUMIF('CF.2'!$K$123:$K$134,'CF.1'!E331,'CF.2'!$M$123:$M$134)</f>
        <v>0</v>
      </c>
      <c r="S331" s="1530">
        <f t="shared" si="47"/>
        <v>0</v>
      </c>
      <c r="U331" s="1532">
        <f t="shared" si="48"/>
        <v>0</v>
      </c>
    </row>
    <row r="332" spans="3:23" ht="18" customHeight="1">
      <c r="C332" s="1359">
        <v>1</v>
      </c>
      <c r="D332" s="1527" t="s">
        <v>1293</v>
      </c>
      <c r="E332" s="1501" t="s">
        <v>1371</v>
      </c>
      <c r="F332" s="1528"/>
      <c r="G332" s="1501" t="s">
        <v>1373</v>
      </c>
      <c r="H332" s="1825">
        <v>0</v>
      </c>
      <c r="I332" s="1826">
        <v>0</v>
      </c>
      <c r="J332" s="1826">
        <v>0</v>
      </c>
      <c r="K332" s="1826">
        <v>0</v>
      </c>
      <c r="L332" s="1530">
        <f t="shared" si="46"/>
        <v>0</v>
      </c>
      <c r="N332" s="1531">
        <f>SUMIF('CF.2'!$H$5:$H$25,'CF.1'!E332,'CF.2'!$J$5:$J$25)-SUMIF('CF.2'!$K$5:$K$25,'CF.1'!E332,'CF.2'!$M$5:$M$25)</f>
        <v>0</v>
      </c>
      <c r="O332" s="1529">
        <f>SUMIF('CF.2'!$H$31:$H$60,'CF.1'!E332,'CF.2'!$J$31:$J$60)+SUMIF('CF.2'!$K$31:$K$60,'CF.1'!E332,'CF.2'!$M$31:$M$60)</f>
        <v>0</v>
      </c>
      <c r="P332" s="1529">
        <f>SUMIF('CF.2'!$H$65:$H$108,'CF.1'!E332,'CF.2'!$J$65:$J$108)+SUMIF('CF.2'!$K$65:$K$108,'CF.1'!E332,'CF.2'!$M$65:$M$108)</f>
        <v>0</v>
      </c>
      <c r="Q332" s="1529">
        <f>SUMIF('CF.2'!$H$112:$H$118,'CF.1'!E332,'CF.2'!$J$112:$J$118)+SUMIF('CF.2'!$K$112:$K$118,'CF.1'!E332,'CF.2'!$M$112:$M$118)</f>
        <v>0</v>
      </c>
      <c r="R332" s="1529">
        <f>SUMIF('CF.2'!$H$123:$H$134,'CF.1'!E332,'CF.2'!$J$123:$J$134)+SUMIF('CF.2'!$K$123:$K$134,'CF.1'!E332,'CF.2'!$M$123:$M$134)</f>
        <v>0</v>
      </c>
      <c r="S332" s="1530">
        <f t="shared" si="47"/>
        <v>0</v>
      </c>
      <c r="U332" s="1532">
        <f t="shared" si="48"/>
        <v>0</v>
      </c>
    </row>
    <row r="333" spans="3:23" ht="18" customHeight="1">
      <c r="C333" s="1359">
        <v>1</v>
      </c>
      <c r="D333" s="1527" t="s">
        <v>1294</v>
      </c>
      <c r="E333" s="1501" t="s">
        <v>1294</v>
      </c>
      <c r="F333" s="1528"/>
      <c r="G333" s="1501" t="s">
        <v>1295</v>
      </c>
      <c r="H333" s="1825">
        <v>0</v>
      </c>
      <c r="I333" s="1826">
        <v>0</v>
      </c>
      <c r="J333" s="1826">
        <v>0</v>
      </c>
      <c r="K333" s="1826">
        <v>0</v>
      </c>
      <c r="L333" s="1530">
        <f t="shared" si="46"/>
        <v>0</v>
      </c>
      <c r="N333" s="1531">
        <f>SUMIF('CF.2'!$H$5:$H$25,'CF.1'!E333,'CF.2'!$J$5:$J$25)-SUMIF('CF.2'!$K$5:$K$25,'CF.1'!E333,'CF.2'!$M$5:$M$25)</f>
        <v>0</v>
      </c>
      <c r="O333" s="1529">
        <f>SUMIF('CF.2'!$H$31:$H$60,'CF.1'!E333,'CF.2'!$J$31:$J$60)+SUMIF('CF.2'!$K$31:$K$60,'CF.1'!E333,'CF.2'!$M$31:$M$60)</f>
        <v>0</v>
      </c>
      <c r="P333" s="1529">
        <f>SUMIF('CF.2'!$H$65:$H$108,'CF.1'!E333,'CF.2'!$J$65:$J$108)+SUMIF('CF.2'!$K$65:$K$108,'CF.1'!E333,'CF.2'!$M$65:$M$108)</f>
        <v>0</v>
      </c>
      <c r="Q333" s="1529">
        <f>SUMIF('CF.2'!$H$112:$H$118,'CF.1'!E333,'CF.2'!$J$112:$J$118)+SUMIF('CF.2'!$K$112:$K$118,'CF.1'!E333,'CF.2'!$M$112:$M$118)</f>
        <v>0</v>
      </c>
      <c r="R333" s="1529">
        <f>SUMIF('CF.2'!$H$123:$H$134,'CF.1'!E333,'CF.2'!$J$123:$J$134)+SUMIF('CF.2'!$K$123:$K$134,'CF.1'!E333,'CF.2'!$M$123:$M$134)</f>
        <v>0</v>
      </c>
      <c r="S333" s="1530">
        <f t="shared" si="47"/>
        <v>0</v>
      </c>
      <c r="U333" s="1532">
        <f t="shared" si="48"/>
        <v>0</v>
      </c>
    </row>
    <row r="334" spans="3:23" ht="18" customHeight="1">
      <c r="C334" s="1359">
        <v>1</v>
      </c>
      <c r="D334" s="1527" t="s">
        <v>1296</v>
      </c>
      <c r="E334" s="1501" t="s">
        <v>1296</v>
      </c>
      <c r="F334" s="1528"/>
      <c r="G334" s="1501" t="s">
        <v>1297</v>
      </c>
      <c r="H334" s="1825">
        <v>0</v>
      </c>
      <c r="I334" s="1826">
        <v>0</v>
      </c>
      <c r="J334" s="1826">
        <v>0</v>
      </c>
      <c r="K334" s="1826">
        <v>0</v>
      </c>
      <c r="L334" s="1530">
        <f t="shared" si="46"/>
        <v>0</v>
      </c>
      <c r="N334" s="1531">
        <f>SUMIF('CF.2'!$H$5:$H$25,'CF.1'!E334,'CF.2'!$J$5:$J$25)-SUMIF('CF.2'!$K$5:$K$25,'CF.1'!E334,'CF.2'!$M$5:$M$25)</f>
        <v>0</v>
      </c>
      <c r="O334" s="1529">
        <f>SUMIF('CF.2'!$H$31:$H$60,'CF.1'!E334,'CF.2'!$J$31:$J$60)+SUMIF('CF.2'!$K$31:$K$60,'CF.1'!E334,'CF.2'!$M$31:$M$60)</f>
        <v>0</v>
      </c>
      <c r="P334" s="1529">
        <f>SUMIF('CF.2'!$H$65:$H$108,'CF.1'!E334,'CF.2'!$J$65:$J$108)+SUMIF('CF.2'!$K$65:$K$108,'CF.1'!E334,'CF.2'!$M$65:$M$108)</f>
        <v>0</v>
      </c>
      <c r="Q334" s="1529">
        <f>SUMIF('CF.2'!$H$112:$H$118,'CF.1'!E334,'CF.2'!$J$112:$J$118)+SUMIF('CF.2'!$K$112:$K$118,'CF.1'!E334,'CF.2'!$M$112:$M$118)</f>
        <v>0</v>
      </c>
      <c r="R334" s="1529">
        <f>SUMIF('CF.2'!$H$123:$H$134,'CF.1'!E334,'CF.2'!$J$123:$J$134)+SUMIF('CF.2'!$K$123:$K$134,'CF.1'!E334,'CF.2'!$M$123:$M$134)</f>
        <v>0</v>
      </c>
      <c r="S334" s="1530">
        <f t="shared" si="47"/>
        <v>0</v>
      </c>
      <c r="U334" s="1532">
        <f t="shared" si="48"/>
        <v>0</v>
      </c>
    </row>
    <row r="335" spans="3:23" ht="18" customHeight="1">
      <c r="C335" s="1359">
        <v>1</v>
      </c>
      <c r="D335" s="1527" t="s">
        <v>1298</v>
      </c>
      <c r="E335" s="1501" t="s">
        <v>1298</v>
      </c>
      <c r="F335" s="1528"/>
      <c r="G335" s="1501" t="s">
        <v>1299</v>
      </c>
      <c r="H335" s="1825">
        <v>0</v>
      </c>
      <c r="I335" s="1826">
        <v>0</v>
      </c>
      <c r="J335" s="1826">
        <v>0</v>
      </c>
      <c r="K335" s="1826">
        <v>0</v>
      </c>
      <c r="L335" s="1530">
        <f t="shared" si="46"/>
        <v>0</v>
      </c>
      <c r="N335" s="1531">
        <f>SUMIF('CF.2'!$H$5:$H$25,'CF.1'!E335,'CF.2'!$J$5:$J$25)-SUMIF('CF.2'!$K$5:$K$25,'CF.1'!E335,'CF.2'!$M$5:$M$25)</f>
        <v>0</v>
      </c>
      <c r="O335" s="1529">
        <f>SUMIF('CF.2'!$H$31:$H$60,'CF.1'!E335,'CF.2'!$J$31:$J$60)+SUMIF('CF.2'!$K$31:$K$60,'CF.1'!E335,'CF.2'!$M$31:$M$60)</f>
        <v>0</v>
      </c>
      <c r="P335" s="1529">
        <f>SUMIF('CF.2'!$H$65:$H$108,'CF.1'!E335,'CF.2'!$J$65:$J$108)+SUMIF('CF.2'!$K$65:$K$108,'CF.1'!E335,'CF.2'!$M$65:$M$108)</f>
        <v>0</v>
      </c>
      <c r="Q335" s="1529">
        <f>SUMIF('CF.2'!$H$112:$H$118,'CF.1'!E335,'CF.2'!$J$112:$J$118)+SUMIF('CF.2'!$K$112:$K$118,'CF.1'!E335,'CF.2'!$M$112:$M$118)</f>
        <v>0</v>
      </c>
      <c r="R335" s="1529">
        <f>SUMIF('CF.2'!$H$123:$H$134,'CF.1'!E335,'CF.2'!$J$123:$J$134)+SUMIF('CF.2'!$K$123:$K$134,'CF.1'!E335,'CF.2'!$M$123:$M$134)</f>
        <v>0</v>
      </c>
      <c r="S335" s="1530">
        <f t="shared" si="47"/>
        <v>0</v>
      </c>
      <c r="U335" s="1532">
        <f t="shared" si="48"/>
        <v>0</v>
      </c>
    </row>
    <row r="336" spans="3:23" ht="18" customHeight="1">
      <c r="C336" s="1359">
        <v>1</v>
      </c>
      <c r="D336" s="1527" t="s">
        <v>1300</v>
      </c>
      <c r="E336" s="1501" t="s">
        <v>1300</v>
      </c>
      <c r="F336" s="1528"/>
      <c r="G336" s="1501" t="s">
        <v>1301</v>
      </c>
      <c r="H336" s="1825">
        <v>0</v>
      </c>
      <c r="I336" s="1826">
        <v>0</v>
      </c>
      <c r="J336" s="1826">
        <v>0</v>
      </c>
      <c r="K336" s="1826">
        <v>0</v>
      </c>
      <c r="L336" s="1530">
        <f t="shared" si="46"/>
        <v>0</v>
      </c>
      <c r="N336" s="1531">
        <f>SUMIF('CF.2'!$H$5:$H$25,'CF.1'!E336,'CF.2'!$J$5:$J$25)-SUMIF('CF.2'!$K$5:$K$25,'CF.1'!E336,'CF.2'!$M$5:$M$25)</f>
        <v>0</v>
      </c>
      <c r="O336" s="1529">
        <f>SUMIF('CF.2'!$H$31:$H$60,'CF.1'!E336,'CF.2'!$J$31:$J$60)+SUMIF('CF.2'!$K$31:$K$60,'CF.1'!E336,'CF.2'!$M$31:$M$60)</f>
        <v>0</v>
      </c>
      <c r="P336" s="1529">
        <f>SUMIF('CF.2'!$H$65:$H$108,'CF.1'!E336,'CF.2'!$J$65:$J$108)+SUMIF('CF.2'!$K$65:$K$108,'CF.1'!E336,'CF.2'!$M$65:$M$108)</f>
        <v>0</v>
      </c>
      <c r="Q336" s="1529">
        <f>SUMIF('CF.2'!$H$112:$H$118,'CF.1'!E336,'CF.2'!$J$112:$J$118)+SUMIF('CF.2'!$K$112:$K$118,'CF.1'!E336,'CF.2'!$M$112:$M$118)</f>
        <v>0</v>
      </c>
      <c r="R336" s="1529">
        <f>SUMIF('CF.2'!$H$123:$H$134,'CF.1'!E336,'CF.2'!$J$123:$J$134)+SUMIF('CF.2'!$K$123:$K$134,'CF.1'!E336,'CF.2'!$M$123:$M$134)</f>
        <v>0</v>
      </c>
      <c r="S336" s="1530">
        <f t="shared" si="47"/>
        <v>0</v>
      </c>
      <c r="U336" s="1532">
        <f t="shared" si="48"/>
        <v>0</v>
      </c>
    </row>
    <row r="337" spans="3:23" ht="18" customHeight="1">
      <c r="C337" s="1359">
        <v>1</v>
      </c>
      <c r="D337" s="1527" t="s">
        <v>1302</v>
      </c>
      <c r="E337" s="1501" t="s">
        <v>1302</v>
      </c>
      <c r="F337" s="1528"/>
      <c r="G337" s="1501" t="s">
        <v>1303</v>
      </c>
      <c r="H337" s="1825">
        <v>0</v>
      </c>
      <c r="I337" s="1826">
        <v>0</v>
      </c>
      <c r="J337" s="1826">
        <v>0</v>
      </c>
      <c r="K337" s="1826">
        <v>0</v>
      </c>
      <c r="L337" s="1530">
        <f t="shared" si="46"/>
        <v>0</v>
      </c>
      <c r="N337" s="1531">
        <f>SUMIF('CF.2'!$H$5:$H$25,'CF.1'!E337,'CF.2'!$J$5:$J$25)-SUMIF('CF.2'!$K$5:$K$25,'CF.1'!E337,'CF.2'!$M$5:$M$25)</f>
        <v>0</v>
      </c>
      <c r="O337" s="1529">
        <f>SUMIF('CF.2'!$H$31:$H$60,'CF.1'!E337,'CF.2'!$J$31:$J$60)+SUMIF('CF.2'!$K$31:$K$60,'CF.1'!E337,'CF.2'!$M$31:$M$60)</f>
        <v>0</v>
      </c>
      <c r="P337" s="1529">
        <f>SUMIF('CF.2'!$H$65:$H$108,'CF.1'!E337,'CF.2'!$J$65:$J$108)+SUMIF('CF.2'!$K$65:$K$108,'CF.1'!E337,'CF.2'!$M$65:$M$108)</f>
        <v>0</v>
      </c>
      <c r="Q337" s="1529">
        <f>SUMIF('CF.2'!$H$112:$H$118,'CF.1'!E337,'CF.2'!$J$112:$J$118)+SUMIF('CF.2'!$K$112:$K$118,'CF.1'!E337,'CF.2'!$M$112:$M$118)</f>
        <v>0</v>
      </c>
      <c r="R337" s="1529">
        <f>SUMIF('CF.2'!$H$123:$H$134,'CF.1'!E337,'CF.2'!$J$123:$J$134)+SUMIF('CF.2'!$K$123:$K$134,'CF.1'!E337,'CF.2'!$M$123:$M$134)</f>
        <v>0</v>
      </c>
      <c r="S337" s="1530">
        <f t="shared" si="47"/>
        <v>0</v>
      </c>
      <c r="U337" s="1532">
        <f t="shared" si="48"/>
        <v>0</v>
      </c>
    </row>
    <row r="338" spans="3:23" ht="18" customHeight="1">
      <c r="C338" s="1359">
        <v>1</v>
      </c>
      <c r="D338" s="1527" t="s">
        <v>1304</v>
      </c>
      <c r="E338" s="1501" t="s">
        <v>1304</v>
      </c>
      <c r="F338" s="1528"/>
      <c r="G338" s="1501" t="s">
        <v>1305</v>
      </c>
      <c r="H338" s="1825">
        <v>0</v>
      </c>
      <c r="I338" s="1826">
        <v>0</v>
      </c>
      <c r="J338" s="1826">
        <v>0</v>
      </c>
      <c r="K338" s="1826">
        <v>0</v>
      </c>
      <c r="L338" s="1530">
        <f t="shared" si="46"/>
        <v>0</v>
      </c>
      <c r="N338" s="1531">
        <f>SUMIF('CF.2'!$H$5:$H$25,'CF.1'!E338,'CF.2'!$J$5:$J$25)-SUMIF('CF.2'!$K$5:$K$25,'CF.1'!E338,'CF.2'!$M$5:$M$25)</f>
        <v>0</v>
      </c>
      <c r="O338" s="1529">
        <f>SUMIF('CF.2'!$H$31:$H$60,'CF.1'!E338,'CF.2'!$J$31:$J$60)+SUMIF('CF.2'!$K$31:$K$60,'CF.1'!E338,'CF.2'!$M$31:$M$60)</f>
        <v>0</v>
      </c>
      <c r="P338" s="1529">
        <f>SUMIF('CF.2'!$H$65:$H$108,'CF.1'!E338,'CF.2'!$J$65:$J$108)+SUMIF('CF.2'!$K$65:$K$108,'CF.1'!E338,'CF.2'!$M$65:$M$108)</f>
        <v>0</v>
      </c>
      <c r="Q338" s="1529">
        <f>SUMIF('CF.2'!$H$112:$H$118,'CF.1'!E338,'CF.2'!$J$112:$J$118)+SUMIF('CF.2'!$K$112:$K$118,'CF.1'!E338,'CF.2'!$M$112:$M$118)</f>
        <v>0</v>
      </c>
      <c r="R338" s="1529">
        <f>SUMIF('CF.2'!$H$123:$H$134,'CF.1'!E338,'CF.2'!$J$123:$J$134)+SUMIF('CF.2'!$K$123:$K$134,'CF.1'!E338,'CF.2'!$M$123:$M$134)</f>
        <v>0</v>
      </c>
      <c r="S338" s="1530">
        <f t="shared" si="47"/>
        <v>0</v>
      </c>
      <c r="U338" s="1532">
        <f t="shared" si="48"/>
        <v>0</v>
      </c>
    </row>
    <row r="339" spans="3:23" ht="18" customHeight="1">
      <c r="C339" s="1359">
        <v>1</v>
      </c>
      <c r="D339" s="1527" t="s">
        <v>1306</v>
      </c>
      <c r="E339" s="1501" t="s">
        <v>1306</v>
      </c>
      <c r="F339" s="1528" t="s">
        <v>2552</v>
      </c>
      <c r="G339" s="1501" t="s">
        <v>2551</v>
      </c>
      <c r="H339" s="1825">
        <v>-1752104948</v>
      </c>
      <c r="I339" s="1826">
        <v>-140809534</v>
      </c>
      <c r="J339" s="1826">
        <v>-11628798</v>
      </c>
      <c r="K339" s="1826">
        <v>-177767642</v>
      </c>
      <c r="L339" s="1530">
        <f t="shared" si="46"/>
        <v>-2082310922</v>
      </c>
      <c r="N339" s="1531">
        <f>SUMIF('CF.2'!$H$5:$H$25,'CF.1'!E339,'CF.2'!$J$5:$J$25)-SUMIF('CF.2'!$K$5:$K$25,'CF.1'!E339,'CF.2'!$M$5:$M$25)</f>
        <v>0</v>
      </c>
      <c r="O339" s="1529">
        <f>SUMIF('CF.2'!$H$31:$H$60,'CF.1'!E339,'CF.2'!$J$31:$J$60)+SUMIF('CF.2'!$K$31:$K$60,'CF.1'!E339,'CF.2'!$M$31:$M$60)</f>
        <v>0</v>
      </c>
      <c r="P339" s="1529">
        <f>SUMIF('CF.2'!$H$65:$H$108,'CF.1'!E339,'CF.2'!$J$65:$J$108)+SUMIF('CF.2'!$K$65:$K$108,'CF.1'!E339,'CF.2'!$M$65:$M$108)</f>
        <v>0</v>
      </c>
      <c r="Q339" s="1529">
        <f>SUMIF('CF.2'!$H$112:$H$118,'CF.1'!E339,'CF.2'!$J$112:$J$118)+SUMIF('CF.2'!$K$112:$K$118,'CF.1'!E339,'CF.2'!$M$112:$M$118)</f>
        <v>0</v>
      </c>
      <c r="R339" s="1529">
        <f>SUMIF('CF.2'!$H$123:$H$134,'CF.1'!E339,'CF.2'!$J$123:$J$134)+SUMIF('CF.2'!$K$123:$K$134,'CF.1'!E339,'CF.2'!$M$123:$M$134)</f>
        <v>0</v>
      </c>
      <c r="S339" s="1530">
        <f t="shared" si="47"/>
        <v>0</v>
      </c>
      <c r="U339" s="1532">
        <f t="shared" si="48"/>
        <v>-2082310922</v>
      </c>
    </row>
    <row r="340" spans="3:23" ht="18" customHeight="1">
      <c r="C340" s="1359">
        <v>1</v>
      </c>
      <c r="D340" s="1527" t="s">
        <v>1308</v>
      </c>
      <c r="E340" s="1501" t="s">
        <v>1308</v>
      </c>
      <c r="F340" s="1528"/>
      <c r="G340" s="1501" t="s">
        <v>1309</v>
      </c>
      <c r="H340" s="1825">
        <v>0</v>
      </c>
      <c r="I340" s="1826">
        <v>0</v>
      </c>
      <c r="J340" s="1826">
        <v>0</v>
      </c>
      <c r="K340" s="1826">
        <v>0</v>
      </c>
      <c r="L340" s="1530">
        <f t="shared" si="46"/>
        <v>0</v>
      </c>
      <c r="N340" s="1531">
        <f>SUMIF('CF.2'!$H$5:$H$25,'CF.1'!E340,'CF.2'!$J$5:$J$25)-SUMIF('CF.2'!$K$5:$K$25,'CF.1'!E340,'CF.2'!$M$5:$M$25)</f>
        <v>0</v>
      </c>
      <c r="O340" s="1529">
        <f>SUMIF('CF.2'!$H$31:$H$60,'CF.1'!E340,'CF.2'!$J$31:$J$60)+SUMIF('CF.2'!$K$31:$K$60,'CF.1'!E340,'CF.2'!$M$31:$M$60)</f>
        <v>0</v>
      </c>
      <c r="P340" s="1529">
        <f>SUMIF('CF.2'!$H$65:$H$108,'CF.1'!E340,'CF.2'!$J$65:$J$108)+SUMIF('CF.2'!$K$65:$K$108,'CF.1'!E340,'CF.2'!$M$65:$M$108)</f>
        <v>0</v>
      </c>
      <c r="Q340" s="1529">
        <f>SUMIF('CF.2'!$H$112:$H$118,'CF.1'!E340,'CF.2'!$J$112:$J$118)+SUMIF('CF.2'!$K$112:$K$118,'CF.1'!E340,'CF.2'!$M$112:$M$118)</f>
        <v>0</v>
      </c>
      <c r="R340" s="1529">
        <f>SUMIF('CF.2'!$H$123:$H$134,'CF.1'!E340,'CF.2'!$J$123:$J$134)+SUMIF('CF.2'!$K$123:$K$134,'CF.1'!E340,'CF.2'!$M$123:$M$134)</f>
        <v>0</v>
      </c>
      <c r="S340" s="1530">
        <f t="shared" si="47"/>
        <v>0</v>
      </c>
      <c r="U340" s="1532">
        <f t="shared" si="48"/>
        <v>0</v>
      </c>
    </row>
    <row r="341" spans="3:23" ht="18" customHeight="1">
      <c r="C341" s="1359">
        <v>1</v>
      </c>
      <c r="D341" s="1527" t="s">
        <v>1310</v>
      </c>
      <c r="E341" s="1501" t="s">
        <v>1310</v>
      </c>
      <c r="F341" s="1528"/>
      <c r="G341" s="1501" t="s">
        <v>1311</v>
      </c>
      <c r="H341" s="1825">
        <v>0</v>
      </c>
      <c r="I341" s="1826">
        <v>0</v>
      </c>
      <c r="J341" s="1826">
        <v>0</v>
      </c>
      <c r="K341" s="1826">
        <v>0</v>
      </c>
      <c r="L341" s="1530">
        <f t="shared" si="46"/>
        <v>0</v>
      </c>
      <c r="N341" s="1531">
        <f>SUMIF('CF.2'!$H$5:$H$25,'CF.1'!E341,'CF.2'!$J$5:$J$25)-SUMIF('CF.2'!$K$5:$K$25,'CF.1'!E341,'CF.2'!$M$5:$M$25)</f>
        <v>0</v>
      </c>
      <c r="O341" s="1529">
        <f>SUMIF('CF.2'!$H$31:$H$60,'CF.1'!E341,'CF.2'!$J$31:$J$60)+SUMIF('CF.2'!$K$31:$K$60,'CF.1'!E341,'CF.2'!$M$31:$M$60)</f>
        <v>0</v>
      </c>
      <c r="P341" s="1529">
        <f>SUMIF('CF.2'!$H$65:$H$108,'CF.1'!E341,'CF.2'!$J$65:$J$108)+SUMIF('CF.2'!$K$65:$K$108,'CF.1'!E341,'CF.2'!$M$65:$M$108)</f>
        <v>0</v>
      </c>
      <c r="Q341" s="1529">
        <f>SUMIF('CF.2'!$H$112:$H$118,'CF.1'!E341,'CF.2'!$J$112:$J$118)+SUMIF('CF.2'!$K$112:$K$118,'CF.1'!E341,'CF.2'!$M$112:$M$118)</f>
        <v>0</v>
      </c>
      <c r="R341" s="1529">
        <f>SUMIF('CF.2'!$H$123:$H$134,'CF.1'!E341,'CF.2'!$J$123:$J$134)+SUMIF('CF.2'!$K$123:$K$134,'CF.1'!E341,'CF.2'!$M$123:$M$134)</f>
        <v>0</v>
      </c>
      <c r="S341" s="1530">
        <f t="shared" si="47"/>
        <v>0</v>
      </c>
      <c r="U341" s="1532">
        <f t="shared" si="48"/>
        <v>0</v>
      </c>
    </row>
    <row r="342" spans="3:23" ht="18" customHeight="1">
      <c r="C342" s="1359">
        <v>1</v>
      </c>
      <c r="D342" s="1527" t="s">
        <v>1312</v>
      </c>
      <c r="E342" s="1501" t="s">
        <v>1312</v>
      </c>
      <c r="F342" s="1528" t="s">
        <v>1313</v>
      </c>
      <c r="G342" s="1501" t="s">
        <v>1313</v>
      </c>
      <c r="H342" s="1825">
        <v>0</v>
      </c>
      <c r="I342" s="1826">
        <v>0</v>
      </c>
      <c r="J342" s="1826">
        <v>0</v>
      </c>
      <c r="K342" s="1826">
        <v>0</v>
      </c>
      <c r="L342" s="1530">
        <f t="shared" si="46"/>
        <v>0</v>
      </c>
      <c r="N342" s="1531">
        <f>SUMIF('CF.2'!$H$5:$H$25,'CF.1'!E342,'CF.2'!$J$5:$J$25)-SUMIF('CF.2'!$K$5:$K$25,'CF.1'!E342,'CF.2'!$M$5:$M$25)</f>
        <v>0</v>
      </c>
      <c r="O342" s="1529">
        <f>SUMIF('CF.2'!$H$31:$H$60,'CF.1'!E342,'CF.2'!$J$31:$J$60)+SUMIF('CF.2'!$K$31:$K$60,'CF.1'!E342,'CF.2'!$M$31:$M$60)</f>
        <v>0</v>
      </c>
      <c r="P342" s="1529">
        <f>SUMIF('CF.2'!$H$65:$H$108,'CF.1'!E342,'CF.2'!$J$65:$J$108)+SUMIF('CF.2'!$K$65:$K$108,'CF.1'!E342,'CF.2'!$M$65:$M$108)</f>
        <v>0</v>
      </c>
      <c r="Q342" s="1529">
        <f>SUMIF('CF.2'!$H$112:$H$118,'CF.1'!E342,'CF.2'!$J$112:$J$118)+SUMIF('CF.2'!$K$112:$K$118,'CF.1'!E342,'CF.2'!$M$112:$M$118)</f>
        <v>0</v>
      </c>
      <c r="R342" s="1529">
        <f>SUMIF('CF.2'!$H$123:$H$134,'CF.1'!E342,'CF.2'!$J$123:$J$134)+SUMIF('CF.2'!$K$123:$K$134,'CF.1'!E342,'CF.2'!$M$123:$M$134)</f>
        <v>0</v>
      </c>
      <c r="S342" s="1530">
        <f t="shared" si="47"/>
        <v>0</v>
      </c>
      <c r="U342" s="1532">
        <f t="shared" si="48"/>
        <v>0</v>
      </c>
      <c r="W342" s="1506" t="s">
        <v>1674</v>
      </c>
    </row>
    <row r="343" spans="3:23" ht="18" customHeight="1">
      <c r="C343" s="1359">
        <v>1</v>
      </c>
      <c r="D343" s="1520" t="s">
        <v>1314</v>
      </c>
      <c r="E343" s="1521" t="s">
        <v>1314</v>
      </c>
      <c r="F343" s="1522"/>
      <c r="G343" s="1521" t="s">
        <v>1315</v>
      </c>
      <c r="H343" s="1823">
        <f>H344</f>
        <v>1406968062</v>
      </c>
      <c r="I343" s="1823">
        <f>I344</f>
        <v>0</v>
      </c>
      <c r="J343" s="1823">
        <f>J344</f>
        <v>30055779</v>
      </c>
      <c r="K343" s="1823">
        <f>K344</f>
        <v>-102723077</v>
      </c>
      <c r="L343" s="1524">
        <f>L344</f>
        <v>1334300764</v>
      </c>
      <c r="N343" s="1525">
        <f t="shared" ref="N343:S344" si="49">N344</f>
        <v>0</v>
      </c>
      <c r="O343" s="1523">
        <f t="shared" si="49"/>
        <v>0</v>
      </c>
      <c r="P343" s="1523">
        <f t="shared" si="49"/>
        <v>0</v>
      </c>
      <c r="Q343" s="1523">
        <f t="shared" si="49"/>
        <v>0</v>
      </c>
      <c r="R343" s="1523">
        <f t="shared" si="49"/>
        <v>0</v>
      </c>
      <c r="S343" s="1524">
        <f t="shared" si="49"/>
        <v>0</v>
      </c>
      <c r="U343" s="1526">
        <f>U344</f>
        <v>1334300764</v>
      </c>
    </row>
    <row r="344" spans="3:23" ht="18" customHeight="1">
      <c r="C344" s="1359">
        <v>1</v>
      </c>
      <c r="D344" s="1520" t="s">
        <v>1316</v>
      </c>
      <c r="E344" s="1521" t="s">
        <v>1316</v>
      </c>
      <c r="F344" s="1522"/>
      <c r="G344" s="1521" t="s">
        <v>1315</v>
      </c>
      <c r="H344" s="1823">
        <f>H345</f>
        <v>1406968062</v>
      </c>
      <c r="I344" s="1823">
        <f>I345</f>
        <v>0</v>
      </c>
      <c r="J344" s="1823">
        <v>30055779</v>
      </c>
      <c r="K344" s="1823">
        <f>K345</f>
        <v>-102723077</v>
      </c>
      <c r="L344" s="1524">
        <f>L345</f>
        <v>1334300764</v>
      </c>
      <c r="N344" s="1525">
        <f t="shared" si="49"/>
        <v>0</v>
      </c>
      <c r="O344" s="1523">
        <f t="shared" si="49"/>
        <v>0</v>
      </c>
      <c r="P344" s="1523">
        <f t="shared" si="49"/>
        <v>0</v>
      </c>
      <c r="Q344" s="1523">
        <f t="shared" si="49"/>
        <v>0</v>
      </c>
      <c r="R344" s="1523">
        <f t="shared" si="49"/>
        <v>0</v>
      </c>
      <c r="S344" s="1524">
        <f t="shared" si="49"/>
        <v>0</v>
      </c>
      <c r="U344" s="1526">
        <f>U345</f>
        <v>1334300764</v>
      </c>
    </row>
    <row r="345" spans="3:23" ht="18" customHeight="1">
      <c r="C345" s="1359">
        <v>1</v>
      </c>
      <c r="D345" s="1527" t="s">
        <v>1317</v>
      </c>
      <c r="E345" s="1501" t="s">
        <v>1317</v>
      </c>
      <c r="F345" s="1528"/>
      <c r="G345" s="1501" t="s">
        <v>1318</v>
      </c>
      <c r="H345" s="1825">
        <v>1406968062</v>
      </c>
      <c r="I345" s="1826">
        <v>0</v>
      </c>
      <c r="J345" s="1826">
        <v>30055779</v>
      </c>
      <c r="K345" s="1826">
        <v>-102723077</v>
      </c>
      <c r="L345" s="1530">
        <f>SUM(H345:K345)</f>
        <v>1334300764</v>
      </c>
      <c r="N345" s="1531">
        <f>SUMIF('CF.2'!$H$5:$H$25,'CF.1'!E345,'CF.2'!$J$5:$J$25)-SUMIF('CF.2'!$K$5:$K$25,'CF.1'!E345,'CF.2'!$M$5:$M$25)</f>
        <v>0</v>
      </c>
      <c r="O345" s="1529">
        <f>SUMIF('CF.2'!$H$31:$H$60,'CF.1'!E345,'CF.2'!$J$31:$J$60)+SUMIF('CF.2'!$K$31:$K$60,'CF.1'!E345,'CF.2'!$M$31:$M$60)</f>
        <v>0</v>
      </c>
      <c r="P345" s="1529">
        <f>SUMIF('CF.2'!$H$65:$H$108,'CF.1'!E345,'CF.2'!$J$65:$J$108)+SUMIF('CF.2'!$K$65:$K$108,'CF.1'!E345,'CF.2'!$M$65:$M$108)</f>
        <v>0</v>
      </c>
      <c r="Q345" s="1529">
        <f>SUMIF('CF.2'!$H$112:$H$118,'CF.1'!E345,'CF.2'!$J$112:$J$118)+SUMIF('CF.2'!$K$112:$K$118,'CF.1'!E345,'CF.2'!$M$112:$M$118)</f>
        <v>0</v>
      </c>
      <c r="R345" s="1529">
        <f>SUMIF('CF.2'!$H$123:$H$134,'CF.1'!E345,'CF.2'!$J$123:$J$134)+SUMIF('CF.2'!$K$123:$K$134,'CF.1'!E345,'CF.2'!$M$123:$M$134)</f>
        <v>0</v>
      </c>
      <c r="S345" s="1530">
        <f>SUM(N345:R345)</f>
        <v>0</v>
      </c>
      <c r="U345" s="1532">
        <f>ROUND(S345+L345,0)</f>
        <v>1334300764</v>
      </c>
      <c r="W345" s="509"/>
    </row>
    <row r="346" spans="3:23" ht="18" customHeight="1">
      <c r="C346" s="1359">
        <v>1</v>
      </c>
      <c r="D346" s="1520" t="s">
        <v>1319</v>
      </c>
      <c r="E346" s="1521" t="s">
        <v>1319</v>
      </c>
      <c r="F346" s="1522"/>
      <c r="G346" s="1521" t="s">
        <v>1320</v>
      </c>
      <c r="H346" s="1823">
        <v>0</v>
      </c>
      <c r="I346" s="1823">
        <v>0</v>
      </c>
      <c r="J346" s="1823">
        <v>0</v>
      </c>
      <c r="K346" s="1823">
        <v>0</v>
      </c>
      <c r="L346" s="1524">
        <f>L347</f>
        <v>0</v>
      </c>
      <c r="N346" s="1525">
        <f t="shared" ref="N346:S347" si="50">N347</f>
        <v>0</v>
      </c>
      <c r="O346" s="1523">
        <f t="shared" si="50"/>
        <v>0</v>
      </c>
      <c r="P346" s="1523">
        <f t="shared" si="50"/>
        <v>0</v>
      </c>
      <c r="Q346" s="1523">
        <f t="shared" si="50"/>
        <v>0</v>
      </c>
      <c r="R346" s="1523">
        <f t="shared" si="50"/>
        <v>0</v>
      </c>
      <c r="S346" s="1524">
        <f t="shared" si="50"/>
        <v>0</v>
      </c>
      <c r="U346" s="1526">
        <f>U347</f>
        <v>0</v>
      </c>
    </row>
    <row r="347" spans="3:23" ht="18" customHeight="1">
      <c r="C347" s="1359">
        <v>1</v>
      </c>
      <c r="D347" s="1520" t="s">
        <v>1321</v>
      </c>
      <c r="E347" s="1521" t="s">
        <v>1321</v>
      </c>
      <c r="F347" s="1522"/>
      <c r="G347" s="1521" t="s">
        <v>1320</v>
      </c>
      <c r="H347" s="1823">
        <v>0</v>
      </c>
      <c r="I347" s="1823">
        <v>0</v>
      </c>
      <c r="J347" s="1823">
        <v>0</v>
      </c>
      <c r="K347" s="1823">
        <v>0</v>
      </c>
      <c r="L347" s="1524">
        <f>L348</f>
        <v>0</v>
      </c>
      <c r="N347" s="1525">
        <f t="shared" si="50"/>
        <v>0</v>
      </c>
      <c r="O347" s="1523">
        <f t="shared" si="50"/>
        <v>0</v>
      </c>
      <c r="P347" s="1523">
        <f t="shared" si="50"/>
        <v>0</v>
      </c>
      <c r="Q347" s="1523">
        <f t="shared" si="50"/>
        <v>0</v>
      </c>
      <c r="R347" s="1523">
        <f t="shared" si="50"/>
        <v>0</v>
      </c>
      <c r="S347" s="1524">
        <f t="shared" si="50"/>
        <v>0</v>
      </c>
      <c r="U347" s="1526">
        <f>U348</f>
        <v>0</v>
      </c>
    </row>
    <row r="348" spans="3:23" ht="18" customHeight="1">
      <c r="C348" s="1359">
        <v>1</v>
      </c>
      <c r="D348" s="1527" t="s">
        <v>1322</v>
      </c>
      <c r="E348" s="1501" t="s">
        <v>1322</v>
      </c>
      <c r="F348" s="1528"/>
      <c r="G348" s="1501" t="s">
        <v>1323</v>
      </c>
      <c r="H348" s="1825">
        <v>0</v>
      </c>
      <c r="I348" s="1826">
        <v>0</v>
      </c>
      <c r="J348" s="1826">
        <v>0</v>
      </c>
      <c r="K348" s="1826">
        <v>0</v>
      </c>
      <c r="L348" s="1530">
        <f>SUM(H348:K348)</f>
        <v>0</v>
      </c>
      <c r="N348" s="1531">
        <f>SUMIF('CF.2'!$H$5:$H$25,'CF.1'!E348,'CF.2'!$J$5:$J$25)-SUMIF('CF.2'!$K$5:$K$25,'CF.1'!E348,'CF.2'!$M$5:$M$25)</f>
        <v>0</v>
      </c>
      <c r="O348" s="1529">
        <f>SUMIF('CF.2'!$H$31:$H$60,'CF.1'!E348,'CF.2'!$J$31:$J$60)+SUMIF('CF.2'!$K$31:$K$60,'CF.1'!E348,'CF.2'!$M$31:$M$60)</f>
        <v>0</v>
      </c>
      <c r="P348" s="1529">
        <f>SUMIF('CF.2'!$H$65:$H$108,'CF.1'!E348,'CF.2'!$J$65:$J$108)+SUMIF('CF.2'!$K$65:$K$108,'CF.1'!E348,'CF.2'!$M$65:$M$108)</f>
        <v>0</v>
      </c>
      <c r="Q348" s="1529">
        <f>SUMIF('CF.2'!$H$112:$H$118,'CF.1'!E348,'CF.2'!$J$112:$J$118)+SUMIF('CF.2'!$K$112:$K$118,'CF.1'!E348,'CF.2'!$M$112:$M$118)</f>
        <v>0</v>
      </c>
      <c r="R348" s="1529">
        <f>SUMIF('CF.2'!$H$123:$H$134,'CF.1'!E348,'CF.2'!$J$123:$J$134)+SUMIF('CF.2'!$K$123:$K$134,'CF.1'!E348,'CF.2'!$M$123:$M$134)</f>
        <v>0</v>
      </c>
      <c r="S348" s="1530">
        <f>SUM(N348:R348)</f>
        <v>0</v>
      </c>
      <c r="U348" s="1551">
        <f>ROUND(S348+L348,0)</f>
        <v>0</v>
      </c>
    </row>
    <row r="349" spans="3:23" ht="18" customHeight="1">
      <c r="C349" s="1359">
        <v>1</v>
      </c>
      <c r="D349" s="1520" t="s">
        <v>1324</v>
      </c>
      <c r="E349" s="1521" t="s">
        <v>1324</v>
      </c>
      <c r="F349" s="1522"/>
      <c r="G349" s="1521" t="s">
        <v>1325</v>
      </c>
      <c r="H349" s="1823">
        <f>H7+H183+H300+H343</f>
        <v>6794987104</v>
      </c>
      <c r="I349" s="1823">
        <f>I7+I183+I300+I343</f>
        <v>761894861</v>
      </c>
      <c r="J349" s="1823">
        <f>J7+J183+J300+J343</f>
        <v>228496611</v>
      </c>
      <c r="K349" s="1823">
        <f>K7+K183+K300+K343</f>
        <v>44937200</v>
      </c>
      <c r="L349" s="1524">
        <f>SUM(L346,L343,L300,L183,L7)</f>
        <v>7830315776</v>
      </c>
      <c r="N349" s="1525">
        <f t="shared" ref="N349:S349" si="51">SUM(N346,N343,N300,N183,N7)</f>
        <v>0</v>
      </c>
      <c r="O349" s="1523">
        <f t="shared" si="51"/>
        <v>0</v>
      </c>
      <c r="P349" s="1523">
        <f t="shared" si="51"/>
        <v>0</v>
      </c>
      <c r="Q349" s="1523">
        <f t="shared" si="51"/>
        <v>0</v>
      </c>
      <c r="R349" s="1523">
        <f t="shared" si="51"/>
        <v>0</v>
      </c>
      <c r="S349" s="1524">
        <f t="shared" si="51"/>
        <v>0</v>
      </c>
      <c r="U349" s="1526">
        <f>SUM(U346,U343,U300,U183,U7)</f>
        <v>7830315776</v>
      </c>
      <c r="V349" s="1359" t="b">
        <f>U349=U300+U183+U7+U345</f>
        <v>1</v>
      </c>
    </row>
    <row r="350" spans="3:23" ht="18" customHeight="1">
      <c r="C350" s="1359">
        <v>1</v>
      </c>
      <c r="D350" s="1520" t="s">
        <v>1326</v>
      </c>
      <c r="E350" s="1521" t="s">
        <v>1326</v>
      </c>
      <c r="F350" s="1522"/>
      <c r="G350" s="1521" t="s">
        <v>1327</v>
      </c>
      <c r="H350" s="1823">
        <v>128867438712</v>
      </c>
      <c r="I350" s="1823">
        <v>258378537</v>
      </c>
      <c r="J350" s="1823">
        <v>22545179</v>
      </c>
      <c r="K350" s="1823">
        <v>2870282092</v>
      </c>
      <c r="L350" s="1524">
        <f>L351</f>
        <v>132018644520</v>
      </c>
      <c r="N350" s="1525">
        <f t="shared" ref="N350:S351" si="52">N351</f>
        <v>0</v>
      </c>
      <c r="O350" s="1523">
        <f t="shared" si="52"/>
        <v>0</v>
      </c>
      <c r="P350" s="1523">
        <f t="shared" si="52"/>
        <v>0</v>
      </c>
      <c r="Q350" s="1523">
        <f t="shared" si="52"/>
        <v>0</v>
      </c>
      <c r="R350" s="1523">
        <f t="shared" si="52"/>
        <v>0</v>
      </c>
      <c r="S350" s="1524">
        <f t="shared" si="52"/>
        <v>0</v>
      </c>
      <c r="U350" s="1526">
        <f>U351</f>
        <v>132018644520</v>
      </c>
    </row>
    <row r="351" spans="3:23" ht="18" customHeight="1">
      <c r="C351" s="1359">
        <v>1</v>
      </c>
      <c r="D351" s="1520" t="s">
        <v>1328</v>
      </c>
      <c r="E351" s="1521" t="s">
        <v>1328</v>
      </c>
      <c r="F351" s="1522"/>
      <c r="G351" s="1521" t="s">
        <v>1327</v>
      </c>
      <c r="H351" s="1823">
        <v>128867438712</v>
      </c>
      <c r="I351" s="1823">
        <v>258378537</v>
      </c>
      <c r="J351" s="1823">
        <v>22545179</v>
      </c>
      <c r="K351" s="1823">
        <v>2870282092</v>
      </c>
      <c r="L351" s="1524">
        <f>L352</f>
        <v>132018644520</v>
      </c>
      <c r="N351" s="1525">
        <f t="shared" si="52"/>
        <v>0</v>
      </c>
      <c r="O351" s="1523">
        <f t="shared" si="52"/>
        <v>0</v>
      </c>
      <c r="P351" s="1523">
        <f t="shared" si="52"/>
        <v>0</v>
      </c>
      <c r="Q351" s="1523">
        <f t="shared" si="52"/>
        <v>0</v>
      </c>
      <c r="R351" s="1523">
        <f t="shared" si="52"/>
        <v>0</v>
      </c>
      <c r="S351" s="1524">
        <f t="shared" si="52"/>
        <v>0</v>
      </c>
      <c r="U351" s="1526">
        <f>U352</f>
        <v>132018644520</v>
      </c>
    </row>
    <row r="352" spans="3:23" ht="18" customHeight="1">
      <c r="C352" s="1359">
        <v>1</v>
      </c>
      <c r="D352" s="1527" t="s">
        <v>1329</v>
      </c>
      <c r="E352" s="1501" t="s">
        <v>1329</v>
      </c>
      <c r="F352" s="1528"/>
      <c r="G352" s="1501" t="s">
        <v>1330</v>
      </c>
      <c r="H352" s="1825">
        <v>128867438712</v>
      </c>
      <c r="I352" s="1826">
        <v>258378537</v>
      </c>
      <c r="J352" s="1826">
        <v>22545179</v>
      </c>
      <c r="K352" s="1826">
        <v>2870282092</v>
      </c>
      <c r="L352" s="1530">
        <f>SUM(H352:K352)</f>
        <v>132018644520</v>
      </c>
      <c r="N352" s="1531">
        <f>SUMIF('CF.2'!$H$5:$H$25,'CF.1'!E352,'CF.2'!$J$5:$J$25)-SUMIF('CF.2'!$K$5:$K$25,'CF.1'!E352,'CF.2'!$M$5:$M$25)</f>
        <v>0</v>
      </c>
      <c r="O352" s="1529">
        <f>SUMIF('CF.2'!$H$31:$H$60,'CF.1'!E352,'CF.2'!$J$31:$J$60)+SUMIF('CF.2'!$K$31:$K$60,'CF.1'!E352,'CF.2'!$M$31:$M$60)</f>
        <v>0</v>
      </c>
      <c r="P352" s="1529">
        <f>SUMIF('CF.2'!$H$65:$H$108,'CF.1'!E352,'CF.2'!$J$65:$J$108)+SUMIF('CF.2'!$K$65:$K$108,'CF.1'!E352,'CF.2'!$M$65:$M$108)</f>
        <v>0</v>
      </c>
      <c r="Q352" s="1529">
        <f>SUMIF('CF.2'!$H$112:$H$118,'CF.1'!E352,'CF.2'!$J$112:$J$118)+SUMIF('CF.2'!$K$112:$K$118,'CF.1'!E352,'CF.2'!$M$112:$M$118)</f>
        <v>0</v>
      </c>
      <c r="R352" s="1529">
        <f>SUMIF('CF.2'!$H$123:$H$134,'CF.1'!E352,'CF.2'!$J$123:$J$134)+SUMIF('CF.2'!$K$123:$K$134,'CF.1'!E352,'CF.2'!$M$123:$M$134)</f>
        <v>0</v>
      </c>
      <c r="S352" s="1530">
        <f>SUM(N352:R352)</f>
        <v>0</v>
      </c>
      <c r="U352" s="1551">
        <f>S352+L352</f>
        <v>132018644520</v>
      </c>
      <c r="W352" s="1359" t="b">
        <f>'BS(공)'!I8='CF.1'!U352</f>
        <v>1</v>
      </c>
    </row>
    <row r="353" spans="3:23" ht="18" customHeight="1">
      <c r="C353" s="1359">
        <v>1</v>
      </c>
      <c r="D353" s="1520" t="s">
        <v>1331</v>
      </c>
      <c r="E353" s="1521" t="s">
        <v>1331</v>
      </c>
      <c r="F353" s="1522"/>
      <c r="G353" s="1521" t="s">
        <v>1332</v>
      </c>
      <c r="H353" s="1823">
        <v>135662425816</v>
      </c>
      <c r="I353" s="1823">
        <v>1020273398</v>
      </c>
      <c r="J353" s="1823">
        <v>251041790</v>
      </c>
      <c r="K353" s="1823">
        <v>2915219292</v>
      </c>
      <c r="L353" s="1524">
        <f>L354</f>
        <v>139848960296</v>
      </c>
      <c r="N353" s="1525">
        <f t="shared" ref="N353:S354" si="53">N354</f>
        <v>5488882859</v>
      </c>
      <c r="O353" s="1523">
        <f t="shared" si="53"/>
        <v>0</v>
      </c>
      <c r="P353" s="1523">
        <f t="shared" si="53"/>
        <v>0</v>
      </c>
      <c r="Q353" s="1523">
        <f t="shared" si="53"/>
        <v>0</v>
      </c>
      <c r="R353" s="1523">
        <f t="shared" si="53"/>
        <v>0</v>
      </c>
      <c r="S353" s="1524">
        <f t="shared" si="53"/>
        <v>5488882859</v>
      </c>
      <c r="U353" s="1526">
        <f>U354</f>
        <v>145337843155</v>
      </c>
    </row>
    <row r="354" spans="3:23" ht="18" customHeight="1">
      <c r="C354" s="1359">
        <v>1</v>
      </c>
      <c r="D354" s="1520" t="s">
        <v>1333</v>
      </c>
      <c r="E354" s="1521" t="s">
        <v>1333</v>
      </c>
      <c r="F354" s="1522"/>
      <c r="G354" s="1521" t="s">
        <v>1332</v>
      </c>
      <c r="H354" s="1823">
        <v>135662425816</v>
      </c>
      <c r="I354" s="1823">
        <v>1020273398</v>
      </c>
      <c r="J354" s="1823">
        <v>251041790</v>
      </c>
      <c r="K354" s="1823">
        <v>2915219292</v>
      </c>
      <c r="L354" s="1524">
        <f>L355</f>
        <v>139848960296</v>
      </c>
      <c r="N354" s="1525">
        <f t="shared" si="53"/>
        <v>5488882859</v>
      </c>
      <c r="O354" s="1523">
        <f t="shared" si="53"/>
        <v>0</v>
      </c>
      <c r="P354" s="1523">
        <f t="shared" si="53"/>
        <v>0</v>
      </c>
      <c r="Q354" s="1523">
        <f t="shared" si="53"/>
        <v>0</v>
      </c>
      <c r="R354" s="1523">
        <f t="shared" si="53"/>
        <v>0</v>
      </c>
      <c r="S354" s="1524">
        <f t="shared" si="53"/>
        <v>5488882859</v>
      </c>
      <c r="U354" s="1526">
        <f>U355</f>
        <v>145337843155</v>
      </c>
    </row>
    <row r="355" spans="3:23" ht="18" customHeight="1">
      <c r="C355" s="1359">
        <v>1</v>
      </c>
      <c r="D355" s="1527" t="s">
        <v>1334</v>
      </c>
      <c r="E355" s="1501" t="s">
        <v>1334</v>
      </c>
      <c r="F355" s="1528"/>
      <c r="G355" s="1501" t="s">
        <v>1335</v>
      </c>
      <c r="H355" s="1825">
        <v>135662425816</v>
      </c>
      <c r="I355" s="1826">
        <v>1020273398</v>
      </c>
      <c r="J355" s="1826">
        <v>251041790</v>
      </c>
      <c r="K355" s="1826">
        <v>2915219292</v>
      </c>
      <c r="L355" s="1530">
        <f>SUM(H355:K355)</f>
        <v>139848960296</v>
      </c>
      <c r="N355" s="1531">
        <f>SUMIF('CF.2'!$H$5:$H$25,'CF.1'!E355,'CF.2'!$J$5:$J$25)-SUMIF('CF.2'!$K$5:$K$25,'CF.1'!E355,'CF.2'!$M$5:$M$25)</f>
        <v>5488882859</v>
      </c>
      <c r="O355" s="1529">
        <f>SUMIF('CF.2'!$H$31:$H$60,'CF.1'!E355,'CF.2'!$J$31:$J$60)+SUMIF('CF.2'!$K$31:$K$60,'CF.1'!E355,'CF.2'!$M$31:$M$60)</f>
        <v>0</v>
      </c>
      <c r="P355" s="1529">
        <f>SUMIF('CF.2'!$H$65:$H$108,'CF.1'!E355,'CF.2'!$J$65:$J$108)+SUMIF('CF.2'!$K$65:$K$108,'CF.1'!E355,'CF.2'!$M$65:$M$108)</f>
        <v>0</v>
      </c>
      <c r="Q355" s="1529">
        <f>SUMIF('CF.2'!$H$112:$H$118,'CF.1'!E355,'CF.2'!$J$112:$J$118)+SUMIF('CF.2'!$K$112:$K$118,'CF.1'!E355,'CF.2'!$M$112:$M$118)</f>
        <v>0</v>
      </c>
      <c r="R355" s="1529">
        <f>SUMIF('CF.2'!$H$123:$H$134,'CF.1'!E355,'CF.2'!$J$123:$J$134)+SUMIF('CF.2'!$K$123:$K$134,'CF.1'!E355,'CF.2'!$M$123:$M$134)</f>
        <v>0</v>
      </c>
      <c r="S355" s="1530">
        <f>SUM(N355:R355)</f>
        <v>5488882859</v>
      </c>
      <c r="U355" s="1551">
        <f>S355+L355</f>
        <v>145337843155</v>
      </c>
      <c r="W355" s="509" t="b">
        <f>T_BS!X8-U355=0</f>
        <v>0</v>
      </c>
    </row>
    <row r="356" spans="3:23" ht="18" customHeight="1">
      <c r="C356" s="1359">
        <v>1</v>
      </c>
      <c r="D356" s="1520" t="s">
        <v>1336</v>
      </c>
      <c r="E356" s="1521" t="s">
        <v>1336</v>
      </c>
      <c r="F356" s="1522"/>
      <c r="G356" s="1521" t="s">
        <v>1337</v>
      </c>
      <c r="H356" s="1823">
        <v>0</v>
      </c>
      <c r="I356" s="1823">
        <v>0</v>
      </c>
      <c r="J356" s="1823">
        <v>0</v>
      </c>
      <c r="K356" s="1823">
        <v>0</v>
      </c>
      <c r="L356" s="1524">
        <f>L357</f>
        <v>0</v>
      </c>
      <c r="N356" s="1525"/>
      <c r="O356" s="1523"/>
      <c r="P356" s="1523"/>
      <c r="Q356" s="1523"/>
      <c r="R356" s="1523"/>
      <c r="S356" s="1524"/>
      <c r="U356" s="1526"/>
    </row>
    <row r="357" spans="3:23" ht="18" customHeight="1">
      <c r="C357" s="1359">
        <v>1</v>
      </c>
      <c r="D357" s="1520" t="s">
        <v>1338</v>
      </c>
      <c r="E357" s="1521" t="s">
        <v>1338</v>
      </c>
      <c r="F357" s="1522"/>
      <c r="G357" s="1521" t="s">
        <v>1337</v>
      </c>
      <c r="H357" s="1823">
        <v>0</v>
      </c>
      <c r="I357" s="1823">
        <v>0</v>
      </c>
      <c r="J357" s="1823">
        <v>0</v>
      </c>
      <c r="K357" s="1823">
        <v>0</v>
      </c>
      <c r="L357" s="1524">
        <f>L358</f>
        <v>0</v>
      </c>
      <c r="N357" s="1525"/>
      <c r="O357" s="1523"/>
      <c r="P357" s="1523"/>
      <c r="Q357" s="1523"/>
      <c r="R357" s="1523"/>
      <c r="S357" s="1524"/>
      <c r="U357" s="1526"/>
    </row>
    <row r="358" spans="3:23" ht="18" customHeight="1" thickBot="1">
      <c r="C358" s="1359">
        <v>1</v>
      </c>
      <c r="D358" s="1552" t="s">
        <v>1339</v>
      </c>
      <c r="E358" s="1553" t="s">
        <v>1339</v>
      </c>
      <c r="F358" s="1554"/>
      <c r="G358" s="1553" t="s">
        <v>1340</v>
      </c>
      <c r="H358" s="1555">
        <f>H355-H352-H349</f>
        <v>0</v>
      </c>
      <c r="I358" s="1555">
        <f>I355-I352-I349</f>
        <v>0</v>
      </c>
      <c r="J358" s="1555">
        <f>J355-J352-J349</f>
        <v>0</v>
      </c>
      <c r="K358" s="1555">
        <f>K355-K352-K349</f>
        <v>0</v>
      </c>
      <c r="L358" s="1555">
        <f>L355-L352-L349</f>
        <v>0</v>
      </c>
      <c r="M358" s="1556"/>
      <c r="N358" s="1557"/>
      <c r="O358" s="1558"/>
      <c r="P358" s="1558">
        <f>SUMIF('CF.2'!$H$65:$H$108,'CF.1'!E358,'CF.2'!$J$65:$J$108)+SUMIF('CF.2'!$K$65:$K$108,'CF.1'!E358,'CF.2'!$M$65:$M$108)</f>
        <v>0</v>
      </c>
      <c r="Q358" s="1558">
        <f>SUMIF('CF.2'!$H$112:$H$118,'CF.1'!E358,'CF.2'!$J$112:$J$118)+SUMIF('CF.2'!$K$112:$K$118,'CF.1'!E358,'CF.2'!$M$112:$M$118)</f>
        <v>0</v>
      </c>
      <c r="R358" s="1558">
        <f>SUMIF('CF.2'!$H$123:$H$134,'CF.1'!E358,'CF.2'!$J$123:$J$134)+SUMIF('CF.2'!$K$123:$K$134,'CF.1'!E358,'CF.2'!$M$123:$M$134)</f>
        <v>0</v>
      </c>
      <c r="S358" s="1559">
        <f>SUM(N358:R358)</f>
        <v>0</v>
      </c>
      <c r="U358" s="1560">
        <f>S358+L358</f>
        <v>0</v>
      </c>
    </row>
    <row r="359" spans="3:23" ht="18" customHeight="1" thickBot="1"/>
    <row r="360" spans="3:23" ht="18" customHeight="1">
      <c r="D360" s="1561"/>
      <c r="E360" s="1562"/>
      <c r="F360" s="1563"/>
      <c r="G360" s="1562" t="s">
        <v>1387</v>
      </c>
      <c r="H360" s="1564">
        <f t="shared" ref="H360:U360" si="54">H7</f>
        <v>10227486497</v>
      </c>
      <c r="I360" s="1564">
        <f t="shared" si="54"/>
        <v>415982576</v>
      </c>
      <c r="J360" s="1564">
        <f t="shared" si="54"/>
        <v>210069630</v>
      </c>
      <c r="K360" s="1564">
        <f t="shared" si="54"/>
        <v>41575283</v>
      </c>
      <c r="L360" s="1564">
        <f t="shared" si="54"/>
        <v>10895113986</v>
      </c>
      <c r="M360" s="1564">
        <f t="shared" si="54"/>
        <v>0</v>
      </c>
      <c r="N360" s="1564">
        <f t="shared" si="54"/>
        <v>0</v>
      </c>
      <c r="O360" s="1564">
        <f t="shared" si="54"/>
        <v>0</v>
      </c>
      <c r="P360" s="1564">
        <f t="shared" si="54"/>
        <v>0</v>
      </c>
      <c r="Q360" s="1564">
        <f t="shared" si="54"/>
        <v>0</v>
      </c>
      <c r="R360" s="1564">
        <f t="shared" si="54"/>
        <v>216671</v>
      </c>
      <c r="S360" s="1564">
        <f t="shared" si="54"/>
        <v>216671</v>
      </c>
      <c r="T360" s="1564">
        <f t="shared" si="54"/>
        <v>0</v>
      </c>
      <c r="U360" s="1565">
        <f t="shared" si="54"/>
        <v>10895330657</v>
      </c>
    </row>
    <row r="361" spans="3:23" ht="18" customHeight="1">
      <c r="D361" s="1566"/>
      <c r="G361" s="1359" t="s">
        <v>1388</v>
      </c>
      <c r="H361" s="1356">
        <f t="shared" ref="H361:U361" si="55">H183</f>
        <v>-3089831484</v>
      </c>
      <c r="I361" s="1356">
        <f t="shared" si="55"/>
        <v>-13228181</v>
      </c>
      <c r="J361" s="1356">
        <f t="shared" si="55"/>
        <v>0</v>
      </c>
      <c r="K361" s="1356">
        <f t="shared" si="55"/>
        <v>283852636</v>
      </c>
      <c r="L361" s="1356">
        <f t="shared" si="55"/>
        <v>-2819207029</v>
      </c>
      <c r="M361" s="1356">
        <f t="shared" si="55"/>
        <v>0</v>
      </c>
      <c r="N361" s="1356">
        <f t="shared" si="55"/>
        <v>0</v>
      </c>
      <c r="O361" s="1356">
        <f t="shared" si="55"/>
        <v>0</v>
      </c>
      <c r="P361" s="1356">
        <f t="shared" si="55"/>
        <v>499950000</v>
      </c>
      <c r="Q361" s="1356">
        <f t="shared" si="55"/>
        <v>0</v>
      </c>
      <c r="R361" s="1356">
        <f t="shared" si="55"/>
        <v>-216671</v>
      </c>
      <c r="S361" s="1356">
        <f t="shared" si="55"/>
        <v>499733329</v>
      </c>
      <c r="T361" s="1356">
        <f t="shared" si="55"/>
        <v>0</v>
      </c>
      <c r="U361" s="1567">
        <f t="shared" si="55"/>
        <v>-2319473700</v>
      </c>
    </row>
    <row r="362" spans="3:23" ht="18" customHeight="1" thickBot="1">
      <c r="D362" s="1568"/>
      <c r="E362" s="1569"/>
      <c r="F362" s="1570"/>
      <c r="G362" s="1569" t="s">
        <v>1389</v>
      </c>
      <c r="H362" s="1571">
        <f>H300</f>
        <v>-1749635971</v>
      </c>
      <c r="I362" s="1571">
        <f>I300</f>
        <v>359140466</v>
      </c>
      <c r="J362" s="1571">
        <f>J300</f>
        <v>-11628798</v>
      </c>
      <c r="K362" s="1571">
        <f>K300</f>
        <v>-177767642</v>
      </c>
      <c r="L362" s="1571">
        <f>L300</f>
        <v>-1579891945</v>
      </c>
      <c r="M362" s="1571">
        <f t="shared" ref="M362:U362" si="56">M300</f>
        <v>0</v>
      </c>
      <c r="N362" s="1571">
        <f t="shared" si="56"/>
        <v>0</v>
      </c>
      <c r="O362" s="1571">
        <f t="shared" si="56"/>
        <v>0</v>
      </c>
      <c r="P362" s="1571">
        <f t="shared" si="56"/>
        <v>-499950000</v>
      </c>
      <c r="Q362" s="1571">
        <f t="shared" si="56"/>
        <v>0</v>
      </c>
      <c r="R362" s="1571">
        <f t="shared" si="56"/>
        <v>0</v>
      </c>
      <c r="S362" s="1571">
        <f t="shared" si="56"/>
        <v>-499950000</v>
      </c>
      <c r="T362" s="1571">
        <f t="shared" si="56"/>
        <v>0</v>
      </c>
      <c r="U362" s="1572">
        <f t="shared" si="56"/>
        <v>-2079841945</v>
      </c>
    </row>
    <row r="364" spans="3:23" ht="18" customHeight="1" thickBot="1"/>
    <row r="365" spans="3:23" ht="17.25" customHeight="1">
      <c r="D365" s="1561"/>
      <c r="E365" s="1562"/>
      <c r="F365" s="1563"/>
      <c r="G365" s="1562" t="s">
        <v>302</v>
      </c>
      <c r="H365" s="1564">
        <f>H15-SUM(T_IS!H69)</f>
        <v>-3668359</v>
      </c>
      <c r="I365" s="1564">
        <f>I15-SUM(T_IS!I69)</f>
        <v>0</v>
      </c>
      <c r="J365" s="1564">
        <f>J15-SUM(T_IS!J69)</f>
        <v>0</v>
      </c>
      <c r="K365" s="1564">
        <f>K15-SUM(T_IS!K69)</f>
        <v>0</v>
      </c>
      <c r="L365" s="1564">
        <f>L15-SUM(T_IS!L69)</f>
        <v>-3668359</v>
      </c>
      <c r="M365" s="1562"/>
      <c r="N365" s="1564"/>
      <c r="O365" s="1564"/>
      <c r="P365" s="1564"/>
      <c r="Q365" s="1564"/>
      <c r="R365" s="1564"/>
      <c r="S365" s="1564"/>
      <c r="T365" s="1562"/>
      <c r="U365" s="1565">
        <f>U15-T_IS!X69</f>
        <v>-3668359</v>
      </c>
    </row>
    <row r="366" spans="3:23" ht="17.25" customHeight="1">
      <c r="D366" s="1566"/>
      <c r="E366" s="1359" t="s">
        <v>2204</v>
      </c>
      <c r="F366" s="1573">
        <v>480039560</v>
      </c>
      <c r="G366" s="1272" t="s">
        <v>488</v>
      </c>
      <c r="H366" s="1356">
        <f>H11-SUM(T_IS!H47:H52)+H12</f>
        <v>-371969812</v>
      </c>
      <c r="I366" s="1356">
        <f>I11-SUM(T_IS!I47:I52)+I12</f>
        <v>-49360439</v>
      </c>
      <c r="J366" s="926">
        <f>J11-SUM(T_IS!J47:J52)+J12</f>
        <v>-4669395</v>
      </c>
      <c r="K366" s="1356">
        <f>K11-SUM(T_IS!K47:K52)+K12</f>
        <v>-91036395</v>
      </c>
      <c r="L366" s="1356">
        <f>L11-SUM(T_IS!L47:L52)-F366+L12</f>
        <v>-997075601</v>
      </c>
      <c r="U366" s="1567"/>
    </row>
    <row r="367" spans="3:23" ht="18" customHeight="1">
      <c r="D367" s="1566"/>
      <c r="G367" s="1254" t="s">
        <v>386</v>
      </c>
      <c r="H367" s="1356">
        <f>H13-T_IS!H53</f>
        <v>-1150490909</v>
      </c>
      <c r="I367" s="1356">
        <f>I13-T_IS!I53</f>
        <v>-449182</v>
      </c>
      <c r="J367" s="1356">
        <f>J13-T_IS!J53</f>
        <v>0</v>
      </c>
      <c r="K367" s="926">
        <f>K13-T_IS!K53</f>
        <v>-3592682</v>
      </c>
      <c r="L367" s="926">
        <f>L13-T_IS!L53</f>
        <v>-1154532773</v>
      </c>
      <c r="U367" s="1567"/>
    </row>
    <row r="368" spans="3:23" ht="18" customHeight="1">
      <c r="D368" s="1566"/>
      <c r="G368" s="1359" t="s">
        <v>683</v>
      </c>
      <c r="H368" s="1356">
        <f>H16-SUM(T_IS!H95:H96)</f>
        <v>-315615397</v>
      </c>
      <c r="I368" s="1356">
        <f>I16-SUM(T_IS!I95:I96)</f>
        <v>0</v>
      </c>
      <c r="J368" s="1356">
        <f>J16-SUM(T_IS!J95:J96)</f>
        <v>0</v>
      </c>
      <c r="K368" s="1356">
        <f>K16-SUM(T_IS!K95:K96)</f>
        <v>0</v>
      </c>
      <c r="L368" s="1356">
        <f>L16-SUM(T_IS!L95:L96)</f>
        <v>-315615397</v>
      </c>
      <c r="M368" s="1356"/>
      <c r="U368" s="1567">
        <f>U16-SUM(T_IS!X95:X96)</f>
        <v>-315615397</v>
      </c>
    </row>
    <row r="369" spans="4:21" ht="18" customHeight="1">
      <c r="D369" s="1566"/>
      <c r="G369" s="1359" t="s">
        <v>707</v>
      </c>
      <c r="H369" s="1356">
        <f>H18-SUM(T_IS!H97)</f>
        <v>-1289460530</v>
      </c>
      <c r="I369" s="1356">
        <f>I18-SUM(T_IS!I97)</f>
        <v>0</v>
      </c>
      <c r="J369" s="1356">
        <f>J18-SUM(T_IS!J97)</f>
        <v>0</v>
      </c>
      <c r="K369" s="1356">
        <f>K18-SUM(T_IS!K97)</f>
        <v>0</v>
      </c>
      <c r="L369" s="1356">
        <f>L18-SUM(T_IS!L97)</f>
        <v>-1289460530</v>
      </c>
      <c r="M369" s="1356"/>
      <c r="U369" s="1567">
        <f>U18-T_IS!X97</f>
        <v>-1289460530</v>
      </c>
    </row>
    <row r="370" spans="4:21" ht="18" customHeight="1">
      <c r="D370" s="1566"/>
      <c r="G370" s="1359" t="s">
        <v>687</v>
      </c>
      <c r="H370" s="1356">
        <f>H30-SUM(T_IS!H109)</f>
        <v>0</v>
      </c>
      <c r="I370" s="1356">
        <f>I30-SUM(T_IS!I109)</f>
        <v>0</v>
      </c>
      <c r="J370" s="1356">
        <f>J30-SUM(T_IS!J109)</f>
        <v>0</v>
      </c>
      <c r="K370" s="1356">
        <f>K30-SUM(T_IS!K109)</f>
        <v>-15469511</v>
      </c>
      <c r="L370" s="1356">
        <f>L30-SUM(T_IS!L109)</f>
        <v>-15469511</v>
      </c>
      <c r="U370" s="1567">
        <f>U30-T_IS!X109</f>
        <v>-15469511</v>
      </c>
    </row>
    <row r="371" spans="4:21" ht="18" customHeight="1">
      <c r="D371" s="1566"/>
      <c r="G371" s="1359" t="s">
        <v>481</v>
      </c>
      <c r="H371" s="1356">
        <f>H33-T_IS!H116</f>
        <v>0</v>
      </c>
      <c r="I371" s="1356">
        <f>I33-T_IS!I116</f>
        <v>0</v>
      </c>
      <c r="J371" s="1356">
        <f>J33-T_IS!J116</f>
        <v>0</v>
      </c>
      <c r="K371" s="1356">
        <f>K33-T_IS!K116</f>
        <v>0</v>
      </c>
      <c r="L371" s="1356">
        <f>L33-T_IS!L116</f>
        <v>0</v>
      </c>
      <c r="U371" s="1567">
        <f>U33-T_IS!X116</f>
        <v>0</v>
      </c>
    </row>
    <row r="372" spans="4:21" ht="18" customHeight="1">
      <c r="D372" s="1566"/>
      <c r="G372" s="1359" t="s">
        <v>686</v>
      </c>
      <c r="H372" s="1356">
        <f>H34-T_IS!H108</f>
        <v>-924041877</v>
      </c>
      <c r="I372" s="1356">
        <f>I34-T_IS!I108</f>
        <v>0</v>
      </c>
      <c r="J372" s="1356">
        <f>J34-T_IS!J108</f>
        <v>0</v>
      </c>
      <c r="K372" s="1356">
        <f>K34-T_IS!K108</f>
        <v>0</v>
      </c>
      <c r="L372" s="1356">
        <f>L34-T_IS!L108</f>
        <v>-924041877</v>
      </c>
      <c r="U372" s="1567">
        <f>U34-T_IS!X108</f>
        <v>-943884677</v>
      </c>
    </row>
    <row r="373" spans="4:21" ht="18" customHeight="1">
      <c r="D373" s="1566"/>
      <c r="G373" s="1359" t="s">
        <v>681</v>
      </c>
      <c r="H373" s="1356">
        <f>H62-SUM(T_IS!H88:H91)</f>
        <v>-22109344</v>
      </c>
      <c r="I373" s="1356">
        <f>I62-SUM(T_IS!I88:I91)</f>
        <v>-1832908</v>
      </c>
      <c r="J373" s="1356">
        <f>J62-SUM(T_IS!J88:J91)</f>
        <v>-835893</v>
      </c>
      <c r="K373" s="1356">
        <f>K62-SUM(T_IS!K88:K91)</f>
        <v>-11553747</v>
      </c>
      <c r="L373" s="1356">
        <f>L62-SUM(T_IS!L88:L91)</f>
        <v>-36331892</v>
      </c>
      <c r="U373" s="1567">
        <f>U62-SUM(T_IS!X88:X91)</f>
        <v>-36331892</v>
      </c>
    </row>
    <row r="374" spans="4:21" ht="18" customHeight="1">
      <c r="D374" s="1566"/>
      <c r="G374" s="1359" t="s">
        <v>380</v>
      </c>
      <c r="H374" s="1356">
        <f>H63-SUM(T_IS!H126)</f>
        <v>167561725</v>
      </c>
      <c r="I374" s="1356">
        <f>I63-SUM(T_IS!I126)</f>
        <v>0</v>
      </c>
      <c r="J374" s="1356">
        <f>J63-SUM(T_IS!J126)</f>
        <v>0</v>
      </c>
      <c r="K374" s="1356">
        <f>K63-SUM(T_IS!K126)</f>
        <v>21982</v>
      </c>
      <c r="L374" s="1356">
        <f>L63-SUM(T_IS!L126)</f>
        <v>167583707</v>
      </c>
      <c r="U374" s="1567">
        <f>U63-SUM(T_IS!X126)</f>
        <v>167583707</v>
      </c>
    </row>
    <row r="375" spans="4:21" ht="18" customHeight="1">
      <c r="D375" s="1566"/>
      <c r="G375" s="1359" t="s">
        <v>673</v>
      </c>
      <c r="H375" s="926">
        <f>H111+SUM(T_IS!H77:H78)</f>
        <v>1130811821</v>
      </c>
      <c r="I375" s="926">
        <f>I111+SUM(T_IS!I77:I78)</f>
        <v>1860619</v>
      </c>
      <c r="J375" s="926">
        <f>J111+SUM(T_IS!J77:J78)</f>
        <v>1709072</v>
      </c>
      <c r="K375" s="926">
        <f>K111+SUM(T_IS!K77:K78)</f>
        <v>13842253</v>
      </c>
      <c r="L375" s="926">
        <f>L111+SUM(T_IS!L77:L78)</f>
        <v>1148223765</v>
      </c>
      <c r="U375" s="1567">
        <f>U111+SUM(T_IS!X77:X78)</f>
        <v>1148223765</v>
      </c>
    </row>
    <row r="376" spans="4:21" ht="18" customHeight="1">
      <c r="D376" s="1566"/>
      <c r="G376" s="1359" t="s">
        <v>675</v>
      </c>
      <c r="H376" s="1356">
        <f>H76+SUM(T_IS!H82:H83)</f>
        <v>-1444600029</v>
      </c>
      <c r="I376" s="1356">
        <f>I76+SUM(T_IS!I82:I83)</f>
        <v>0</v>
      </c>
      <c r="J376" s="1356">
        <f>J76+SUM(T_IS!J82:J83)</f>
        <v>0</v>
      </c>
      <c r="K376" s="1356">
        <f>K76+SUM(T_IS!K82:K83)</f>
        <v>0</v>
      </c>
      <c r="L376" s="1356">
        <f>L76+SUM(T_IS!L82:L83)</f>
        <v>-1444600029</v>
      </c>
      <c r="U376" s="1567">
        <f>U76+SUM(T_IS!X82:X83)</f>
        <v>-1444600029</v>
      </c>
    </row>
    <row r="377" spans="4:21" ht="18" customHeight="1">
      <c r="D377" s="1566"/>
      <c r="G377" s="1359" t="s">
        <v>808</v>
      </c>
      <c r="H377" s="1356">
        <f>H116+SUM(T_IS!H86)</f>
        <v>0</v>
      </c>
      <c r="I377" s="1356">
        <f>I116+SUM(T_IS!I86)</f>
        <v>0</v>
      </c>
      <c r="J377" s="1356">
        <f>J116+SUM(T_IS!J86)</f>
        <v>0</v>
      </c>
      <c r="K377" s="1356">
        <f>K116+SUM(T_IS!K86)</f>
        <v>0</v>
      </c>
      <c r="L377" s="1356">
        <f>L116+SUM(T_IS!L86)</f>
        <v>0</v>
      </c>
      <c r="U377" s="1567">
        <f>U116+SUM(T_IS!X86)</f>
        <v>0</v>
      </c>
    </row>
    <row r="378" spans="4:21" ht="18" customHeight="1">
      <c r="D378" s="1566"/>
      <c r="G378" s="1359" t="s">
        <v>810</v>
      </c>
      <c r="H378" s="1356">
        <f>H115+T_IS!H84</f>
        <v>1479841187</v>
      </c>
      <c r="I378" s="1356">
        <f>I115+T_IS!I84</f>
        <v>0</v>
      </c>
      <c r="J378" s="1356">
        <f>J115+T_IS!J84</f>
        <v>0</v>
      </c>
      <c r="K378" s="1356">
        <f>K115+T_IS!K84</f>
        <v>0</v>
      </c>
      <c r="L378" s="1356">
        <f>L115+T_IS!L84</f>
        <v>1479841187</v>
      </c>
      <c r="U378" s="1567">
        <f>U115+T_IS!X84</f>
        <v>1479841187</v>
      </c>
    </row>
    <row r="379" spans="4:21" ht="18" customHeight="1">
      <c r="D379" s="1566"/>
      <c r="G379" s="1359" t="s">
        <v>816</v>
      </c>
      <c r="H379" s="1356">
        <f>H81+T_IS!H119</f>
        <v>0</v>
      </c>
      <c r="I379" s="1356">
        <f>I81+T_IS!I119</f>
        <v>0</v>
      </c>
      <c r="J379" s="1356">
        <f>J81+T_IS!J119</f>
        <v>0</v>
      </c>
      <c r="K379" s="1356">
        <f>K81+T_IS!K119</f>
        <v>0</v>
      </c>
      <c r="L379" s="1356">
        <f>L81+T_IS!L119</f>
        <v>0</v>
      </c>
      <c r="U379" s="1567">
        <f>U81+T_IS!X119</f>
        <v>0</v>
      </c>
    </row>
    <row r="380" spans="4:21" ht="18" customHeight="1">
      <c r="D380" s="1566"/>
      <c r="G380" s="1359" t="s">
        <v>678</v>
      </c>
      <c r="H380" s="1356">
        <f>H90+T_IS!H102</f>
        <v>1180818</v>
      </c>
      <c r="I380" s="1356">
        <f>I90+T_IS!I102</f>
        <v>0</v>
      </c>
      <c r="J380" s="1356">
        <f>J90+T_IS!J102</f>
        <v>0</v>
      </c>
      <c r="K380" s="1356">
        <f>K90+T_IS!K102</f>
        <v>290548</v>
      </c>
      <c r="L380" s="1356">
        <f>L90+T_IS!L102</f>
        <v>1471366</v>
      </c>
      <c r="U380" s="1567">
        <f>U90+T_IS!X102</f>
        <v>1471366</v>
      </c>
    </row>
    <row r="381" spans="4:21" ht="18" customHeight="1" thickBot="1">
      <c r="D381" s="1568"/>
      <c r="E381" s="1569"/>
      <c r="F381" s="1570"/>
      <c r="G381" s="1569" t="s">
        <v>679</v>
      </c>
      <c r="H381" s="1571">
        <f>H92+T_IS!H103</f>
        <v>0</v>
      </c>
      <c r="I381" s="1571">
        <f>I92+T_IS!I103</f>
        <v>0</v>
      </c>
      <c r="J381" s="1571">
        <f>J92+T_IS!J103</f>
        <v>0</v>
      </c>
      <c r="K381" s="1571">
        <f>K92+T_IS!K103</f>
        <v>0</v>
      </c>
      <c r="L381" s="1571">
        <f>L92+T_IS!L103</f>
        <v>0</v>
      </c>
      <c r="M381" s="1569"/>
      <c r="N381" s="1571"/>
      <c r="O381" s="1571"/>
      <c r="P381" s="1571"/>
      <c r="Q381" s="1571"/>
      <c r="R381" s="1571"/>
      <c r="S381" s="1571"/>
      <c r="T381" s="1569"/>
      <c r="U381" s="1572">
        <f>U92+T_IS!X103</f>
        <v>0</v>
      </c>
    </row>
  </sheetData>
  <autoFilter ref="D6:W358" xr:uid="{00000000-0009-0000-0000-000009000000}"/>
  <phoneticPr fontId="22" type="noConversion"/>
  <conditionalFormatting sqref="V1:W1048576">
    <cfRule type="containsText" dxfId="0" priority="1" operator="containsText" text="False">
      <formula>NOT(ISERROR(SEARCH("False",V1)))</formula>
    </cfRule>
  </conditionalFormatting>
  <pageMargins left="0.7" right="0.7" top="0.75" bottom="0.75" header="0.3" footer="0.3"/>
  <pageSetup orientation="portrait" r:id="rId1"/>
  <ignoredErrors>
    <ignoredError sqref="V12:V27 I367:W378 M366:W366 I380:W382 I379:T379 V379:W379 H367:H382" formulaRange="1"/>
    <ignoredError sqref="G10 G28 G12 M345:U358 G19:G27 M11:U11 G14:G17 M10:U10 M28:U28" formula="1"/>
    <ignoredError sqref="M13:U20 M22:U27 M21:N21 P21:Q21 S21:U21 M12 T12:U12" formula="1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0.79998168889431442"/>
  </sheetPr>
  <dimension ref="C3:AA137"/>
  <sheetViews>
    <sheetView showGridLines="0" zoomScale="80" zoomScaleNormal="80" workbookViewId="0">
      <selection activeCell="L136" sqref="L136"/>
    </sheetView>
  </sheetViews>
  <sheetFormatPr defaultColWidth="8.75" defaultRowHeight="20.45" customHeight="1"/>
  <cols>
    <col min="1" max="3" width="2.375" style="498" customWidth="1"/>
    <col min="4" max="11" width="19.875" style="498" customWidth="1"/>
    <col min="12" max="12" width="28.625" style="498" bestFit="1" customWidth="1"/>
    <col min="13" max="13" width="19.875" style="498" customWidth="1"/>
    <col min="14" max="15" width="25" style="498" customWidth="1"/>
    <col min="16" max="19" width="20.375" style="498" customWidth="1"/>
    <col min="20" max="21" width="11.25" style="498" bestFit="1" customWidth="1"/>
    <col min="22" max="23" width="12.125" style="498" bestFit="1" customWidth="1"/>
    <col min="24" max="25" width="12" style="498" bestFit="1" customWidth="1"/>
    <col min="26" max="16384" width="8.75" style="498"/>
  </cols>
  <sheetData>
    <row r="3" spans="3:13" s="494" customFormat="1" ht="20.45" customHeight="1">
      <c r="C3" s="494" t="s">
        <v>1452</v>
      </c>
    </row>
    <row r="4" spans="3:13" s="494" customFormat="1" ht="20.45" customHeight="1" thickBot="1">
      <c r="D4" s="494" t="s">
        <v>1458</v>
      </c>
    </row>
    <row r="5" spans="3:13" s="519" customFormat="1" ht="20.45" customHeight="1">
      <c r="D5" s="1460" t="s">
        <v>499</v>
      </c>
      <c r="E5" s="1461" t="s">
        <v>1453</v>
      </c>
      <c r="F5" s="1461" t="s">
        <v>1455</v>
      </c>
      <c r="G5" s="1462" t="s">
        <v>1454</v>
      </c>
      <c r="H5" s="1460" t="s">
        <v>393</v>
      </c>
      <c r="I5" s="1461" t="s">
        <v>1456</v>
      </c>
      <c r="J5" s="1462" t="s">
        <v>1457</v>
      </c>
      <c r="K5" s="1460" t="s">
        <v>393</v>
      </c>
      <c r="L5" s="1461" t="s">
        <v>1456</v>
      </c>
      <c r="M5" s="1462" t="s">
        <v>1457</v>
      </c>
    </row>
    <row r="6" spans="3:13" ht="20.45" customHeight="1">
      <c r="D6" s="550" t="s">
        <v>15</v>
      </c>
      <c r="E6" s="509">
        <v>128867438712</v>
      </c>
      <c r="F6" s="509">
        <f>'CF.1'!H352</f>
        <v>128867438712</v>
      </c>
      <c r="G6" s="510">
        <f>F6-E6</f>
        <v>0</v>
      </c>
      <c r="H6" s="550" t="s">
        <v>1329</v>
      </c>
      <c r="I6" s="509" t="s">
        <v>1330</v>
      </c>
      <c r="J6" s="510">
        <f>-G6</f>
        <v>0</v>
      </c>
      <c r="K6" s="550" t="s">
        <v>1329</v>
      </c>
      <c r="L6" s="509" t="s">
        <v>1330</v>
      </c>
      <c r="M6" s="510"/>
    </row>
    <row r="7" spans="3:13" ht="20.45" customHeight="1">
      <c r="D7" s="550" t="s">
        <v>217</v>
      </c>
      <c r="E7" s="509">
        <v>22545179</v>
      </c>
      <c r="F7" s="509">
        <f>'CF.1'!J352</f>
        <v>22545179</v>
      </c>
      <c r="G7" s="510">
        <f>F7-E7</f>
        <v>0</v>
      </c>
      <c r="H7" s="550" t="s">
        <v>1329</v>
      </c>
      <c r="I7" s="509" t="s">
        <v>1330</v>
      </c>
      <c r="J7" s="510">
        <f t="shared" ref="J7:J13" si="0">-G7</f>
        <v>0</v>
      </c>
      <c r="K7" s="550" t="s">
        <v>1329</v>
      </c>
      <c r="L7" s="509" t="s">
        <v>1330</v>
      </c>
      <c r="M7" s="510"/>
    </row>
    <row r="8" spans="3:13" ht="20.45" customHeight="1">
      <c r="D8" s="550" t="s">
        <v>213</v>
      </c>
      <c r="E8" s="509"/>
      <c r="F8" s="509"/>
      <c r="G8" s="510"/>
      <c r="H8" s="550" t="s">
        <v>1329</v>
      </c>
      <c r="I8" s="509" t="s">
        <v>1330</v>
      </c>
      <c r="J8" s="510">
        <f t="shared" si="0"/>
        <v>0</v>
      </c>
      <c r="K8" s="550" t="s">
        <v>1329</v>
      </c>
      <c r="L8" s="509" t="s">
        <v>1330</v>
      </c>
      <c r="M8" s="510"/>
    </row>
    <row r="9" spans="3:13" ht="20.45" customHeight="1">
      <c r="D9" s="550" t="s">
        <v>214</v>
      </c>
      <c r="E9" s="509"/>
      <c r="F9" s="509"/>
      <c r="G9" s="510"/>
      <c r="H9" s="550" t="s">
        <v>1329</v>
      </c>
      <c r="I9" s="509" t="s">
        <v>1330</v>
      </c>
      <c r="J9" s="510">
        <f t="shared" si="0"/>
        <v>0</v>
      </c>
      <c r="K9" s="550" t="s">
        <v>1329</v>
      </c>
      <c r="L9" s="509" t="s">
        <v>1330</v>
      </c>
      <c r="M9" s="510"/>
    </row>
    <row r="10" spans="3:13" ht="20.45" customHeight="1">
      <c r="D10" s="550" t="s">
        <v>215</v>
      </c>
      <c r="E10" s="509">
        <v>2870282092</v>
      </c>
      <c r="F10" s="509">
        <f>'CF.1'!K352</f>
        <v>2870282092</v>
      </c>
      <c r="G10" s="510">
        <f>F10-E10</f>
        <v>0</v>
      </c>
      <c r="H10" s="550" t="s">
        <v>1329</v>
      </c>
      <c r="I10" s="509" t="s">
        <v>1330</v>
      </c>
      <c r="J10" s="510">
        <f t="shared" si="0"/>
        <v>0</v>
      </c>
      <c r="K10" s="550" t="s">
        <v>1329</v>
      </c>
      <c r="L10" s="509" t="s">
        <v>1330</v>
      </c>
      <c r="M10" s="510"/>
    </row>
    <row r="11" spans="3:13" ht="20.45" customHeight="1">
      <c r="D11" s="550" t="s">
        <v>530</v>
      </c>
      <c r="E11" s="509"/>
      <c r="F11" s="509"/>
      <c r="G11" s="510"/>
      <c r="H11" s="550" t="s">
        <v>1329</v>
      </c>
      <c r="I11" s="509" t="s">
        <v>1330</v>
      </c>
      <c r="J11" s="510">
        <f t="shared" si="0"/>
        <v>0</v>
      </c>
      <c r="K11" s="550" t="s">
        <v>1329</v>
      </c>
      <c r="L11" s="509" t="s">
        <v>1330</v>
      </c>
      <c r="M11" s="510"/>
    </row>
    <row r="12" spans="3:13" ht="20.45" customHeight="1">
      <c r="D12" s="550" t="s">
        <v>2193</v>
      </c>
      <c r="E12" s="509">
        <v>258378537</v>
      </c>
      <c r="F12" s="509">
        <f>'CF.1'!I352</f>
        <v>258378537</v>
      </c>
      <c r="G12" s="510">
        <f>F12-E12</f>
        <v>0</v>
      </c>
      <c r="H12" s="550" t="s">
        <v>1329</v>
      </c>
      <c r="I12" s="509" t="s">
        <v>1330</v>
      </c>
      <c r="J12" s="510">
        <f>-G12</f>
        <v>0</v>
      </c>
      <c r="K12" s="550" t="s">
        <v>1157</v>
      </c>
      <c r="L12" s="509" t="s">
        <v>1158</v>
      </c>
      <c r="M12" s="510">
        <f>J12</f>
        <v>0</v>
      </c>
    </row>
    <row r="13" spans="3:13" ht="20.45" customHeight="1" thickBot="1">
      <c r="D13" s="1463" t="s">
        <v>216</v>
      </c>
      <c r="E13" s="513"/>
      <c r="F13" s="513"/>
      <c r="G13" s="514"/>
      <c r="H13" s="1463" t="s">
        <v>1329</v>
      </c>
      <c r="I13" s="513" t="s">
        <v>1330</v>
      </c>
      <c r="J13" s="514">
        <f t="shared" si="0"/>
        <v>0</v>
      </c>
      <c r="K13" s="1463" t="s">
        <v>1157</v>
      </c>
      <c r="L13" s="513" t="s">
        <v>1158</v>
      </c>
      <c r="M13" s="514">
        <f>J13</f>
        <v>0</v>
      </c>
    </row>
    <row r="14" spans="3:13" s="494" customFormat="1" ht="20.45" customHeight="1" thickBot="1">
      <c r="D14" s="1464"/>
      <c r="E14" s="1465">
        <f>SUM(E6:E13)</f>
        <v>132018644520</v>
      </c>
      <c r="F14" s="1465">
        <f>SUM(F6:F13)</f>
        <v>132018644520</v>
      </c>
      <c r="G14" s="1465"/>
      <c r="H14" s="1465"/>
      <c r="I14" s="1465"/>
      <c r="J14" s="1465"/>
      <c r="K14" s="1465"/>
      <c r="L14" s="1465"/>
      <c r="M14" s="561"/>
    </row>
    <row r="16" spans="3:13" s="494" customFormat="1" ht="20.45" customHeight="1" thickBot="1">
      <c r="D16" s="494" t="s">
        <v>1459</v>
      </c>
    </row>
    <row r="17" spans="3:13" ht="20.45" customHeight="1">
      <c r="D17" s="1460" t="s">
        <v>499</v>
      </c>
      <c r="E17" s="1461" t="s">
        <v>1453</v>
      </c>
      <c r="F17" s="1461" t="s">
        <v>1641</v>
      </c>
      <c r="G17" s="1462" t="s">
        <v>1454</v>
      </c>
      <c r="H17" s="1460" t="s">
        <v>393</v>
      </c>
      <c r="I17" s="1461" t="s">
        <v>1456</v>
      </c>
      <c r="J17" s="1462" t="s">
        <v>1457</v>
      </c>
      <c r="K17" s="1460" t="s">
        <v>393</v>
      </c>
      <c r="L17" s="1461" t="s">
        <v>1456</v>
      </c>
      <c r="M17" s="1462" t="s">
        <v>1457</v>
      </c>
    </row>
    <row r="18" spans="3:13" ht="20.45" customHeight="1">
      <c r="D18" s="550" t="s">
        <v>15</v>
      </c>
      <c r="E18" s="509">
        <f>T_BS!H8</f>
        <v>140099571337</v>
      </c>
      <c r="F18" s="509">
        <f>'CF.1'!H355</f>
        <v>135662425816</v>
      </c>
      <c r="G18" s="510">
        <f t="shared" ref="G18:G25" si="1">F18-E18</f>
        <v>-4437145521</v>
      </c>
      <c r="H18" s="550" t="s">
        <v>1334</v>
      </c>
      <c r="I18" s="509" t="s">
        <v>1335</v>
      </c>
      <c r="J18" s="510">
        <f>-G18</f>
        <v>4437145521</v>
      </c>
      <c r="K18" s="550" t="s">
        <v>1334</v>
      </c>
      <c r="L18" s="509" t="s">
        <v>1335</v>
      </c>
      <c r="M18" s="510"/>
    </row>
    <row r="19" spans="3:13" ht="20.45" customHeight="1">
      <c r="D19" s="550" t="s">
        <v>217</v>
      </c>
      <c r="E19" s="509">
        <f>T_BS!J8</f>
        <v>226676089</v>
      </c>
      <c r="F19" s="509">
        <f>'CF.1'!J355</f>
        <v>251041790</v>
      </c>
      <c r="G19" s="510">
        <f t="shared" si="1"/>
        <v>24365701</v>
      </c>
      <c r="H19" s="550" t="s">
        <v>1334</v>
      </c>
      <c r="I19" s="509" t="s">
        <v>1335</v>
      </c>
      <c r="J19" s="510">
        <f t="shared" ref="J19:J25" si="2">-G19</f>
        <v>-24365701</v>
      </c>
      <c r="K19" s="550" t="s">
        <v>1334</v>
      </c>
      <c r="L19" s="509" t="s">
        <v>1335</v>
      </c>
      <c r="M19" s="510"/>
    </row>
    <row r="20" spans="3:13" ht="20.45" customHeight="1">
      <c r="D20" s="550" t="s">
        <v>213</v>
      </c>
      <c r="E20" s="509"/>
      <c r="F20" s="509"/>
      <c r="G20" s="510">
        <f t="shared" si="1"/>
        <v>0</v>
      </c>
      <c r="H20" s="550" t="s">
        <v>1334</v>
      </c>
      <c r="I20" s="509" t="s">
        <v>1335</v>
      </c>
      <c r="J20" s="510">
        <f t="shared" si="2"/>
        <v>0</v>
      </c>
      <c r="K20" s="550" t="s">
        <v>1048</v>
      </c>
      <c r="L20" s="509" t="s">
        <v>1049</v>
      </c>
      <c r="M20" s="510">
        <f>-J20</f>
        <v>0</v>
      </c>
    </row>
    <row r="21" spans="3:13" ht="20.45" customHeight="1">
      <c r="D21" s="550" t="s">
        <v>214</v>
      </c>
      <c r="E21" s="509"/>
      <c r="F21" s="509"/>
      <c r="G21" s="510">
        <f t="shared" si="1"/>
        <v>0</v>
      </c>
      <c r="H21" s="550" t="s">
        <v>1334</v>
      </c>
      <c r="I21" s="509" t="s">
        <v>1335</v>
      </c>
      <c r="J21" s="510">
        <f t="shared" si="2"/>
        <v>0</v>
      </c>
      <c r="K21" s="550" t="s">
        <v>1232</v>
      </c>
      <c r="L21" s="509" t="s">
        <v>1233</v>
      </c>
      <c r="M21" s="510">
        <f>-J21</f>
        <v>0</v>
      </c>
    </row>
    <row r="22" spans="3:13" ht="20.45" customHeight="1">
      <c r="D22" s="550"/>
      <c r="E22" s="509"/>
      <c r="F22" s="509"/>
      <c r="G22" s="510"/>
      <c r="H22" s="550" t="s">
        <v>1317</v>
      </c>
      <c r="I22" s="509" t="s">
        <v>1318</v>
      </c>
      <c r="J22" s="510">
        <f>M22</f>
        <v>0</v>
      </c>
      <c r="K22" s="550" t="s">
        <v>1232</v>
      </c>
      <c r="L22" s="509" t="s">
        <v>1233</v>
      </c>
      <c r="M22" s="510"/>
    </row>
    <row r="23" spans="3:13" ht="20.45" customHeight="1">
      <c r="D23" s="550" t="s">
        <v>215</v>
      </c>
      <c r="E23" s="509">
        <f>T_BS!K8</f>
        <v>3991322331</v>
      </c>
      <c r="F23" s="509">
        <f>'CF.1'!K355</f>
        <v>2915219292</v>
      </c>
      <c r="G23" s="510">
        <f t="shared" si="1"/>
        <v>-1076103039</v>
      </c>
      <c r="H23" s="550" t="s">
        <v>1334</v>
      </c>
      <c r="I23" s="509" t="s">
        <v>1335</v>
      </c>
      <c r="J23" s="510">
        <f t="shared" si="2"/>
        <v>1076103039</v>
      </c>
      <c r="K23" s="550" t="s">
        <v>1334</v>
      </c>
      <c r="L23" s="509" t="s">
        <v>1335</v>
      </c>
      <c r="M23" s="510"/>
    </row>
    <row r="24" spans="3:13" ht="20.45" customHeight="1">
      <c r="D24" s="550" t="s">
        <v>530</v>
      </c>
      <c r="E24" s="509"/>
      <c r="F24" s="509"/>
      <c r="G24" s="510">
        <f t="shared" si="1"/>
        <v>0</v>
      </c>
      <c r="H24" s="550" t="s">
        <v>1334</v>
      </c>
      <c r="I24" s="509" t="s">
        <v>1335</v>
      </c>
      <c r="J24" s="510">
        <f t="shared" si="2"/>
        <v>0</v>
      </c>
      <c r="K24" s="550" t="s">
        <v>1262</v>
      </c>
      <c r="L24" s="509" t="s">
        <v>1263</v>
      </c>
      <c r="M24" s="510">
        <f>-J24</f>
        <v>0</v>
      </c>
    </row>
    <row r="25" spans="3:13" ht="20.45" customHeight="1" thickBot="1">
      <c r="D25" s="1463" t="s">
        <v>216</v>
      </c>
      <c r="E25" s="513"/>
      <c r="F25" s="513"/>
      <c r="G25" s="514">
        <f t="shared" si="1"/>
        <v>0</v>
      </c>
      <c r="H25" s="1463" t="s">
        <v>1334</v>
      </c>
      <c r="I25" s="513" t="s">
        <v>1335</v>
      </c>
      <c r="J25" s="514">
        <f t="shared" si="2"/>
        <v>0</v>
      </c>
      <c r="K25" s="550" t="s">
        <v>1262</v>
      </c>
      <c r="L25" s="509" t="s">
        <v>1263</v>
      </c>
      <c r="M25" s="510">
        <f>-J25</f>
        <v>0</v>
      </c>
    </row>
    <row r="26" spans="3:13" ht="20.45" customHeight="1" thickBot="1">
      <c r="D26" s="1466"/>
      <c r="E26" s="1467">
        <f>SUM(E18:E25)</f>
        <v>144317569757</v>
      </c>
      <c r="F26" s="1467">
        <f>SUM(F18:F25)</f>
        <v>138828686898</v>
      </c>
      <c r="G26" s="1467"/>
      <c r="H26" s="1467"/>
      <c r="I26" s="1467"/>
      <c r="J26" s="1467"/>
      <c r="K26" s="1467"/>
      <c r="L26" s="1467"/>
      <c r="M26" s="560"/>
    </row>
    <row r="28" spans="3:13" s="494" customFormat="1" ht="20.45" customHeight="1">
      <c r="C28" s="494" t="s">
        <v>1460</v>
      </c>
    </row>
    <row r="29" spans="3:13" s="494" customFormat="1" ht="20.45" customHeight="1" thickBot="1">
      <c r="D29" s="494" t="s">
        <v>1461</v>
      </c>
    </row>
    <row r="30" spans="3:13" ht="20.45" customHeight="1">
      <c r="D30" s="1460" t="s">
        <v>414</v>
      </c>
      <c r="E30" s="1461" t="s">
        <v>1453</v>
      </c>
      <c r="F30" s="1461"/>
      <c r="G30" s="1462" t="s">
        <v>1454</v>
      </c>
      <c r="H30" s="1460" t="s">
        <v>393</v>
      </c>
      <c r="I30" s="1461" t="s">
        <v>1456</v>
      </c>
      <c r="J30" s="1462" t="s">
        <v>1457</v>
      </c>
      <c r="K30" s="1460" t="s">
        <v>393</v>
      </c>
      <c r="L30" s="1461" t="s">
        <v>1456</v>
      </c>
      <c r="M30" s="1462" t="s">
        <v>1457</v>
      </c>
    </row>
    <row r="31" spans="3:13" ht="20.45" customHeight="1">
      <c r="D31" s="550" t="s">
        <v>488</v>
      </c>
      <c r="E31" s="509">
        <v>0</v>
      </c>
      <c r="F31" s="509"/>
      <c r="G31" s="510">
        <f t="shared" ref="G31:G37" si="3">F31-E31</f>
        <v>0</v>
      </c>
      <c r="H31" s="550" t="s">
        <v>695</v>
      </c>
      <c r="I31" s="509" t="s">
        <v>209</v>
      </c>
      <c r="J31" s="510">
        <f>G31</f>
        <v>0</v>
      </c>
      <c r="K31" s="550" t="s">
        <v>699</v>
      </c>
      <c r="L31" s="509" t="s">
        <v>488</v>
      </c>
      <c r="M31" s="510">
        <f>-J31</f>
        <v>0</v>
      </c>
    </row>
    <row r="32" spans="3:13" ht="20.45" customHeight="1">
      <c r="D32" s="550" t="s">
        <v>386</v>
      </c>
      <c r="E32" s="509">
        <f>'5.0'!V9</f>
        <v>0</v>
      </c>
      <c r="F32" s="509"/>
      <c r="G32" s="510">
        <f t="shared" si="3"/>
        <v>0</v>
      </c>
      <c r="H32" s="550" t="s">
        <v>695</v>
      </c>
      <c r="I32" s="509" t="s">
        <v>209</v>
      </c>
      <c r="J32" s="510">
        <f>G32</f>
        <v>0</v>
      </c>
      <c r="K32" s="550" t="s">
        <v>700</v>
      </c>
      <c r="L32" s="509" t="s">
        <v>386</v>
      </c>
      <c r="M32" s="510">
        <f>-J32</f>
        <v>0</v>
      </c>
    </row>
    <row r="33" spans="4:13" ht="20.45" customHeight="1">
      <c r="D33" s="550" t="s">
        <v>380</v>
      </c>
      <c r="E33" s="509">
        <f>'5.0'!V10</f>
        <v>0</v>
      </c>
      <c r="F33" s="509"/>
      <c r="G33" s="510">
        <f t="shared" si="3"/>
        <v>0</v>
      </c>
      <c r="H33" s="550" t="s">
        <v>695</v>
      </c>
      <c r="I33" s="509" t="s">
        <v>209</v>
      </c>
      <c r="J33" s="510">
        <f>G33</f>
        <v>0</v>
      </c>
      <c r="K33" s="550" t="s">
        <v>783</v>
      </c>
      <c r="L33" s="509" t="s">
        <v>380</v>
      </c>
      <c r="M33" s="510">
        <f>-J33</f>
        <v>0</v>
      </c>
    </row>
    <row r="34" spans="4:13" ht="20.45" customHeight="1">
      <c r="D34" s="550" t="s">
        <v>686</v>
      </c>
      <c r="E34" s="710">
        <f>'5.0'!V19</f>
        <v>0</v>
      </c>
      <c r="F34" s="509"/>
      <c r="G34" s="510">
        <f t="shared" si="3"/>
        <v>0</v>
      </c>
      <c r="H34" s="550" t="s">
        <v>695</v>
      </c>
      <c r="I34" s="509" t="s">
        <v>209</v>
      </c>
      <c r="J34" s="510">
        <f>G34</f>
        <v>0</v>
      </c>
      <c r="K34" s="550" t="s">
        <v>736</v>
      </c>
      <c r="L34" s="509" t="s">
        <v>686</v>
      </c>
      <c r="M34" s="510">
        <f>-J34</f>
        <v>0</v>
      </c>
    </row>
    <row r="35" spans="4:13" ht="20.45" customHeight="1">
      <c r="D35" s="550"/>
      <c r="E35" s="509"/>
      <c r="F35" s="509"/>
      <c r="G35" s="510">
        <f t="shared" si="3"/>
        <v>0</v>
      </c>
      <c r="H35" s="550"/>
      <c r="I35" s="509"/>
      <c r="J35" s="510"/>
      <c r="K35" s="550"/>
      <c r="L35" s="509"/>
      <c r="M35" s="510"/>
    </row>
    <row r="36" spans="4:13" ht="20.45" customHeight="1">
      <c r="D36" s="550"/>
      <c r="E36" s="509"/>
      <c r="F36" s="509"/>
      <c r="G36" s="510">
        <f t="shared" si="3"/>
        <v>0</v>
      </c>
      <c r="H36" s="550"/>
      <c r="I36" s="509"/>
      <c r="J36" s="510"/>
      <c r="K36" s="550"/>
      <c r="L36" s="509"/>
      <c r="M36" s="510"/>
    </row>
    <row r="37" spans="4:13" ht="20.45" customHeight="1" thickBot="1">
      <c r="D37" s="1463"/>
      <c r="E37" s="513"/>
      <c r="F37" s="513"/>
      <c r="G37" s="514">
        <f t="shared" si="3"/>
        <v>0</v>
      </c>
      <c r="H37" s="1463"/>
      <c r="I37" s="513"/>
      <c r="J37" s="514"/>
      <c r="K37" s="1463"/>
      <c r="L37" s="513"/>
      <c r="M37" s="514"/>
    </row>
    <row r="38" spans="4:13" ht="20.45" customHeight="1" thickBot="1">
      <c r="D38" s="1466"/>
      <c r="E38" s="1467">
        <f>SUM(E31:E37)</f>
        <v>0</v>
      </c>
      <c r="F38" s="1467">
        <f>SUM(F31:F37)</f>
        <v>0</v>
      </c>
      <c r="G38" s="1467"/>
      <c r="H38" s="1467"/>
      <c r="I38" s="1467"/>
      <c r="J38" s="1467"/>
      <c r="K38" s="1467"/>
      <c r="L38" s="1467"/>
      <c r="M38" s="560"/>
    </row>
    <row r="40" spans="4:13" s="494" customFormat="1" ht="20.45" customHeight="1" thickBot="1">
      <c r="D40" s="494" t="s">
        <v>1467</v>
      </c>
    </row>
    <row r="41" spans="4:13" ht="20.45" customHeight="1">
      <c r="D41" s="1460" t="s">
        <v>414</v>
      </c>
      <c r="E41" s="1461" t="s">
        <v>1453</v>
      </c>
      <c r="F41" s="1461"/>
      <c r="G41" s="1462" t="s">
        <v>1454</v>
      </c>
      <c r="H41" s="1460" t="s">
        <v>393</v>
      </c>
      <c r="I41" s="1461" t="s">
        <v>1456</v>
      </c>
      <c r="J41" s="1462" t="s">
        <v>1457</v>
      </c>
      <c r="K41" s="1460" t="s">
        <v>393</v>
      </c>
      <c r="L41" s="1461" t="s">
        <v>1456</v>
      </c>
      <c r="M41" s="1462" t="s">
        <v>1457</v>
      </c>
    </row>
    <row r="42" spans="4:13" ht="20.45" customHeight="1">
      <c r="D42" s="550" t="s">
        <v>242</v>
      </c>
      <c r="E42" s="509">
        <f>-SUM('4.0'!V69,'4.0'!V67,'4.0'!V49,'4.0'!V47,'4.0'!V25)</f>
        <v>27164280</v>
      </c>
      <c r="F42" s="509"/>
      <c r="G42" s="510">
        <f t="shared" ref="G42:G48" si="4">F42-E42</f>
        <v>-27164280</v>
      </c>
      <c r="H42" s="550" t="s">
        <v>695</v>
      </c>
      <c r="I42" s="509" t="s">
        <v>209</v>
      </c>
      <c r="J42" s="510">
        <f>-G42</f>
        <v>27164280</v>
      </c>
      <c r="K42" s="550" t="s">
        <v>922</v>
      </c>
      <c r="L42" s="509" t="s">
        <v>923</v>
      </c>
      <c r="M42" s="510">
        <f>-J42</f>
        <v>-27164280</v>
      </c>
    </row>
    <row r="43" spans="4:13" ht="20.45" customHeight="1">
      <c r="D43" s="550" t="s">
        <v>296</v>
      </c>
      <c r="E43" s="509">
        <f>'4.0'!V29</f>
        <v>193111111</v>
      </c>
      <c r="F43" s="509"/>
      <c r="G43" s="510">
        <f>-E43</f>
        <v>-193111111</v>
      </c>
      <c r="H43" s="550" t="s">
        <v>695</v>
      </c>
      <c r="I43" s="509" t="s">
        <v>209</v>
      </c>
      <c r="J43" s="510">
        <f>G43</f>
        <v>-193111111</v>
      </c>
      <c r="K43" s="550" t="s">
        <v>910</v>
      </c>
      <c r="L43" s="509" t="s">
        <v>911</v>
      </c>
      <c r="M43" s="510">
        <f>-J43</f>
        <v>193111111</v>
      </c>
    </row>
    <row r="44" spans="4:13" ht="20.45" customHeight="1">
      <c r="D44" s="550" t="s">
        <v>296</v>
      </c>
      <c r="E44" s="509">
        <f>-'4.0'!V84</f>
        <v>0</v>
      </c>
      <c r="F44" s="509"/>
      <c r="G44" s="510">
        <f t="shared" si="4"/>
        <v>0</v>
      </c>
      <c r="H44" s="550" t="s">
        <v>695</v>
      </c>
      <c r="I44" s="509" t="s">
        <v>209</v>
      </c>
      <c r="J44" s="510">
        <f>-G44</f>
        <v>0</v>
      </c>
      <c r="K44" s="550"/>
      <c r="L44" s="509"/>
      <c r="M44" s="510"/>
    </row>
    <row r="45" spans="4:13" ht="20.45" customHeight="1">
      <c r="D45" s="550"/>
      <c r="E45" s="509"/>
      <c r="F45" s="509"/>
      <c r="G45" s="510">
        <f t="shared" si="4"/>
        <v>0</v>
      </c>
      <c r="H45" s="550"/>
      <c r="I45" s="509"/>
      <c r="J45" s="510"/>
      <c r="K45" s="550"/>
      <c r="L45" s="509"/>
      <c r="M45" s="510">
        <f>-J45</f>
        <v>0</v>
      </c>
    </row>
    <row r="46" spans="4:13" ht="20.45" customHeight="1">
      <c r="D46" s="550"/>
      <c r="E46" s="509"/>
      <c r="F46" s="509"/>
      <c r="G46" s="510">
        <f t="shared" si="4"/>
        <v>0</v>
      </c>
      <c r="H46" s="550"/>
      <c r="I46" s="509"/>
      <c r="J46" s="510"/>
      <c r="K46" s="550"/>
      <c r="L46" s="509"/>
      <c r="M46" s="510"/>
    </row>
    <row r="47" spans="4:13" ht="20.45" customHeight="1">
      <c r="D47" s="550"/>
      <c r="E47" s="509"/>
      <c r="F47" s="509"/>
      <c r="G47" s="510">
        <f t="shared" si="4"/>
        <v>0</v>
      </c>
      <c r="H47" s="550"/>
      <c r="I47" s="509"/>
      <c r="J47" s="510"/>
      <c r="K47" s="550"/>
      <c r="L47" s="509"/>
      <c r="M47" s="510"/>
    </row>
    <row r="48" spans="4:13" ht="20.45" customHeight="1" thickBot="1">
      <c r="D48" s="1463"/>
      <c r="E48" s="513"/>
      <c r="F48" s="513"/>
      <c r="G48" s="514">
        <f t="shared" si="4"/>
        <v>0</v>
      </c>
      <c r="H48" s="1463"/>
      <c r="I48" s="513"/>
      <c r="J48" s="514"/>
      <c r="K48" s="1463"/>
      <c r="L48" s="513"/>
      <c r="M48" s="514"/>
    </row>
    <row r="49" spans="3:13" ht="20.45" customHeight="1" thickBot="1">
      <c r="D49" s="1466"/>
      <c r="E49" s="1467">
        <f>SUM(E42:E48)</f>
        <v>220275391</v>
      </c>
      <c r="F49" s="1467">
        <f>SUM(F42:F48)</f>
        <v>0</v>
      </c>
      <c r="G49" s="1467"/>
      <c r="H49" s="1467"/>
      <c r="I49" s="1467"/>
      <c r="J49" s="1467"/>
      <c r="K49" s="1467"/>
      <c r="L49" s="1467"/>
      <c r="M49" s="560"/>
    </row>
    <row r="51" spans="3:13" s="494" customFormat="1" ht="20.45" customHeight="1" thickBot="1">
      <c r="D51" s="494" t="s">
        <v>1728</v>
      </c>
    </row>
    <row r="52" spans="3:13" ht="20.45" customHeight="1">
      <c r="D52" s="1460" t="s">
        <v>414</v>
      </c>
      <c r="E52" s="1461" t="s">
        <v>1453</v>
      </c>
      <c r="F52" s="1461"/>
      <c r="G52" s="1462" t="s">
        <v>1454</v>
      </c>
      <c r="H52" s="1460" t="s">
        <v>393</v>
      </c>
      <c r="I52" s="1461" t="s">
        <v>1456</v>
      </c>
      <c r="J52" s="1462" t="s">
        <v>1457</v>
      </c>
      <c r="K52" s="1460" t="s">
        <v>393</v>
      </c>
      <c r="L52" s="1461" t="s">
        <v>1456</v>
      </c>
      <c r="M52" s="1462" t="s">
        <v>1457</v>
      </c>
    </row>
    <row r="53" spans="3:13" ht="20.45" customHeight="1">
      <c r="D53" s="550" t="s">
        <v>816</v>
      </c>
      <c r="E53" s="509">
        <f>-'7.0'!I7</f>
        <v>0</v>
      </c>
      <c r="F53" s="509"/>
      <c r="G53" s="510">
        <f t="shared" ref="G53:G59" si="5">F53-E53</f>
        <v>0</v>
      </c>
      <c r="H53" s="550" t="s">
        <v>695</v>
      </c>
      <c r="I53" s="509" t="s">
        <v>209</v>
      </c>
      <c r="J53" s="510">
        <f>-G53</f>
        <v>0</v>
      </c>
      <c r="K53" s="550" t="s">
        <v>815</v>
      </c>
      <c r="L53" s="509" t="s">
        <v>816</v>
      </c>
      <c r="M53" s="510">
        <f>-J53</f>
        <v>0</v>
      </c>
    </row>
    <row r="54" spans="3:13" ht="20.45" customHeight="1">
      <c r="D54" s="550" t="s">
        <v>818</v>
      </c>
      <c r="E54" s="509">
        <f>-'3.0'!I294</f>
        <v>0</v>
      </c>
      <c r="F54" s="509"/>
      <c r="G54" s="510">
        <f t="shared" si="5"/>
        <v>0</v>
      </c>
      <c r="H54" s="550" t="s">
        <v>695</v>
      </c>
      <c r="I54" s="509" t="s">
        <v>209</v>
      </c>
      <c r="J54" s="510">
        <f t="shared" ref="J54:J59" si="6">-G54</f>
        <v>0</v>
      </c>
      <c r="K54" s="550" t="s">
        <v>817</v>
      </c>
      <c r="L54" s="509" t="s">
        <v>818</v>
      </c>
      <c r="M54" s="510">
        <f t="shared" ref="M54:M59" si="7">-J54</f>
        <v>0</v>
      </c>
    </row>
    <row r="55" spans="3:13" ht="20.45" customHeight="1">
      <c r="D55" s="550" t="s">
        <v>820</v>
      </c>
      <c r="E55" s="509">
        <f>-'3.0'!I241</f>
        <v>0</v>
      </c>
      <c r="F55" s="509"/>
      <c r="G55" s="510">
        <f t="shared" si="5"/>
        <v>0</v>
      </c>
      <c r="H55" s="550" t="s">
        <v>695</v>
      </c>
      <c r="I55" s="509" t="s">
        <v>209</v>
      </c>
      <c r="J55" s="510">
        <f t="shared" si="6"/>
        <v>0</v>
      </c>
      <c r="K55" s="550" t="s">
        <v>819</v>
      </c>
      <c r="L55" s="509" t="s">
        <v>820</v>
      </c>
      <c r="M55" s="510">
        <f t="shared" si="7"/>
        <v>0</v>
      </c>
    </row>
    <row r="56" spans="3:13" ht="20.45" customHeight="1">
      <c r="D56" s="550" t="s">
        <v>713</v>
      </c>
      <c r="E56" s="509">
        <f>T_IS!X119</f>
        <v>-5865724</v>
      </c>
      <c r="F56" s="509"/>
      <c r="G56" s="510">
        <f t="shared" si="5"/>
        <v>5865724</v>
      </c>
      <c r="H56" s="550" t="s">
        <v>695</v>
      </c>
      <c r="I56" s="509" t="s">
        <v>209</v>
      </c>
      <c r="J56" s="510">
        <f t="shared" si="6"/>
        <v>-5865724</v>
      </c>
      <c r="K56" s="550" t="s">
        <v>712</v>
      </c>
      <c r="L56" s="509" t="s">
        <v>713</v>
      </c>
      <c r="M56" s="510">
        <f t="shared" si="7"/>
        <v>5865724</v>
      </c>
    </row>
    <row r="57" spans="3:13" ht="20.45" customHeight="1">
      <c r="D57" s="550" t="s">
        <v>715</v>
      </c>
      <c r="E57" s="509"/>
      <c r="F57" s="509"/>
      <c r="G57" s="510">
        <f t="shared" si="5"/>
        <v>0</v>
      </c>
      <c r="H57" s="550" t="s">
        <v>695</v>
      </c>
      <c r="I57" s="509" t="s">
        <v>209</v>
      </c>
      <c r="J57" s="510">
        <f t="shared" si="6"/>
        <v>0</v>
      </c>
      <c r="K57" s="550" t="s">
        <v>714</v>
      </c>
      <c r="L57" s="509" t="s">
        <v>715</v>
      </c>
      <c r="M57" s="510">
        <f t="shared" si="7"/>
        <v>0</v>
      </c>
    </row>
    <row r="58" spans="3:13" ht="20.45" customHeight="1">
      <c r="D58" s="550" t="s">
        <v>717</v>
      </c>
      <c r="E58" s="509">
        <f>-'1.0'!I25</f>
        <v>0</v>
      </c>
      <c r="F58" s="509"/>
      <c r="G58" s="510">
        <f t="shared" si="5"/>
        <v>0</v>
      </c>
      <c r="H58" s="550" t="s">
        <v>695</v>
      </c>
      <c r="I58" s="509" t="s">
        <v>209</v>
      </c>
      <c r="J58" s="510">
        <f t="shared" si="6"/>
        <v>0</v>
      </c>
      <c r="K58" s="550" t="s">
        <v>716</v>
      </c>
      <c r="L58" s="509" t="s">
        <v>717</v>
      </c>
      <c r="M58" s="510">
        <f t="shared" si="7"/>
        <v>0</v>
      </c>
    </row>
    <row r="59" spans="3:13" ht="20.45" customHeight="1" thickBot="1">
      <c r="D59" s="1463"/>
      <c r="E59" s="513"/>
      <c r="F59" s="513"/>
      <c r="G59" s="514">
        <f t="shared" si="5"/>
        <v>0</v>
      </c>
      <c r="H59" s="550" t="s">
        <v>695</v>
      </c>
      <c r="I59" s="509" t="s">
        <v>209</v>
      </c>
      <c r="J59" s="510">
        <f t="shared" si="6"/>
        <v>0</v>
      </c>
      <c r="K59" s="1463"/>
      <c r="L59" s="513"/>
      <c r="M59" s="510">
        <f t="shared" si="7"/>
        <v>0</v>
      </c>
    </row>
    <row r="60" spans="3:13" ht="20.45" customHeight="1" thickBot="1">
      <c r="D60" s="1466"/>
      <c r="E60" s="1467">
        <f>SUM(E53:E59)</f>
        <v>-5865724</v>
      </c>
      <c r="F60" s="1467">
        <f>SUM(F53:F59)</f>
        <v>0</v>
      </c>
      <c r="G60" s="1467"/>
      <c r="H60" s="1467"/>
      <c r="I60" s="1467"/>
      <c r="J60" s="1467"/>
      <c r="K60" s="1467"/>
      <c r="L60" s="1467"/>
      <c r="M60" s="560"/>
    </row>
    <row r="63" spans="3:13" s="494" customFormat="1" ht="20.45" customHeight="1">
      <c r="C63" s="494" t="s">
        <v>1449</v>
      </c>
    </row>
    <row r="64" spans="3:13" s="494" customFormat="1" ht="20.45" customHeight="1" thickBot="1">
      <c r="D64" s="494" t="s">
        <v>1465</v>
      </c>
    </row>
    <row r="65" spans="4:14" ht="20.45" customHeight="1">
      <c r="D65" s="2013" t="s">
        <v>414</v>
      </c>
      <c r="E65" s="2014" t="s">
        <v>393</v>
      </c>
      <c r="F65" s="2014" t="s">
        <v>2879</v>
      </c>
      <c r="G65" s="2014" t="s">
        <v>2880</v>
      </c>
      <c r="H65" s="2013"/>
      <c r="I65" s="2014"/>
      <c r="J65" s="2015"/>
      <c r="K65" s="2014" t="s">
        <v>393</v>
      </c>
      <c r="L65" s="2014" t="s">
        <v>1456</v>
      </c>
      <c r="M65" s="2015" t="s">
        <v>1457</v>
      </c>
      <c r="N65" s="509"/>
    </row>
    <row r="66" spans="4:14" ht="20.45" customHeight="1">
      <c r="D66" s="1468" t="s">
        <v>26</v>
      </c>
      <c r="E66" s="1469">
        <v>111731</v>
      </c>
      <c r="F66" s="1500">
        <v>-145519615</v>
      </c>
      <c r="G66" s="509">
        <f>SUMIF('3.0'!$D:$D,'CF.2'!E66,'3.0'!$H:$H)</f>
        <v>-24078700</v>
      </c>
      <c r="H66" s="1468"/>
      <c r="I66" s="509"/>
      <c r="J66" s="1470"/>
      <c r="K66" s="509" t="s">
        <v>904</v>
      </c>
      <c r="L66" s="509" t="s">
        <v>905</v>
      </c>
      <c r="M66" s="1471">
        <f>F66-G66</f>
        <v>-121440915</v>
      </c>
      <c r="N66" s="509"/>
    </row>
    <row r="67" spans="4:14" ht="20.45" customHeight="1">
      <c r="D67" s="1468" t="s">
        <v>24</v>
      </c>
      <c r="E67" s="1469">
        <v>111711</v>
      </c>
      <c r="F67" s="1500">
        <v>-574786000</v>
      </c>
      <c r="G67" s="509">
        <f>SUMIF('3.0'!$D:$D,'CF.2'!E67,'3.0'!$H:$H)</f>
        <v>-7603800</v>
      </c>
      <c r="H67" s="1468"/>
      <c r="I67" s="509"/>
      <c r="J67" s="1470"/>
      <c r="K67" s="509" t="s">
        <v>904</v>
      </c>
      <c r="L67" s="509" t="s">
        <v>905</v>
      </c>
      <c r="M67" s="1471">
        <f>F67-G67</f>
        <v>-567182200</v>
      </c>
      <c r="N67" s="509"/>
    </row>
    <row r="68" spans="4:14" ht="20.45" customHeight="1">
      <c r="D68" s="1468" t="s">
        <v>33</v>
      </c>
      <c r="E68" s="1469">
        <v>112113</v>
      </c>
      <c r="F68" s="1500">
        <v>0</v>
      </c>
      <c r="G68" s="509">
        <f>SUMIF('3.0'!$D:$D,'CF.2'!E68,'3.0'!$H:$H)</f>
        <v>0</v>
      </c>
      <c r="H68" s="1468"/>
      <c r="I68" s="509"/>
      <c r="J68" s="1470"/>
      <c r="K68" s="509" t="s">
        <v>906</v>
      </c>
      <c r="L68" s="509" t="s">
        <v>907</v>
      </c>
      <c r="M68" s="1471">
        <f t="shared" ref="M68:M81" si="8">F68-G68</f>
        <v>0</v>
      </c>
      <c r="N68" s="509"/>
    </row>
    <row r="69" spans="4:14" ht="20.45" customHeight="1">
      <c r="D69" s="1468" t="s">
        <v>36</v>
      </c>
      <c r="E69" s="1469">
        <v>112300</v>
      </c>
      <c r="F69" s="1500">
        <v>-43857535</v>
      </c>
      <c r="G69" s="509">
        <f>SUMIF('3.0'!$D:$D,'CF.2'!E69,'3.0'!$H:$H)</f>
        <v>0</v>
      </c>
      <c r="H69" s="1468"/>
      <c r="I69" s="509"/>
      <c r="J69" s="1470"/>
      <c r="K69" s="509" t="s">
        <v>908</v>
      </c>
      <c r="L69" s="509" t="s">
        <v>909</v>
      </c>
      <c r="M69" s="1471">
        <f t="shared" si="8"/>
        <v>-43857535</v>
      </c>
      <c r="N69" s="509">
        <f>-M69</f>
        <v>43857535</v>
      </c>
    </row>
    <row r="70" spans="4:14" ht="20.45" customHeight="1">
      <c r="D70" s="1468" t="s">
        <v>1865</v>
      </c>
      <c r="E70" s="1469">
        <v>112302</v>
      </c>
      <c r="F70" s="1500">
        <v>0</v>
      </c>
      <c r="G70" s="509">
        <f>SUMIF('3.0'!$D:$D,'CF.2'!E70,'3.0'!$H:$H)</f>
        <v>0</v>
      </c>
      <c r="H70" s="1468"/>
      <c r="I70" s="509"/>
      <c r="J70" s="1470"/>
      <c r="K70" s="509" t="s">
        <v>908</v>
      </c>
      <c r="L70" s="509" t="s">
        <v>909</v>
      </c>
      <c r="M70" s="1471">
        <f t="shared" si="8"/>
        <v>0</v>
      </c>
      <c r="N70" s="509">
        <f>-M70</f>
        <v>0</v>
      </c>
    </row>
    <row r="71" spans="4:14" ht="20.45" customHeight="1">
      <c r="D71" s="1468" t="s">
        <v>60</v>
      </c>
      <c r="E71" s="1469">
        <v>112511</v>
      </c>
      <c r="F71" s="1500">
        <v>0</v>
      </c>
      <c r="G71" s="509">
        <f>-'3.0'!M39</f>
        <v>0</v>
      </c>
      <c r="H71" s="1468"/>
      <c r="I71" s="509"/>
      <c r="J71" s="1470"/>
      <c r="K71" s="509" t="s">
        <v>910</v>
      </c>
      <c r="L71" s="509" t="s">
        <v>911</v>
      </c>
      <c r="M71" s="1471">
        <f t="shared" si="8"/>
        <v>0</v>
      </c>
      <c r="N71" s="509"/>
    </row>
    <row r="72" spans="4:14" s="575" customFormat="1" ht="20.45" customHeight="1">
      <c r="D72" s="1472" t="s">
        <v>138</v>
      </c>
      <c r="E72" s="1671">
        <v>211111</v>
      </c>
      <c r="F72" s="1500">
        <v>0</v>
      </c>
      <c r="G72" s="925">
        <f>SUMIF('3.0'!$D:$D,'CF.2'!E72,'3.0'!$H:$H)</f>
        <v>24078700</v>
      </c>
      <c r="H72" s="1472"/>
      <c r="I72" s="925"/>
      <c r="J72" s="1471"/>
      <c r="K72" s="925" t="s">
        <v>940</v>
      </c>
      <c r="L72" s="925" t="s">
        <v>941</v>
      </c>
      <c r="M72" s="1471">
        <f t="shared" si="8"/>
        <v>-24078700</v>
      </c>
      <c r="N72" s="925"/>
    </row>
    <row r="73" spans="4:14" ht="20.45" customHeight="1">
      <c r="D73" s="1468" t="s">
        <v>139</v>
      </c>
      <c r="E73" s="1469">
        <v>211121</v>
      </c>
      <c r="F73" s="1500">
        <v>138406615</v>
      </c>
      <c r="G73" s="509">
        <f>SUMIF('3.0'!$D:$D,'CF.2'!E73,'3.0'!$H:$H)</f>
        <v>0</v>
      </c>
      <c r="H73" s="1468"/>
      <c r="I73" s="509"/>
      <c r="J73" s="1470"/>
      <c r="K73" s="509" t="s">
        <v>940</v>
      </c>
      <c r="L73" s="509" t="s">
        <v>941</v>
      </c>
      <c r="M73" s="1471">
        <f t="shared" si="8"/>
        <v>138406615</v>
      </c>
      <c r="N73" s="509"/>
    </row>
    <row r="74" spans="4:14" ht="20.45" customHeight="1">
      <c r="D74" s="1468" t="s">
        <v>145</v>
      </c>
      <c r="E74" s="1469">
        <v>213150</v>
      </c>
      <c r="F74" s="1500">
        <v>64613000</v>
      </c>
      <c r="G74" s="509">
        <f>SUMIF('3.0'!$D:$D,'CF.2'!E74,'3.0'!$H:$H)</f>
        <v>7603800</v>
      </c>
      <c r="H74" s="1468"/>
      <c r="I74" s="509"/>
      <c r="J74" s="1470"/>
      <c r="K74" s="509" t="s">
        <v>948</v>
      </c>
      <c r="L74" s="509" t="s">
        <v>949</v>
      </c>
      <c r="M74" s="1471">
        <f t="shared" si="8"/>
        <v>57009200</v>
      </c>
      <c r="N74" s="509"/>
    </row>
    <row r="75" spans="4:14" ht="20.45" customHeight="1">
      <c r="D75" s="1472" t="s">
        <v>144</v>
      </c>
      <c r="E75" s="1473">
        <v>213100</v>
      </c>
      <c r="F75" s="1500">
        <v>517286000</v>
      </c>
      <c r="G75" s="925">
        <f>SUMIF('3.0'!$D:$D,'CF.2'!E75,'3.0'!$H:$H)</f>
        <v>0</v>
      </c>
      <c r="H75" s="1472"/>
      <c r="I75" s="925"/>
      <c r="J75" s="1471"/>
      <c r="K75" s="925" t="s">
        <v>948</v>
      </c>
      <c r="L75" s="925" t="s">
        <v>949</v>
      </c>
      <c r="M75" s="1471">
        <f t="shared" si="8"/>
        <v>517286000</v>
      </c>
      <c r="N75" s="509"/>
    </row>
    <row r="76" spans="4:14" ht="20.45" customHeight="1">
      <c r="D76" s="1472" t="s">
        <v>151</v>
      </c>
      <c r="E76" s="1473">
        <v>217200</v>
      </c>
      <c r="F76" s="1500">
        <v>0</v>
      </c>
      <c r="G76" s="925">
        <f>SUMIF('3.0'!$D:$D,'CF.2'!E76,'3.0'!$H:$H)</f>
        <v>0</v>
      </c>
      <c r="H76" s="1472"/>
      <c r="I76" s="925"/>
      <c r="J76" s="1471"/>
      <c r="K76" s="925" t="s">
        <v>950</v>
      </c>
      <c r="L76" s="925" t="s">
        <v>951</v>
      </c>
      <c r="M76" s="1471">
        <f t="shared" si="8"/>
        <v>0</v>
      </c>
      <c r="N76" s="509">
        <f>-M76</f>
        <v>0</v>
      </c>
    </row>
    <row r="77" spans="4:14" ht="20.45" customHeight="1">
      <c r="D77" s="1472" t="s">
        <v>2295</v>
      </c>
      <c r="E77" s="1473">
        <v>217100</v>
      </c>
      <c r="F77" s="1500">
        <v>43857535</v>
      </c>
      <c r="G77" s="925">
        <f>SUMIF('3.0'!$D:$D,'CF.2'!E77,'3.0'!$H:$H)</f>
        <v>0</v>
      </c>
      <c r="H77" s="1472"/>
      <c r="I77" s="925"/>
      <c r="J77" s="1471"/>
      <c r="K77" s="925" t="s">
        <v>950</v>
      </c>
      <c r="L77" s="925" t="s">
        <v>951</v>
      </c>
      <c r="M77" s="1471">
        <f t="shared" si="8"/>
        <v>43857535</v>
      </c>
      <c r="N77" s="509">
        <f>-M77</f>
        <v>-43857535</v>
      </c>
    </row>
    <row r="78" spans="4:14" ht="20.45" customHeight="1">
      <c r="D78" s="1472" t="s">
        <v>150</v>
      </c>
      <c r="E78" s="1473">
        <v>217900</v>
      </c>
      <c r="F78" s="1500">
        <v>0</v>
      </c>
      <c r="G78" s="925">
        <f>SUMIF('3.0'!$D:$D,'CF.2'!E78,'3.0'!$H:$H)</f>
        <v>0</v>
      </c>
      <c r="H78" s="1472"/>
      <c r="I78" s="925"/>
      <c r="J78" s="1471"/>
      <c r="K78" s="925" t="s">
        <v>950</v>
      </c>
      <c r="L78" s="925" t="s">
        <v>951</v>
      </c>
      <c r="M78" s="1471">
        <f t="shared" si="8"/>
        <v>0</v>
      </c>
      <c r="N78" s="509"/>
    </row>
    <row r="79" spans="4:14" ht="20.45" customHeight="1">
      <c r="D79" s="1472" t="s">
        <v>164</v>
      </c>
      <c r="E79" s="1473">
        <v>214200</v>
      </c>
      <c r="F79" s="1500">
        <v>0</v>
      </c>
      <c r="G79" s="925">
        <f>SUMIF('3.0'!$D:$D,'CF.2'!E79,'3.0'!$H:$H)</f>
        <v>0</v>
      </c>
      <c r="H79" s="1472"/>
      <c r="I79" s="925"/>
      <c r="J79" s="1471"/>
      <c r="K79" s="925" t="s">
        <v>942</v>
      </c>
      <c r="L79" s="925" t="s">
        <v>943</v>
      </c>
      <c r="M79" s="1471">
        <f t="shared" si="8"/>
        <v>0</v>
      </c>
      <c r="N79" s="509"/>
    </row>
    <row r="80" spans="4:14" ht="20.45" customHeight="1">
      <c r="D80" s="1472" t="s">
        <v>1829</v>
      </c>
      <c r="E80" s="1473">
        <v>214250</v>
      </c>
      <c r="F80" s="1500">
        <v>0</v>
      </c>
      <c r="G80" s="925">
        <f>SUMIF('3.0'!$D:$D,'CF.2'!E80,'3.0'!$H:$H)</f>
        <v>0</v>
      </c>
      <c r="H80" s="1472"/>
      <c r="I80" s="925"/>
      <c r="J80" s="1471"/>
      <c r="K80" s="925" t="s">
        <v>942</v>
      </c>
      <c r="L80" s="925" t="s">
        <v>943</v>
      </c>
      <c r="M80" s="1471">
        <f t="shared" si="8"/>
        <v>0</v>
      </c>
      <c r="N80" s="509"/>
    </row>
    <row r="81" spans="4:14" ht="20.45" customHeight="1">
      <c r="D81" s="1472" t="s">
        <v>168</v>
      </c>
      <c r="E81" s="1473">
        <v>214400</v>
      </c>
      <c r="F81" s="1500">
        <v>0</v>
      </c>
      <c r="G81" s="925">
        <f>SUMIF('3.0'!$D:$D,'CF.2'!E81,'3.0'!$H:$H)</f>
        <v>0</v>
      </c>
      <c r="H81" s="1472"/>
      <c r="I81" s="925"/>
      <c r="J81" s="1471"/>
      <c r="K81" s="925" t="s">
        <v>998</v>
      </c>
      <c r="L81" s="925" t="s">
        <v>947</v>
      </c>
      <c r="M81" s="1471">
        <f t="shared" si="8"/>
        <v>0</v>
      </c>
      <c r="N81" s="509"/>
    </row>
    <row r="82" spans="4:14" ht="20.45" customHeight="1">
      <c r="D82" s="1472" t="s">
        <v>209</v>
      </c>
      <c r="E82" s="1473" t="s">
        <v>1355</v>
      </c>
      <c r="F82" s="1500"/>
      <c r="G82" s="925"/>
      <c r="H82" s="1472"/>
      <c r="I82" s="925"/>
      <c r="J82" s="1471"/>
      <c r="K82" s="925" t="s">
        <v>695</v>
      </c>
      <c r="L82" s="925" t="s">
        <v>209</v>
      </c>
      <c r="M82" s="1471"/>
      <c r="N82" s="509"/>
    </row>
    <row r="83" spans="4:14" ht="20.45" customHeight="1">
      <c r="D83" s="1472" t="s">
        <v>762</v>
      </c>
      <c r="E83" s="1671">
        <v>712900</v>
      </c>
      <c r="F83" s="1500"/>
      <c r="G83" s="925">
        <v>-1543857535</v>
      </c>
      <c r="H83" s="1472">
        <v>111912</v>
      </c>
      <c r="I83" s="925" t="s">
        <v>2393</v>
      </c>
      <c r="J83" s="925">
        <f>'3.0'!M55</f>
        <v>1500000000</v>
      </c>
      <c r="K83" s="1474" t="s">
        <v>843</v>
      </c>
      <c r="L83" s="925" t="s">
        <v>844</v>
      </c>
      <c r="M83" s="1471">
        <f>-G83</f>
        <v>1543857535</v>
      </c>
      <c r="N83" s="509"/>
    </row>
    <row r="84" spans="4:14" ht="20.45" customHeight="1" thickBot="1">
      <c r="D84" s="1865" t="s">
        <v>209</v>
      </c>
      <c r="E84" s="1866" t="s">
        <v>1355</v>
      </c>
      <c r="F84" s="2019"/>
      <c r="G84" s="1867">
        <f>'3.0'!P40</f>
        <v>0</v>
      </c>
      <c r="H84" s="1865">
        <v>112301</v>
      </c>
      <c r="I84" s="1867" t="s">
        <v>2394</v>
      </c>
      <c r="J84" s="1867">
        <f>'3.0'!M56</f>
        <v>43857535</v>
      </c>
      <c r="K84" s="1865" t="s">
        <v>695</v>
      </c>
      <c r="L84" s="1867" t="s">
        <v>209</v>
      </c>
      <c r="M84" s="1868">
        <f>-G84</f>
        <v>0</v>
      </c>
    </row>
    <row r="85" spans="4:14" ht="20.45" customHeight="1">
      <c r="D85" s="509"/>
      <c r="E85" s="1469"/>
      <c r="F85" s="509"/>
      <c r="G85" s="509"/>
      <c r="H85" s="509"/>
      <c r="I85" s="509"/>
      <c r="J85" s="509"/>
      <c r="K85" s="509"/>
      <c r="L85" s="509"/>
      <c r="M85" s="509"/>
      <c r="N85" s="509"/>
    </row>
    <row r="86" spans="4:14" s="494" customFormat="1" ht="20.45" customHeight="1" thickBot="1">
      <c r="D86" s="952" t="s">
        <v>1466</v>
      </c>
      <c r="E86" s="1475"/>
      <c r="F86" s="952"/>
      <c r="G86" s="952"/>
      <c r="H86" s="952"/>
      <c r="I86" s="952"/>
      <c r="J86" s="952"/>
      <c r="K86" s="952"/>
      <c r="L86" s="952"/>
      <c r="M86" s="952"/>
      <c r="N86" s="952"/>
    </row>
    <row r="87" spans="4:14" ht="20.45" customHeight="1">
      <c r="D87" s="1460" t="s">
        <v>414</v>
      </c>
      <c r="E87" s="1461" t="s">
        <v>1453</v>
      </c>
      <c r="F87" s="1461"/>
      <c r="G87" s="1462" t="s">
        <v>1454</v>
      </c>
      <c r="H87" s="1460" t="s">
        <v>393</v>
      </c>
      <c r="I87" s="1461" t="s">
        <v>1456</v>
      </c>
      <c r="J87" s="1462" t="s">
        <v>1457</v>
      </c>
      <c r="K87" s="1460" t="s">
        <v>393</v>
      </c>
      <c r="L87" s="1461" t="s">
        <v>1456</v>
      </c>
      <c r="M87" s="1462" t="s">
        <v>1457</v>
      </c>
      <c r="N87" s="509"/>
    </row>
    <row r="88" spans="4:14" ht="20.45" customHeight="1">
      <c r="D88" s="550" t="s">
        <v>673</v>
      </c>
      <c r="E88" s="509">
        <f>-'3.0'!H275</f>
        <v>-46841095</v>
      </c>
      <c r="F88" s="509"/>
      <c r="G88" s="510">
        <f t="shared" ref="G88:G94" si="9">F88-E88</f>
        <v>46841095</v>
      </c>
      <c r="H88" s="550" t="s">
        <v>695</v>
      </c>
      <c r="I88" s="509" t="s">
        <v>209</v>
      </c>
      <c r="J88" s="510">
        <f>-G88</f>
        <v>-46841095</v>
      </c>
      <c r="K88" s="550" t="s">
        <v>873</v>
      </c>
      <c r="L88" s="509" t="s">
        <v>673</v>
      </c>
      <c r="M88" s="510">
        <f>-J88</f>
        <v>46841095</v>
      </c>
      <c r="N88" s="509"/>
    </row>
    <row r="89" spans="4:14" ht="20.45" customHeight="1">
      <c r="D89" s="550" t="s">
        <v>681</v>
      </c>
      <c r="E89" s="509">
        <f>-'3.0'!H285</f>
        <v>46841095</v>
      </c>
      <c r="F89" s="509"/>
      <c r="G89" s="510">
        <f t="shared" si="9"/>
        <v>-46841095</v>
      </c>
      <c r="H89" s="550" t="s">
        <v>695</v>
      </c>
      <c r="I89" s="509" t="s">
        <v>209</v>
      </c>
      <c r="J89" s="510">
        <f>-G89</f>
        <v>46841095</v>
      </c>
      <c r="K89" s="550" t="s">
        <v>782</v>
      </c>
      <c r="L89" s="509" t="s">
        <v>681</v>
      </c>
      <c r="M89" s="510">
        <f>-J89</f>
        <v>-46841095</v>
      </c>
      <c r="N89" s="509"/>
    </row>
    <row r="90" spans="4:14" ht="20.45" customHeight="1">
      <c r="D90" s="550" t="s">
        <v>2599</v>
      </c>
      <c r="E90" s="509">
        <f>-'3.0'!L54</f>
        <v>-1543857535</v>
      </c>
      <c r="F90" s="509"/>
      <c r="G90" s="510">
        <f t="shared" si="9"/>
        <v>1543857535</v>
      </c>
      <c r="H90" s="550" t="s">
        <v>695</v>
      </c>
      <c r="I90" s="509" t="s">
        <v>209</v>
      </c>
      <c r="J90" s="510">
        <f>-G90</f>
        <v>-1543857535</v>
      </c>
      <c r="K90" s="550"/>
      <c r="L90" s="509"/>
      <c r="M90" s="510">
        <f>-J90</f>
        <v>1543857535</v>
      </c>
      <c r="N90" s="509"/>
    </row>
    <row r="91" spans="4:14" ht="20.45" customHeight="1">
      <c r="D91" s="550"/>
      <c r="E91" s="509"/>
      <c r="F91" s="509"/>
      <c r="G91" s="510"/>
      <c r="H91" s="550"/>
      <c r="I91" s="509"/>
      <c r="J91" s="510"/>
      <c r="K91" s="550"/>
      <c r="L91" s="509"/>
      <c r="M91" s="510"/>
      <c r="N91" s="509"/>
    </row>
    <row r="92" spans="4:14" ht="20.45" customHeight="1">
      <c r="D92" s="550"/>
      <c r="E92" s="509"/>
      <c r="F92" s="509"/>
      <c r="G92" s="510"/>
      <c r="H92" s="550"/>
      <c r="I92" s="509"/>
      <c r="J92" s="510"/>
      <c r="K92" s="550"/>
      <c r="L92" s="509"/>
      <c r="M92" s="510"/>
      <c r="N92" s="509"/>
    </row>
    <row r="93" spans="4:14" ht="20.45" customHeight="1">
      <c r="D93" s="550"/>
      <c r="E93" s="509"/>
      <c r="F93" s="509"/>
      <c r="G93" s="510">
        <f t="shared" si="9"/>
        <v>0</v>
      </c>
      <c r="H93" s="550"/>
      <c r="I93" s="509"/>
      <c r="J93" s="510"/>
      <c r="K93" s="550"/>
      <c r="L93" s="509"/>
      <c r="M93" s="510"/>
      <c r="N93" s="509"/>
    </row>
    <row r="94" spans="4:14" ht="20.45" customHeight="1" thickBot="1">
      <c r="D94" s="1463"/>
      <c r="E94" s="513"/>
      <c r="F94" s="513"/>
      <c r="G94" s="514">
        <f t="shared" si="9"/>
        <v>0</v>
      </c>
      <c r="H94" s="1463"/>
      <c r="I94" s="513"/>
      <c r="J94" s="514"/>
      <c r="K94" s="1463"/>
      <c r="L94" s="513"/>
      <c r="M94" s="514"/>
      <c r="N94" s="509"/>
    </row>
    <row r="95" spans="4:14" ht="20.45" customHeight="1" thickBot="1">
      <c r="D95" s="1466"/>
      <c r="E95" s="1467">
        <f>SUM(E88:E94)</f>
        <v>-1543857535</v>
      </c>
      <c r="F95" s="1467">
        <f>SUM(F88:F94)</f>
        <v>0</v>
      </c>
      <c r="G95" s="1467"/>
      <c r="H95" s="1467"/>
      <c r="I95" s="1467"/>
      <c r="J95" s="1467"/>
      <c r="K95" s="1467"/>
      <c r="L95" s="1467"/>
      <c r="M95" s="560"/>
      <c r="N95" s="509"/>
    </row>
    <row r="96" spans="4:14" ht="20.45" customHeight="1">
      <c r="D96" s="509"/>
      <c r="E96" s="1469"/>
      <c r="F96" s="509"/>
      <c r="G96" s="509">
        <f>SUM(G66:G94)</f>
        <v>0</v>
      </c>
      <c r="H96" s="509"/>
      <c r="I96" s="509"/>
      <c r="J96" s="509"/>
      <c r="K96" s="509"/>
      <c r="L96" s="509"/>
      <c r="M96" s="498" t="b">
        <f>SUM(J88:J94)+SUM(M88:M94)=0</f>
        <v>1</v>
      </c>
      <c r="N96" s="509"/>
    </row>
    <row r="97" spans="3:27" s="494" customFormat="1" ht="20.45" customHeight="1" thickBot="1">
      <c r="D97" s="952" t="s">
        <v>1468</v>
      </c>
      <c r="E97" s="1475"/>
      <c r="F97" s="952"/>
      <c r="G97" s="952"/>
      <c r="H97" s="952"/>
      <c r="I97" s="952"/>
      <c r="J97" s="952"/>
      <c r="K97" s="952"/>
      <c r="L97" s="952"/>
      <c r="M97" s="952"/>
      <c r="N97" s="952"/>
      <c r="O97" s="1115"/>
      <c r="P97" s="1115"/>
      <c r="Q97" s="1115"/>
      <c r="R97" s="1115"/>
      <c r="S97" s="1115"/>
      <c r="T97" s="1115"/>
      <c r="U97" s="1115"/>
      <c r="V97" s="1115"/>
      <c r="W97" s="1115"/>
      <c r="X97" s="1115"/>
      <c r="Y97" s="1115"/>
      <c r="Z97" s="1115"/>
      <c r="AA97" s="1115"/>
    </row>
    <row r="98" spans="3:27" ht="20.45" customHeight="1">
      <c r="D98" s="1460" t="s">
        <v>1469</v>
      </c>
      <c r="E98" s="1461" t="s">
        <v>1470</v>
      </c>
      <c r="F98" s="1461" t="s">
        <v>1457</v>
      </c>
      <c r="G98" s="1462" t="s">
        <v>1454</v>
      </c>
      <c r="H98" s="1460" t="s">
        <v>393</v>
      </c>
      <c r="I98" s="1461" t="s">
        <v>1456</v>
      </c>
      <c r="J98" s="1462" t="s">
        <v>1457</v>
      </c>
      <c r="K98" s="1460" t="s">
        <v>393</v>
      </c>
      <c r="L98" s="1461" t="s">
        <v>1456</v>
      </c>
      <c r="M98" s="1462" t="s">
        <v>1457</v>
      </c>
      <c r="N98" s="509"/>
      <c r="O98" s="1476"/>
      <c r="P98" s="1477"/>
      <c r="Q98" s="1477"/>
      <c r="R98" s="1478"/>
      <c r="S98" s="1476"/>
      <c r="T98" s="1479"/>
      <c r="U98" s="1477"/>
      <c r="V98" s="1479"/>
      <c r="W98" s="1477"/>
      <c r="X98" s="1480"/>
      <c r="Y98" s="1481"/>
      <c r="Z98" s="925"/>
      <c r="AA98" s="925"/>
    </row>
    <row r="99" spans="3:27" ht="20.45" customHeight="1">
      <c r="D99" s="550" t="s">
        <v>15</v>
      </c>
      <c r="E99" s="509" t="s">
        <v>2079</v>
      </c>
      <c r="F99" s="509">
        <v>-1500000000</v>
      </c>
      <c r="G99" s="510">
        <f>Q102</f>
        <v>0</v>
      </c>
      <c r="H99" s="550" t="s">
        <v>1280</v>
      </c>
      <c r="I99" s="509" t="s">
        <v>1281</v>
      </c>
      <c r="J99" s="510">
        <f>-F99</f>
        <v>1500000000</v>
      </c>
      <c r="K99" s="550" t="s">
        <v>1018</v>
      </c>
      <c r="L99" s="509" t="s">
        <v>1019</v>
      </c>
      <c r="M99" s="510">
        <f>-J99</f>
        <v>-1500000000</v>
      </c>
      <c r="N99" s="509"/>
      <c r="O99" s="1476"/>
      <c r="P99" s="1476"/>
      <c r="Q99" s="1476"/>
      <c r="R99" s="1476"/>
      <c r="S99" s="1476"/>
      <c r="T99" s="1476"/>
      <c r="U99" s="1476"/>
      <c r="V99" s="1476"/>
      <c r="W99" s="1476"/>
      <c r="X99" s="1476"/>
      <c r="Y99" s="1476"/>
      <c r="Z99" s="925"/>
      <c r="AA99" s="925"/>
    </row>
    <row r="100" spans="3:27" ht="20.45" customHeight="1">
      <c r="D100" s="550" t="s">
        <v>15</v>
      </c>
      <c r="E100" s="509" t="s">
        <v>2189</v>
      </c>
      <c r="F100" s="509">
        <v>90698630.1369863</v>
      </c>
      <c r="G100" s="510">
        <f>Q103+Q104</f>
        <v>0</v>
      </c>
      <c r="H100" s="550" t="s">
        <v>1006</v>
      </c>
      <c r="I100" s="509" t="s">
        <v>1007</v>
      </c>
      <c r="J100" s="510">
        <f>-F100</f>
        <v>-90698630.1369863</v>
      </c>
      <c r="K100" s="550" t="s">
        <v>1008</v>
      </c>
      <c r="L100" s="509" t="s">
        <v>1009</v>
      </c>
      <c r="M100" s="510">
        <f>-J100</f>
        <v>90698630.1369863</v>
      </c>
      <c r="N100" s="509"/>
      <c r="O100" s="1481"/>
      <c r="P100" s="1482"/>
      <c r="Q100" s="1483"/>
      <c r="R100" s="1484"/>
      <c r="S100" s="1481"/>
      <c r="T100" s="1485"/>
      <c r="U100" s="1482"/>
      <c r="V100" s="1485"/>
      <c r="W100" s="1485"/>
      <c r="X100" s="1484"/>
      <c r="Y100" s="1486"/>
      <c r="Z100" s="1487"/>
      <c r="AA100" s="1487"/>
    </row>
    <row r="101" spans="3:27" ht="20.45" customHeight="1">
      <c r="D101" s="550" t="s">
        <v>15</v>
      </c>
      <c r="E101" s="509" t="s">
        <v>2189</v>
      </c>
      <c r="F101" s="509">
        <v>43857535</v>
      </c>
      <c r="G101" s="510"/>
      <c r="H101" s="550" t="s">
        <v>908</v>
      </c>
      <c r="I101" s="509" t="s">
        <v>909</v>
      </c>
      <c r="J101" s="510">
        <f>-F101</f>
        <v>-43857535</v>
      </c>
      <c r="K101" s="550" t="s">
        <v>950</v>
      </c>
      <c r="L101" s="509" t="s">
        <v>951</v>
      </c>
      <c r="M101" s="510">
        <f>-J101</f>
        <v>43857535</v>
      </c>
      <c r="N101" s="509"/>
      <c r="O101" s="1481"/>
      <c r="P101" s="1482"/>
      <c r="Q101" s="1483"/>
      <c r="R101" s="1484"/>
      <c r="S101" s="1481"/>
      <c r="T101" s="1485"/>
      <c r="U101" s="1482"/>
      <c r="V101" s="1485"/>
      <c r="W101" s="1485"/>
      <c r="X101" s="1484"/>
      <c r="Y101" s="1486"/>
      <c r="Z101" s="1487"/>
      <c r="AA101" s="1487"/>
    </row>
    <row r="102" spans="3:27" s="575" customFormat="1" ht="20.45" customHeight="1">
      <c r="D102" s="1636" t="s">
        <v>15</v>
      </c>
      <c r="E102" s="925" t="s">
        <v>2189</v>
      </c>
      <c r="F102" s="925">
        <v>-1999950000</v>
      </c>
      <c r="G102" s="1640"/>
      <c r="H102" s="1636" t="s">
        <v>1155</v>
      </c>
      <c r="I102" s="925" t="s">
        <v>1156</v>
      </c>
      <c r="J102" s="1640">
        <f>-F102</f>
        <v>1999950000</v>
      </c>
      <c r="K102" s="1636" t="s">
        <v>1238</v>
      </c>
      <c r="L102" s="925" t="s">
        <v>1239</v>
      </c>
      <c r="M102" s="1640">
        <f>-J102</f>
        <v>-1999950000</v>
      </c>
      <c r="N102" s="925"/>
      <c r="O102" s="1481"/>
      <c r="P102" s="1483"/>
      <c r="Q102" s="1482"/>
      <c r="R102" s="1483"/>
      <c r="S102" s="1481"/>
      <c r="T102" s="1485"/>
      <c r="U102" s="1483"/>
      <c r="V102" s="1485"/>
      <c r="W102" s="1485"/>
      <c r="X102" s="1483"/>
      <c r="Y102" s="1486"/>
      <c r="Z102" s="1487"/>
      <c r="AA102" s="1487"/>
    </row>
    <row r="103" spans="3:27" ht="20.45" customHeight="1">
      <c r="D103" s="550"/>
      <c r="E103" s="509"/>
      <c r="F103" s="509"/>
      <c r="G103" s="510">
        <f t="shared" ref="G103:G107" si="10">-F103</f>
        <v>0</v>
      </c>
      <c r="H103" s="550"/>
      <c r="I103" s="509"/>
      <c r="J103" s="510"/>
      <c r="K103" s="550"/>
      <c r="L103" s="509"/>
      <c r="M103" s="510"/>
      <c r="N103" s="509"/>
      <c r="O103" s="1481"/>
      <c r="P103" s="1483"/>
      <c r="Q103" s="1488"/>
      <c r="R103" s="1483"/>
      <c r="S103" s="1481"/>
      <c r="T103" s="1485"/>
      <c r="U103" s="1483"/>
      <c r="V103" s="1485"/>
      <c r="W103" s="1485"/>
      <c r="X103" s="1483"/>
      <c r="Y103" s="1486"/>
      <c r="Z103" s="1487"/>
      <c r="AA103" s="1487"/>
    </row>
    <row r="104" spans="3:27" ht="20.45" customHeight="1">
      <c r="D104" s="550"/>
      <c r="E104" s="509"/>
      <c r="F104" s="509">
        <f>-'CF.1'!K243</f>
        <v>0</v>
      </c>
      <c r="G104" s="510">
        <f t="shared" si="10"/>
        <v>0</v>
      </c>
      <c r="H104" s="550"/>
      <c r="I104" s="509"/>
      <c r="J104" s="510"/>
      <c r="K104" s="550"/>
      <c r="L104" s="509"/>
      <c r="M104" s="510"/>
      <c r="N104" s="509"/>
      <c r="O104" s="1481"/>
      <c r="P104" s="1483"/>
      <c r="Q104" s="1488"/>
      <c r="R104" s="1483"/>
      <c r="S104" s="1481"/>
      <c r="T104" s="1485"/>
      <c r="U104" s="1483"/>
      <c r="V104" s="1485"/>
      <c r="W104" s="1485"/>
      <c r="X104" s="1483"/>
      <c r="Y104" s="1486"/>
      <c r="Z104" s="1487"/>
      <c r="AA104" s="1487"/>
    </row>
    <row r="105" spans="3:27" ht="20.45" customHeight="1">
      <c r="D105" s="550"/>
      <c r="E105" s="509"/>
      <c r="F105" s="509"/>
      <c r="G105" s="510"/>
      <c r="H105" s="550"/>
      <c r="I105" s="509"/>
      <c r="J105" s="510"/>
      <c r="K105" s="550"/>
      <c r="L105" s="509"/>
      <c r="M105" s="510"/>
      <c r="N105" s="509"/>
      <c r="O105" s="1481"/>
      <c r="P105" s="1482"/>
      <c r="Q105" s="1483"/>
      <c r="R105" s="1483"/>
      <c r="S105" s="1481"/>
      <c r="T105" s="1485"/>
      <c r="U105" s="1482"/>
      <c r="V105" s="1485"/>
      <c r="W105" s="1485"/>
      <c r="X105" s="1483"/>
      <c r="Y105" s="1486"/>
      <c r="Z105" s="1487"/>
      <c r="AA105" s="1487"/>
    </row>
    <row r="106" spans="3:27" ht="20.45" customHeight="1">
      <c r="D106" s="550"/>
      <c r="E106" s="509"/>
      <c r="F106" s="509"/>
      <c r="G106" s="510"/>
      <c r="H106" s="550"/>
      <c r="I106" s="509"/>
      <c r="J106" s="510"/>
      <c r="K106" s="550"/>
      <c r="L106" s="509"/>
      <c r="M106" s="510"/>
      <c r="N106" s="509"/>
      <c r="O106" s="1481"/>
      <c r="P106" s="1483"/>
      <c r="Q106" s="1482"/>
      <c r="R106" s="1483"/>
      <c r="S106" s="1483"/>
      <c r="T106" s="1485"/>
      <c r="U106" s="1488"/>
      <c r="V106" s="1483"/>
      <c r="W106" s="1483"/>
      <c r="X106" s="1483"/>
      <c r="Y106" s="1486"/>
      <c r="Z106" s="925"/>
      <c r="AA106" s="925"/>
    </row>
    <row r="107" spans="3:27" ht="20.45" customHeight="1" thickBot="1">
      <c r="D107" s="1463"/>
      <c r="E107" s="513"/>
      <c r="F107" s="513"/>
      <c r="G107" s="510">
        <f t="shared" si="10"/>
        <v>0</v>
      </c>
      <c r="H107" s="1463"/>
      <c r="I107" s="513"/>
      <c r="J107" s="514"/>
      <c r="K107" s="1463"/>
      <c r="L107" s="513"/>
      <c r="M107" s="510"/>
      <c r="N107" s="509" t="s">
        <v>1732</v>
      </c>
      <c r="O107" s="1489"/>
      <c r="P107" s="1489"/>
      <c r="Q107" s="1489"/>
      <c r="R107" s="1489"/>
      <c r="S107" s="1489"/>
      <c r="T107" s="1489"/>
      <c r="U107" s="1489"/>
      <c r="V107" s="1489"/>
      <c r="W107" s="1489"/>
      <c r="X107" s="1489"/>
      <c r="Y107" s="1489"/>
      <c r="Z107" s="925"/>
      <c r="AA107" s="925"/>
    </row>
    <row r="108" spans="3:27" ht="20.45" customHeight="1" thickBot="1">
      <c r="D108" s="1466"/>
      <c r="E108" s="1467">
        <f>SUM(E99:E107)</f>
        <v>0</v>
      </c>
      <c r="F108" s="1467">
        <f>SUM(F99:F107)</f>
        <v>-3365393834.8630137</v>
      </c>
      <c r="G108" s="1467"/>
      <c r="H108" s="1467"/>
      <c r="I108" s="1467"/>
      <c r="J108" s="1467"/>
      <c r="K108" s="1467"/>
      <c r="L108" s="1467"/>
      <c r="M108" s="560"/>
      <c r="N108" s="509"/>
      <c r="O108" s="1486"/>
      <c r="P108" s="1490"/>
      <c r="Q108" s="1490"/>
      <c r="R108" s="1484"/>
      <c r="S108" s="1484"/>
      <c r="T108" s="1484"/>
      <c r="U108" s="1484"/>
      <c r="V108" s="1484"/>
      <c r="W108" s="1484"/>
      <c r="X108" s="1484"/>
      <c r="Y108" s="1484"/>
      <c r="Z108" s="925"/>
      <c r="AA108" s="925"/>
    </row>
    <row r="109" spans="3:27" ht="20.45" customHeight="1">
      <c r="D109" s="509"/>
      <c r="E109" s="1469"/>
      <c r="F109" s="509"/>
      <c r="G109" s="509"/>
      <c r="H109" s="509"/>
      <c r="I109" s="509"/>
      <c r="J109" s="509"/>
      <c r="K109" s="509"/>
      <c r="L109" s="509"/>
      <c r="M109" s="498" t="b">
        <f>SUM(J99:J107)+SUM(M99:M107)=0</f>
        <v>1</v>
      </c>
      <c r="N109" s="509"/>
      <c r="O109" s="1483"/>
      <c r="P109" s="1490"/>
      <c r="Q109" s="1491"/>
      <c r="R109" s="1483"/>
      <c r="S109" s="1484"/>
      <c r="T109" s="1484"/>
      <c r="U109" s="1484"/>
      <c r="V109" s="1484"/>
      <c r="W109" s="1484"/>
      <c r="X109" s="1484"/>
      <c r="Y109" s="1484"/>
      <c r="Z109" s="1115"/>
      <c r="AA109" s="925"/>
    </row>
    <row r="110" spans="3:27" s="494" customFormat="1" ht="20.45" customHeight="1" thickBot="1">
      <c r="C110" s="494" t="s">
        <v>1464</v>
      </c>
      <c r="O110" s="1490"/>
      <c r="P110" s="1492"/>
      <c r="Q110" s="1490"/>
      <c r="R110" s="1483"/>
      <c r="S110" s="1484"/>
      <c r="T110" s="1484"/>
      <c r="U110" s="1484"/>
      <c r="V110" s="1484"/>
      <c r="W110" s="1484"/>
      <c r="X110" s="1484"/>
      <c r="Y110" s="1484"/>
      <c r="Z110" s="925"/>
      <c r="AA110" s="1115"/>
    </row>
    <row r="111" spans="3:27" ht="20.45" customHeight="1" thickBot="1">
      <c r="D111" s="1460" t="s">
        <v>499</v>
      </c>
      <c r="E111" s="1461" t="s">
        <v>1453</v>
      </c>
      <c r="F111" s="1461"/>
      <c r="G111" s="1462" t="s">
        <v>1454</v>
      </c>
      <c r="H111" s="1460" t="s">
        <v>393</v>
      </c>
      <c r="I111" s="1461" t="s">
        <v>1456</v>
      </c>
      <c r="J111" s="1462" t="s">
        <v>1457</v>
      </c>
      <c r="K111" s="1460" t="s">
        <v>393</v>
      </c>
      <c r="L111" s="1461" t="s">
        <v>1456</v>
      </c>
      <c r="M111" s="1462" t="s">
        <v>1457</v>
      </c>
      <c r="O111" s="1483"/>
      <c r="P111" s="1490"/>
      <c r="Q111" s="1492"/>
      <c r="R111" s="1484"/>
      <c r="S111" s="1484"/>
      <c r="T111" s="1484"/>
      <c r="U111" s="1484"/>
      <c r="V111" s="1484"/>
      <c r="W111" s="1484"/>
      <c r="X111" s="1484"/>
      <c r="Y111" s="1484"/>
      <c r="Z111" s="925"/>
      <c r="AA111" s="925"/>
    </row>
    <row r="112" spans="3:27" ht="20.45" customHeight="1">
      <c r="D112" s="550" t="s">
        <v>216</v>
      </c>
      <c r="E112" s="509">
        <f>-'7.0'!F42</f>
        <v>0</v>
      </c>
      <c r="F112" s="509"/>
      <c r="G112" s="509">
        <v>0</v>
      </c>
      <c r="H112" s="1493" t="s">
        <v>1153</v>
      </c>
      <c r="I112" s="1494" t="s">
        <v>1154</v>
      </c>
      <c r="J112" s="1495">
        <f>-G112</f>
        <v>0</v>
      </c>
      <c r="K112" s="1493" t="s">
        <v>1157</v>
      </c>
      <c r="L112" s="1494" t="s">
        <v>1158</v>
      </c>
      <c r="M112" s="1495">
        <f>-J112</f>
        <v>0</v>
      </c>
      <c r="O112" s="1483"/>
      <c r="P112" s="1492"/>
      <c r="Q112" s="1490"/>
      <c r="R112" s="1483"/>
      <c r="S112" s="1484"/>
      <c r="T112" s="1484"/>
      <c r="U112" s="1484"/>
      <c r="V112" s="1484"/>
      <c r="W112" s="1484"/>
      <c r="X112" s="1484"/>
      <c r="Y112" s="1484"/>
      <c r="Z112" s="925"/>
      <c r="AA112" s="925"/>
    </row>
    <row r="113" spans="3:27" ht="20.45" customHeight="1">
      <c r="D113" s="550" t="s">
        <v>216</v>
      </c>
      <c r="E113" s="509">
        <f>-'3.0'!H328</f>
        <v>0</v>
      </c>
      <c r="F113" s="509"/>
      <c r="G113" s="509">
        <v>0</v>
      </c>
      <c r="H113" s="1468" t="s">
        <v>1153</v>
      </c>
      <c r="I113" s="509" t="s">
        <v>1154</v>
      </c>
      <c r="J113" s="1470">
        <f>-G113</f>
        <v>0</v>
      </c>
      <c r="K113" s="1468" t="s">
        <v>1262</v>
      </c>
      <c r="L113" s="509" t="s">
        <v>1263</v>
      </c>
      <c r="M113" s="1470">
        <f t="shared" ref="M113:M118" si="11">-J113</f>
        <v>0</v>
      </c>
      <c r="O113" s="1483"/>
      <c r="P113" s="1492"/>
      <c r="Q113" s="1490"/>
      <c r="R113" s="1484"/>
      <c r="S113" s="1484"/>
      <c r="T113" s="1484"/>
      <c r="U113" s="1484"/>
      <c r="V113" s="1484"/>
      <c r="W113" s="1484"/>
      <c r="X113" s="1484"/>
      <c r="Y113" s="1484"/>
      <c r="Z113" s="925"/>
      <c r="AA113" s="925"/>
    </row>
    <row r="114" spans="3:27" ht="20.45" customHeight="1">
      <c r="D114" s="550" t="s">
        <v>216</v>
      </c>
      <c r="E114" s="509">
        <f>-'CF.1'!H241</f>
        <v>0</v>
      </c>
      <c r="F114" s="509"/>
      <c r="G114" s="509">
        <f>F114-E114</f>
        <v>0</v>
      </c>
      <c r="H114" s="1468" t="s">
        <v>1123</v>
      </c>
      <c r="I114" s="509" t="s">
        <v>1124</v>
      </c>
      <c r="J114" s="1470">
        <f>-G114</f>
        <v>0</v>
      </c>
      <c r="K114" s="1468" t="s">
        <v>1262</v>
      </c>
      <c r="L114" s="509" t="s">
        <v>1263</v>
      </c>
      <c r="M114" s="1470">
        <f t="shared" si="11"/>
        <v>0</v>
      </c>
      <c r="O114" s="1490"/>
      <c r="P114" s="1496"/>
      <c r="Q114" s="1496"/>
      <c r="R114" s="1484"/>
      <c r="S114" s="1484"/>
      <c r="T114" s="1484"/>
      <c r="U114" s="1484"/>
      <c r="V114" s="1484"/>
      <c r="W114" s="1484"/>
      <c r="X114" s="1484"/>
      <c r="Y114" s="1484"/>
      <c r="Z114" s="925"/>
      <c r="AA114" s="925"/>
    </row>
    <row r="115" spans="3:27" ht="20.45" customHeight="1">
      <c r="D115" s="550" t="s">
        <v>213</v>
      </c>
      <c r="E115" s="509"/>
      <c r="F115" s="509"/>
      <c r="G115" s="509">
        <f>F115-E115</f>
        <v>0</v>
      </c>
      <c r="H115" s="1468" t="s">
        <v>853</v>
      </c>
      <c r="I115" s="509" t="s">
        <v>854</v>
      </c>
      <c r="J115" s="1470"/>
      <c r="K115" s="1468" t="s">
        <v>702</v>
      </c>
      <c r="L115" s="509" t="s">
        <v>1416</v>
      </c>
      <c r="M115" s="1470"/>
      <c r="O115" s="925"/>
      <c r="P115" s="925"/>
      <c r="Q115" s="925"/>
      <c r="R115" s="925"/>
      <c r="S115" s="925"/>
      <c r="T115" s="925"/>
      <c r="U115" s="925"/>
      <c r="V115" s="925"/>
      <c r="W115" s="925"/>
      <c r="X115" s="925"/>
      <c r="Y115" s="925"/>
      <c r="Z115" s="925"/>
      <c r="AA115" s="925"/>
    </row>
    <row r="116" spans="3:27" ht="20.45" customHeight="1">
      <c r="D116" s="550"/>
      <c r="E116" s="509"/>
      <c r="F116" s="509"/>
      <c r="G116" s="509">
        <f>F116-E116</f>
        <v>0</v>
      </c>
      <c r="H116" s="1468" t="s">
        <v>815</v>
      </c>
      <c r="I116" s="509" t="s">
        <v>816</v>
      </c>
      <c r="J116" s="1470">
        <f>T_IS!H119</f>
        <v>0</v>
      </c>
      <c r="K116" s="1468" t="s">
        <v>695</v>
      </c>
      <c r="L116" s="509" t="s">
        <v>209</v>
      </c>
      <c r="M116" s="1470">
        <f>-J115-M115-J116-J117</f>
        <v>0</v>
      </c>
    </row>
    <row r="117" spans="3:27" ht="20.45" customHeight="1">
      <c r="D117" s="550"/>
      <c r="E117" s="509">
        <f>-'1.0'!F35</f>
        <v>0</v>
      </c>
      <c r="F117" s="509"/>
      <c r="G117" s="509">
        <f>F117-E117</f>
        <v>0</v>
      </c>
      <c r="H117" s="1468" t="s">
        <v>904</v>
      </c>
      <c r="I117" s="509" t="s">
        <v>905</v>
      </c>
      <c r="J117" s="1470"/>
      <c r="K117" s="1468"/>
      <c r="L117" s="509"/>
      <c r="M117" s="1470"/>
    </row>
    <row r="118" spans="3:27" ht="20.45" customHeight="1" thickBot="1">
      <c r="D118" s="1463"/>
      <c r="E118" s="513"/>
      <c r="F118" s="513"/>
      <c r="G118" s="513">
        <f>F118-E118</f>
        <v>0</v>
      </c>
      <c r="H118" s="1497"/>
      <c r="I118" s="1498"/>
      <c r="J118" s="1499"/>
      <c r="K118" s="1497"/>
      <c r="L118" s="1498"/>
      <c r="M118" s="1499">
        <f t="shared" si="11"/>
        <v>0</v>
      </c>
    </row>
    <row r="119" spans="3:27" ht="20.45" customHeight="1" thickBot="1">
      <c r="D119" s="1466"/>
      <c r="E119" s="1467">
        <f>SUM(E112:E118)</f>
        <v>0</v>
      </c>
      <c r="F119" s="1467">
        <f>SUM(F112:F118)</f>
        <v>0</v>
      </c>
      <c r="G119" s="1467"/>
      <c r="H119" s="513"/>
      <c r="I119" s="513"/>
      <c r="J119" s="513"/>
      <c r="K119" s="513"/>
      <c r="L119" s="513"/>
      <c r="M119" s="514"/>
    </row>
    <row r="120" spans="3:27" ht="20.45" customHeight="1">
      <c r="M120" s="498" t="b">
        <f>SUM(J112:J118)+SUM(M112:M118)=0</f>
        <v>1</v>
      </c>
    </row>
    <row r="122" spans="3:27" s="494" customFormat="1" ht="20.45" customHeight="1" thickBot="1">
      <c r="C122" s="494" t="s">
        <v>537</v>
      </c>
    </row>
    <row r="123" spans="3:27" ht="20.45" customHeight="1">
      <c r="D123" s="1460" t="s">
        <v>414</v>
      </c>
      <c r="E123" s="1461" t="s">
        <v>1453</v>
      </c>
      <c r="F123" s="1461"/>
      <c r="G123" s="1462" t="s">
        <v>1454</v>
      </c>
      <c r="H123" s="1460" t="s">
        <v>393</v>
      </c>
      <c r="I123" s="1461" t="s">
        <v>1456</v>
      </c>
      <c r="J123" s="1462" t="s">
        <v>1457</v>
      </c>
      <c r="K123" s="1460" t="s">
        <v>393</v>
      </c>
      <c r="L123" s="1461" t="s">
        <v>1456</v>
      </c>
      <c r="M123" s="1462" t="s">
        <v>1457</v>
      </c>
    </row>
    <row r="124" spans="3:27" s="575" customFormat="1" ht="20.45" customHeight="1">
      <c r="D124" s="1636" t="s">
        <v>302</v>
      </c>
      <c r="E124" s="925">
        <f>'6.0'!V14</f>
        <v>0</v>
      </c>
      <c r="F124" s="925"/>
      <c r="G124" s="1640">
        <f>-E124</f>
        <v>0</v>
      </c>
      <c r="H124" s="1636" t="s">
        <v>702</v>
      </c>
      <c r="I124" s="925" t="s">
        <v>1416</v>
      </c>
      <c r="J124" s="1640">
        <f>-G124</f>
        <v>0</v>
      </c>
      <c r="K124" s="1636" t="s">
        <v>904</v>
      </c>
      <c r="L124" s="925" t="s">
        <v>1422</v>
      </c>
      <c r="M124" s="1640">
        <f>-J124</f>
        <v>0</v>
      </c>
    </row>
    <row r="125" spans="3:27" s="575" customFormat="1" ht="20.45" customHeight="1">
      <c r="D125" s="1636" t="s">
        <v>713</v>
      </c>
      <c r="E125" s="925">
        <f>-('7.0'!V8+'7.0'!V10+'7.0'!V12)</f>
        <v>-5865724</v>
      </c>
      <c r="F125" s="925"/>
      <c r="G125" s="1640">
        <f>-E125</f>
        <v>5865724</v>
      </c>
      <c r="H125" s="1636" t="s">
        <v>695</v>
      </c>
      <c r="I125" s="925" t="s">
        <v>209</v>
      </c>
      <c r="J125" s="1640">
        <f>-G125</f>
        <v>-5865724</v>
      </c>
      <c r="K125" s="1636" t="s">
        <v>815</v>
      </c>
      <c r="L125" s="925" t="s">
        <v>816</v>
      </c>
      <c r="M125" s="1640">
        <f t="shared" ref="M125:M133" si="12">-J125</f>
        <v>5865724</v>
      </c>
    </row>
    <row r="126" spans="3:27" s="575" customFormat="1" ht="20.45" customHeight="1">
      <c r="D126" s="1636" t="s">
        <v>1766</v>
      </c>
      <c r="E126" s="925">
        <f>'5.0'!N30</f>
        <v>0</v>
      </c>
      <c r="F126" s="925"/>
      <c r="G126" s="1640">
        <f>F126-E126</f>
        <v>0</v>
      </c>
      <c r="H126" s="1636" t="s">
        <v>1767</v>
      </c>
      <c r="I126" s="925" t="s">
        <v>1766</v>
      </c>
      <c r="J126" s="1640">
        <f>-G126</f>
        <v>0</v>
      </c>
      <c r="K126" s="1636" t="s">
        <v>695</v>
      </c>
      <c r="L126" s="925" t="s">
        <v>209</v>
      </c>
      <c r="M126" s="1640">
        <f t="shared" si="12"/>
        <v>0</v>
      </c>
    </row>
    <row r="127" spans="3:27" s="575" customFormat="1" ht="20.45" customHeight="1">
      <c r="D127" s="1636" t="s">
        <v>83</v>
      </c>
      <c r="E127" s="925"/>
      <c r="F127" s="925"/>
      <c r="G127" s="1640"/>
      <c r="H127" s="1636" t="s">
        <v>817</v>
      </c>
      <c r="I127" s="925" t="s">
        <v>818</v>
      </c>
      <c r="J127" s="1640"/>
      <c r="K127" s="1636" t="s">
        <v>904</v>
      </c>
      <c r="L127" s="925" t="s">
        <v>83</v>
      </c>
      <c r="M127" s="1640"/>
    </row>
    <row r="128" spans="3:27" s="575" customFormat="1" ht="20.45" customHeight="1">
      <c r="D128" s="1636" t="s">
        <v>372</v>
      </c>
      <c r="E128" s="925">
        <f>-'7.0'!V7-'7.0'!V9-'7.0'!V11</f>
        <v>-201029108</v>
      </c>
      <c r="F128" s="925"/>
      <c r="G128" s="1640">
        <f>F128-E128</f>
        <v>201029108</v>
      </c>
      <c r="H128" s="1636" t="s">
        <v>695</v>
      </c>
      <c r="I128" s="925" t="s">
        <v>209</v>
      </c>
      <c r="J128" s="1640">
        <f>-G128</f>
        <v>-201029108</v>
      </c>
      <c r="K128" s="1636" t="s">
        <v>714</v>
      </c>
      <c r="L128" s="925" t="s">
        <v>715</v>
      </c>
      <c r="M128" s="1640">
        <f>-J128</f>
        <v>201029108</v>
      </c>
    </row>
    <row r="129" spans="4:13" s="575" customFormat="1" ht="20.45" customHeight="1">
      <c r="D129" s="1636" t="s">
        <v>2199</v>
      </c>
      <c r="E129" s="925">
        <f>'6.0'!V35</f>
        <v>-1512524639</v>
      </c>
      <c r="F129" s="925"/>
      <c r="G129" s="1640">
        <f>F129-E129</f>
        <v>1512524639</v>
      </c>
      <c r="H129" s="1265" t="s">
        <v>920</v>
      </c>
      <c r="I129" s="1265" t="s">
        <v>921</v>
      </c>
      <c r="J129" s="1640">
        <f>G129</f>
        <v>1512524639</v>
      </c>
      <c r="K129" s="1265" t="s">
        <v>952</v>
      </c>
      <c r="L129" s="1265" t="s">
        <v>953</v>
      </c>
      <c r="M129" s="1640">
        <f>-J129</f>
        <v>-1512524639</v>
      </c>
    </row>
    <row r="130" spans="4:13" s="575" customFormat="1" ht="20.45" customHeight="1">
      <c r="D130" s="1636" t="s">
        <v>2202</v>
      </c>
      <c r="E130" s="925">
        <f>'6.0'!V45</f>
        <v>0</v>
      </c>
      <c r="F130" s="925"/>
      <c r="G130" s="1640">
        <f>-E130</f>
        <v>0</v>
      </c>
      <c r="H130" s="1265" t="s">
        <v>1010</v>
      </c>
      <c r="I130" s="1265" t="s">
        <v>1011</v>
      </c>
      <c r="J130" s="1640">
        <f>G130</f>
        <v>0</v>
      </c>
      <c r="K130" s="1265" t="s">
        <v>1012</v>
      </c>
      <c r="L130" s="1265" t="s">
        <v>1013</v>
      </c>
      <c r="M130" s="1640">
        <f>-J130</f>
        <v>0</v>
      </c>
    </row>
    <row r="131" spans="4:13" s="575" customFormat="1" ht="20.45" customHeight="1">
      <c r="D131" s="1636" t="s">
        <v>2194</v>
      </c>
      <c r="E131" s="925"/>
      <c r="F131" s="925"/>
      <c r="G131" s="1640">
        <f>F131-E131</f>
        <v>0</v>
      </c>
      <c r="H131" s="1636" t="s">
        <v>695</v>
      </c>
      <c r="I131" s="925" t="s">
        <v>209</v>
      </c>
      <c r="J131" s="1640">
        <f>G131</f>
        <v>0</v>
      </c>
      <c r="K131" s="1636" t="s">
        <v>2195</v>
      </c>
      <c r="L131" s="1271" t="s">
        <v>1156</v>
      </c>
      <c r="M131" s="1640">
        <f t="shared" si="12"/>
        <v>0</v>
      </c>
    </row>
    <row r="132" spans="4:13" s="575" customFormat="1" ht="20.45" customHeight="1">
      <c r="D132" s="2020" t="s">
        <v>2882</v>
      </c>
      <c r="E132" s="2021">
        <f>'4.0'!V33</f>
        <v>-216671</v>
      </c>
      <c r="F132" s="2021"/>
      <c r="G132" s="2022">
        <f>F132-E132</f>
        <v>216671</v>
      </c>
      <c r="H132" s="1869" t="s">
        <v>1381</v>
      </c>
      <c r="I132" s="1870" t="s">
        <v>1434</v>
      </c>
      <c r="J132" s="2022">
        <f>-G132</f>
        <v>-216671</v>
      </c>
      <c r="K132" s="1869" t="s">
        <v>733</v>
      </c>
      <c r="L132" s="1870" t="s">
        <v>734</v>
      </c>
      <c r="M132" s="2022">
        <f>-J132</f>
        <v>216671</v>
      </c>
    </row>
    <row r="133" spans="4:13" s="575" customFormat="1" ht="20.45" customHeight="1" thickBot="1">
      <c r="D133" s="2016"/>
      <c r="E133" s="2017"/>
      <c r="F133" s="2017"/>
      <c r="G133" s="2018">
        <f>F133-E133</f>
        <v>0</v>
      </c>
      <c r="H133" s="1636"/>
      <c r="I133" s="925"/>
      <c r="J133" s="1640"/>
      <c r="K133" s="2016"/>
      <c r="L133" s="2017"/>
      <c r="M133" s="1640">
        <f t="shared" si="12"/>
        <v>0</v>
      </c>
    </row>
    <row r="134" spans="4:13" ht="20.45" customHeight="1" thickBot="1">
      <c r="D134" s="1466"/>
      <c r="E134" s="1467">
        <f>SUM(E124:E133)</f>
        <v>-1719636142</v>
      </c>
      <c r="F134" s="1467">
        <f>SUM(F124:F133)</f>
        <v>0</v>
      </c>
      <c r="G134" s="1467"/>
      <c r="H134" s="1467"/>
      <c r="I134" s="1467"/>
      <c r="J134" s="1467"/>
      <c r="K134" s="1467"/>
      <c r="L134" s="1467"/>
      <c r="M134" s="560"/>
    </row>
    <row r="137" spans="4:13" ht="20.45" customHeight="1">
      <c r="I137" s="770" t="s">
        <v>758</v>
      </c>
      <c r="J137" s="1427">
        <v>-55642267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F0"/>
  </sheetPr>
  <dimension ref="D3:AG65"/>
  <sheetViews>
    <sheetView showGridLines="0" zoomScale="80" zoomScaleNormal="80" workbookViewId="0">
      <pane xSplit="6" ySplit="5" topLeftCell="G21" activePane="bottomRight" state="frozen"/>
      <selection activeCell="F36" sqref="F36"/>
      <selection pane="topRight" activeCell="F36" sqref="F36"/>
      <selection pane="bottomLeft" activeCell="F36" sqref="F36"/>
      <selection pane="bottomRight" activeCell="F36" sqref="F36"/>
    </sheetView>
  </sheetViews>
  <sheetFormatPr defaultColWidth="9" defaultRowHeight="18" customHeight="1"/>
  <cols>
    <col min="1" max="3" width="2.375" style="770" customWidth="1"/>
    <col min="4" max="4" width="23.125" style="770" customWidth="1"/>
    <col min="5" max="5" width="25.625" style="770" customWidth="1"/>
    <col min="6" max="6" width="12.375" style="770" bestFit="1" customWidth="1"/>
    <col min="7" max="14" width="15.625" style="770" customWidth="1"/>
    <col min="15" max="15" width="2.625" style="770" customWidth="1"/>
    <col min="16" max="16" width="10.625" style="836" customWidth="1"/>
    <col min="17" max="17" width="2.625" style="836" customWidth="1"/>
    <col min="18" max="18" width="30.125" style="770" customWidth="1"/>
    <col min="19" max="19" width="12.375" style="770" customWidth="1"/>
    <col min="20" max="23" width="15.625" style="770" customWidth="1"/>
    <col min="24" max="24" width="8.625" style="836" customWidth="1"/>
    <col min="25" max="25" width="8.625" style="1412" customWidth="1"/>
    <col min="26" max="26" width="2.625" style="770" customWidth="1"/>
    <col min="27" max="27" width="30.625" style="770" customWidth="1"/>
    <col min="28" max="28" width="12.375" style="770" bestFit="1" customWidth="1"/>
    <col min="29" max="32" width="15.625" style="770" customWidth="1"/>
    <col min="33" max="16384" width="9" style="770"/>
  </cols>
  <sheetData>
    <row r="3" spans="4:33" ht="18" customHeight="1" thickBot="1">
      <c r="AA3" s="1413" t="s">
        <v>2504</v>
      </c>
    </row>
    <row r="4" spans="4:33" s="772" customFormat="1" ht="18" customHeight="1">
      <c r="D4" s="1802"/>
      <c r="E4" s="1804"/>
      <c r="F4" s="1803"/>
      <c r="G4" s="1414" t="str">
        <f>T_BS!X5</f>
        <v>FY2022.Q4</v>
      </c>
      <c r="H4" s="1414"/>
      <c r="I4" s="1415" t="s">
        <v>2612</v>
      </c>
      <c r="J4" s="1415"/>
      <c r="K4" s="1415" t="s">
        <v>2302</v>
      </c>
      <c r="L4" s="1415"/>
      <c r="M4" s="2115" t="s">
        <v>2303</v>
      </c>
      <c r="N4" s="2116"/>
      <c r="P4" s="778"/>
      <c r="Q4" s="778"/>
      <c r="R4" s="1416"/>
      <c r="S4" s="1416"/>
      <c r="T4" s="1416"/>
      <c r="U4" s="1416"/>
      <c r="V4" s="1416"/>
      <c r="W4" s="1416"/>
      <c r="X4" s="778"/>
      <c r="Y4" s="1412"/>
      <c r="AA4" s="1413" t="s">
        <v>2505</v>
      </c>
      <c r="AB4" s="770"/>
      <c r="AC4" s="770"/>
      <c r="AD4" s="770"/>
      <c r="AE4" s="770"/>
      <c r="AF4" s="770"/>
      <c r="AG4" s="770"/>
    </row>
    <row r="5" spans="4:33" ht="18" customHeight="1">
      <c r="D5" s="1417" t="s">
        <v>1649</v>
      </c>
      <c r="E5" s="1418" t="s">
        <v>2645</v>
      </c>
      <c r="F5" s="1418" t="s">
        <v>2647</v>
      </c>
      <c r="G5" s="1419" t="s">
        <v>2835</v>
      </c>
      <c r="H5" s="1419"/>
      <c r="I5" s="1420" t="s">
        <v>2670</v>
      </c>
      <c r="J5" s="1420"/>
      <c r="K5" s="1420" t="s">
        <v>2671</v>
      </c>
      <c r="L5" s="1420"/>
      <c r="M5" s="1420" t="s">
        <v>2672</v>
      </c>
      <c r="N5" s="1421"/>
      <c r="R5" s="1943" t="s">
        <v>2654</v>
      </c>
      <c r="S5" s="1944" t="s">
        <v>1662</v>
      </c>
      <c r="T5" s="2110" t="s">
        <v>2922</v>
      </c>
      <c r="U5" s="2110"/>
      <c r="V5" s="2110" t="s">
        <v>2503</v>
      </c>
      <c r="W5" s="2111"/>
      <c r="AA5" s="1422" t="s">
        <v>2654</v>
      </c>
      <c r="AB5" s="1423" t="s">
        <v>2666</v>
      </c>
      <c r="AC5" s="2112" t="s">
        <v>2535</v>
      </c>
      <c r="AD5" s="2113"/>
      <c r="AE5" s="2112" t="s">
        <v>2536</v>
      </c>
      <c r="AF5" s="2114"/>
    </row>
    <row r="6" spans="4:33" ht="18" customHeight="1">
      <c r="D6" s="1853"/>
      <c r="E6" s="1424" t="s">
        <v>2646</v>
      </c>
      <c r="F6" s="1425"/>
      <c r="G6" s="1425"/>
      <c r="H6" s="1425"/>
      <c r="I6" s="1425"/>
      <c r="J6" s="1425"/>
      <c r="K6" s="1425"/>
      <c r="L6" s="1425"/>
      <c r="M6" s="1425"/>
      <c r="N6" s="1426"/>
      <c r="O6" s="1427"/>
      <c r="P6" s="1428" t="s">
        <v>1957</v>
      </c>
      <c r="Q6" s="1429"/>
      <c r="R6" s="1945" t="s">
        <v>2807</v>
      </c>
      <c r="S6" s="1946"/>
      <c r="T6" s="1947"/>
      <c r="U6" s="1947"/>
      <c r="V6" s="1947"/>
      <c r="W6" s="1948"/>
      <c r="X6" s="1429"/>
      <c r="AA6" s="1430" t="s">
        <v>0</v>
      </c>
      <c r="AB6" s="1431"/>
      <c r="AC6" s="1432"/>
      <c r="AD6" s="1432"/>
      <c r="AE6" s="1432"/>
      <c r="AF6" s="1433"/>
    </row>
    <row r="7" spans="4:33" ht="18" customHeight="1">
      <c r="D7" s="1854"/>
      <c r="E7" s="1434" t="s">
        <v>1650</v>
      </c>
      <c r="F7" s="1435"/>
      <c r="G7" s="1435"/>
      <c r="H7" s="1435">
        <f>SUM(G8:G13)</f>
        <v>214667789549</v>
      </c>
      <c r="I7" s="1435"/>
      <c r="J7" s="1435">
        <f>SUM(I8:I13)</f>
        <v>199080198796</v>
      </c>
      <c r="K7" s="1435"/>
      <c r="L7" s="1435">
        <f>SUM(K8:K13)</f>
        <v>146277936324</v>
      </c>
      <c r="M7" s="1435"/>
      <c r="N7" s="1436">
        <f>SUM(M8:M13)</f>
        <v>136268490827</v>
      </c>
      <c r="O7" s="1427"/>
      <c r="P7" s="1437" t="b">
        <f>AD7=J7</f>
        <v>1</v>
      </c>
      <c r="Q7" s="1437"/>
      <c r="R7" s="1949" t="s">
        <v>1650</v>
      </c>
      <c r="S7" s="1950"/>
      <c r="T7" s="1951"/>
      <c r="U7" s="1951">
        <f>H7</f>
        <v>214667789549</v>
      </c>
      <c r="V7" s="1951"/>
      <c r="W7" s="1952">
        <v>199080198796</v>
      </c>
      <c r="X7" s="1437" t="b">
        <f>U7=SUM(T8:T13)</f>
        <v>1</v>
      </c>
      <c r="Y7" s="1412" t="b">
        <f>W7=SUM(V8:V13)</f>
        <v>1</v>
      </c>
      <c r="AA7" s="1430" t="s">
        <v>2506</v>
      </c>
      <c r="AB7" s="1431"/>
      <c r="AC7" s="1432"/>
      <c r="AD7" s="1438">
        <v>199080198796</v>
      </c>
      <c r="AE7" s="1432"/>
      <c r="AF7" s="1439">
        <v>146277936324</v>
      </c>
    </row>
    <row r="8" spans="4:33" ht="18" customHeight="1">
      <c r="D8" s="1855" t="s">
        <v>1</v>
      </c>
      <c r="E8" s="1851" t="s">
        <v>1</v>
      </c>
      <c r="F8" s="1441">
        <v>5</v>
      </c>
      <c r="G8" s="1442">
        <f>SUMIF(T_BS!$E:$E,'BS(공)'!D8,T_BS!$X:$X)</f>
        <v>145092190441</v>
      </c>
      <c r="H8" s="1442"/>
      <c r="I8" s="1442">
        <f>SUMIF(T_BS!$E:$E,'BS(공)'!$D8,T_BS!$AI:$AI)</f>
        <v>132018644520</v>
      </c>
      <c r="J8" s="1442"/>
      <c r="K8" s="1442">
        <f>SUMIF(T_BS!$E:$E,'BS(공)'!$D8,T_BS!$AN:$AN)</f>
        <v>97271207132</v>
      </c>
      <c r="L8" s="1442"/>
      <c r="M8" s="1442">
        <v>88901392676</v>
      </c>
      <c r="N8" s="1443"/>
      <c r="O8" s="1427"/>
      <c r="P8" s="1437" t="b">
        <f t="shared" ref="P8:P13" si="0">AC8=I8</f>
        <v>1</v>
      </c>
      <c r="Q8" s="1437"/>
      <c r="R8" s="1953" t="s">
        <v>2639</v>
      </c>
      <c r="S8" s="1954">
        <v>5</v>
      </c>
      <c r="T8" s="1955">
        <f t="shared" ref="T8:T13" si="1">G8</f>
        <v>145092190441</v>
      </c>
      <c r="U8" s="1955"/>
      <c r="V8" s="1955">
        <v>132018644520</v>
      </c>
      <c r="W8" s="1956"/>
      <c r="X8" s="1437"/>
      <c r="AA8" s="1430" t="s">
        <v>2507</v>
      </c>
      <c r="AB8" s="1431" t="s">
        <v>2428</v>
      </c>
      <c r="AC8" s="1438">
        <v>132018644520</v>
      </c>
      <c r="AD8" s="1432"/>
      <c r="AE8" s="1438">
        <v>97271207132</v>
      </c>
      <c r="AF8" s="1433"/>
    </row>
    <row r="9" spans="4:33" ht="18" customHeight="1">
      <c r="D9" s="1856" t="s">
        <v>2391</v>
      </c>
      <c r="E9" s="1852" t="s">
        <v>635</v>
      </c>
      <c r="F9" s="1444">
        <v>5</v>
      </c>
      <c r="G9" s="1445">
        <f>SUMIF(T_BS!$E:$E,'BS(공)'!D9,T_BS!$X:$X)</f>
        <v>0</v>
      </c>
      <c r="H9" s="1445"/>
      <c r="I9" s="1442">
        <f>SUMIF(T_BS!$E:$E,'BS(공)'!$D9,T_BS!$AI:$AI)</f>
        <v>309072000</v>
      </c>
      <c r="J9" s="1445"/>
      <c r="K9" s="1442">
        <f>SUMIF(T_BS!$E:$E,'BS(공)'!$D9,T_BS!$AN:$AN)</f>
        <v>0</v>
      </c>
      <c r="L9" s="1445"/>
      <c r="M9" s="1445">
        <v>0</v>
      </c>
      <c r="N9" s="1443"/>
      <c r="O9" s="1427"/>
      <c r="P9" s="1437" t="b">
        <f t="shared" si="0"/>
        <v>1</v>
      </c>
      <c r="Q9" s="1437"/>
      <c r="R9" s="1953" t="s">
        <v>2640</v>
      </c>
      <c r="S9" s="1954">
        <v>5</v>
      </c>
      <c r="T9" s="1955">
        <f t="shared" si="1"/>
        <v>0</v>
      </c>
      <c r="U9" s="1955"/>
      <c r="V9" s="1955">
        <v>309072000</v>
      </c>
      <c r="W9" s="1956"/>
      <c r="X9" s="1437"/>
      <c r="AA9" s="1430" t="s">
        <v>2508</v>
      </c>
      <c r="AB9" s="1431" t="s">
        <v>2427</v>
      </c>
      <c r="AC9" s="1438">
        <v>309072000</v>
      </c>
      <c r="AD9" s="1432"/>
      <c r="AE9" s="1432" t="s">
        <v>611</v>
      </c>
      <c r="AF9" s="1433"/>
    </row>
    <row r="10" spans="4:33" ht="18" customHeight="1">
      <c r="D10" s="1856" t="s">
        <v>1651</v>
      </c>
      <c r="E10" s="1852" t="s">
        <v>23</v>
      </c>
      <c r="F10" s="1444" t="s">
        <v>2850</v>
      </c>
      <c r="G10" s="1445">
        <f>SUMIF(T_BS!$E:$E,'BS(공)'!D10,T_BS!$X:$X)</f>
        <v>50060835143</v>
      </c>
      <c r="H10" s="1445"/>
      <c r="I10" s="1442">
        <f>SUMIF(T_BS!$E:$E,'BS(공)'!$D10,T_BS!$AI:$AI)</f>
        <v>43834727379</v>
      </c>
      <c r="J10" s="1445"/>
      <c r="K10" s="1442">
        <f>SUMIF(T_BS!$E:$E,'BS(공)'!$D10,T_BS!$AN:$AN)</f>
        <v>40957768351</v>
      </c>
      <c r="L10" s="1445"/>
      <c r="M10" s="1445">
        <v>37314849276</v>
      </c>
      <c r="N10" s="1443"/>
      <c r="O10" s="1427"/>
      <c r="P10" s="1437" t="b">
        <f t="shared" si="0"/>
        <v>1</v>
      </c>
      <c r="Q10" s="1437"/>
      <c r="R10" s="1953" t="s">
        <v>2641</v>
      </c>
      <c r="S10" s="1954" t="s">
        <v>2849</v>
      </c>
      <c r="T10" s="1955">
        <f t="shared" si="1"/>
        <v>50060835143</v>
      </c>
      <c r="U10" s="1955"/>
      <c r="V10" s="1955">
        <v>43834727379</v>
      </c>
      <c r="W10" s="1956"/>
      <c r="X10" s="1437"/>
      <c r="AA10" s="1430" t="s">
        <v>2509</v>
      </c>
      <c r="AB10" s="1431" t="s">
        <v>2429</v>
      </c>
      <c r="AC10" s="1438">
        <v>43834727379</v>
      </c>
      <c r="AD10" s="1432"/>
      <c r="AE10" s="1438">
        <v>40957768351</v>
      </c>
      <c r="AF10" s="1433"/>
    </row>
    <row r="11" spans="4:33" ht="18" customHeight="1">
      <c r="D11" s="1856" t="s">
        <v>2</v>
      </c>
      <c r="E11" s="1852" t="s">
        <v>2</v>
      </c>
      <c r="F11" s="1444">
        <v>7</v>
      </c>
      <c r="G11" s="1445">
        <f>SUMIF(T_BS!$E:$E,'BS(공)'!D11,T_BS!$X:$X)</f>
        <v>13633605248</v>
      </c>
      <c r="H11" s="1445"/>
      <c r="I11" s="1442">
        <f>SUMIF(T_BS!$E:$E,'BS(공)'!$D11,T_BS!$AI:$AI)</f>
        <v>7658442824</v>
      </c>
      <c r="J11" s="1445"/>
      <c r="K11" s="1442">
        <f>SUMIF(T_BS!$E:$E,'BS(공)'!$D11,T_BS!$AN:$AN)</f>
        <v>4636197058</v>
      </c>
      <c r="L11" s="1445"/>
      <c r="M11" s="1445">
        <v>7130214686</v>
      </c>
      <c r="N11" s="1443"/>
      <c r="O11" s="1427"/>
      <c r="P11" s="1437" t="b">
        <f t="shared" si="0"/>
        <v>1</v>
      </c>
      <c r="Q11" s="1437"/>
      <c r="R11" s="1953" t="s">
        <v>2642</v>
      </c>
      <c r="S11" s="1954">
        <v>7</v>
      </c>
      <c r="T11" s="1955">
        <f t="shared" si="1"/>
        <v>13633605248</v>
      </c>
      <c r="U11" s="1955"/>
      <c r="V11" s="1955">
        <v>7658442824</v>
      </c>
      <c r="W11" s="1956"/>
      <c r="X11" s="1437"/>
      <c r="AA11" s="1430" t="s">
        <v>2510</v>
      </c>
      <c r="AB11" s="1431">
        <v>9</v>
      </c>
      <c r="AC11" s="1438">
        <v>7658442824</v>
      </c>
      <c r="AD11" s="1432"/>
      <c r="AE11" s="1438">
        <v>4636197058</v>
      </c>
      <c r="AF11" s="1433"/>
    </row>
    <row r="12" spans="4:33" ht="18" customHeight="1">
      <c r="D12" s="1856" t="s">
        <v>3</v>
      </c>
      <c r="E12" s="1852" t="s">
        <v>3</v>
      </c>
      <c r="F12" s="1444"/>
      <c r="G12" s="1445">
        <f>SUMIF(T_BS!$E:$E,'BS(공)'!D12,T_BS!$X:$X)</f>
        <v>365160691</v>
      </c>
      <c r="H12" s="1445"/>
      <c r="I12" s="1442">
        <f>SUMIF(T_BS!$E:$E,'BS(공)'!$D12,T_BS!$AI:$AI)</f>
        <v>0</v>
      </c>
      <c r="J12" s="1445"/>
      <c r="K12" s="1442">
        <f>SUMIF(T_BS!$E:$E,'BS(공)'!$D12,T_BS!$AN:$AN)</f>
        <v>226315893</v>
      </c>
      <c r="L12" s="1445"/>
      <c r="M12" s="1445">
        <v>324941593</v>
      </c>
      <c r="N12" s="1443"/>
      <c r="O12" s="1427"/>
      <c r="P12" s="1437" t="b">
        <f t="shared" si="0"/>
        <v>1</v>
      </c>
      <c r="Q12" s="1437"/>
      <c r="R12" s="1953" t="s">
        <v>2643</v>
      </c>
      <c r="S12" s="1954"/>
      <c r="T12" s="1955">
        <f t="shared" si="1"/>
        <v>365160691</v>
      </c>
      <c r="U12" s="1955"/>
      <c r="V12" s="1955">
        <v>0</v>
      </c>
      <c r="W12" s="1956"/>
      <c r="X12" s="1437"/>
      <c r="AA12" s="1430" t="s">
        <v>2511</v>
      </c>
      <c r="AB12" s="1431"/>
      <c r="AC12" s="1432">
        <v>0</v>
      </c>
      <c r="AD12" s="1432"/>
      <c r="AE12" s="1438">
        <v>226315893</v>
      </c>
      <c r="AF12" s="1433"/>
    </row>
    <row r="13" spans="4:33" ht="18" customHeight="1">
      <c r="D13" s="1856" t="s">
        <v>4</v>
      </c>
      <c r="E13" s="1852" t="s">
        <v>4</v>
      </c>
      <c r="F13" s="1444">
        <v>8</v>
      </c>
      <c r="G13" s="1445">
        <f>SUMIF(T_BS!$E:$E,'BS(공)'!D13,T_BS!$X:$X)</f>
        <v>5515998026</v>
      </c>
      <c r="H13" s="1445"/>
      <c r="I13" s="1442">
        <f>SUMIF(T_BS!$E:$E,'BS(공)'!$D13,T_BS!$AI:$AI)</f>
        <v>15259312073</v>
      </c>
      <c r="J13" s="1445"/>
      <c r="K13" s="1442">
        <f>SUMIF(T_BS!$E:$E,'BS(공)'!$D13,T_BS!$AN:$AN)</f>
        <v>3186447890</v>
      </c>
      <c r="L13" s="1445"/>
      <c r="M13" s="1445">
        <v>2597092596</v>
      </c>
      <c r="N13" s="1443"/>
      <c r="O13" s="1427"/>
      <c r="P13" s="1437" t="b">
        <f t="shared" si="0"/>
        <v>1</v>
      </c>
      <c r="Q13" s="1437"/>
      <c r="R13" s="1953" t="s">
        <v>2644</v>
      </c>
      <c r="S13" s="1954">
        <v>8</v>
      </c>
      <c r="T13" s="1955">
        <f t="shared" si="1"/>
        <v>5515998026</v>
      </c>
      <c r="U13" s="1955"/>
      <c r="V13" s="1955">
        <v>15259312073</v>
      </c>
      <c r="W13" s="1956"/>
      <c r="X13" s="1437"/>
      <c r="AA13" s="1430" t="s">
        <v>2512</v>
      </c>
      <c r="AB13" s="1431">
        <v>10</v>
      </c>
      <c r="AC13" s="1438">
        <v>15259312073</v>
      </c>
      <c r="AD13" s="1432"/>
      <c r="AE13" s="1438">
        <v>3186447890</v>
      </c>
      <c r="AF13" s="1433"/>
    </row>
    <row r="14" spans="4:33" ht="18" customHeight="1">
      <c r="D14" s="1854"/>
      <c r="E14" s="1434" t="s">
        <v>1652</v>
      </c>
      <c r="F14" s="1435"/>
      <c r="G14" s="1435"/>
      <c r="H14" s="1435">
        <f>SUM(G15:G21)</f>
        <v>60242144003</v>
      </c>
      <c r="I14" s="1435"/>
      <c r="J14" s="1435">
        <f>SUM(I15:I21)</f>
        <v>55824370383</v>
      </c>
      <c r="K14" s="1435"/>
      <c r="L14" s="1435">
        <f>SUM(K15:K21)</f>
        <v>26165503033</v>
      </c>
      <c r="M14" s="1435"/>
      <c r="N14" s="1436">
        <f>SUM(M15:M21)</f>
        <v>35317064027</v>
      </c>
      <c r="O14" s="1427"/>
      <c r="P14" s="1437" t="b">
        <f>AD14=J14</f>
        <v>1</v>
      </c>
      <c r="Q14" s="1437"/>
      <c r="R14" s="1949" t="s">
        <v>1652</v>
      </c>
      <c r="S14" s="1950"/>
      <c r="T14" s="1951"/>
      <c r="U14" s="1951">
        <f>H14</f>
        <v>60242144003</v>
      </c>
      <c r="V14" s="1951"/>
      <c r="W14" s="1952">
        <v>55824370383</v>
      </c>
      <c r="X14" s="1437" t="b">
        <f>U14=SUM(T15:T21)</f>
        <v>1</v>
      </c>
      <c r="Y14" s="1412" t="b">
        <f>W14=SUM(V15:V21)</f>
        <v>1</v>
      </c>
      <c r="AA14" s="1430" t="s">
        <v>2513</v>
      </c>
      <c r="AB14" s="1431"/>
      <c r="AC14" s="1432"/>
      <c r="AD14" s="1438">
        <v>55824370383</v>
      </c>
      <c r="AE14" s="1432"/>
      <c r="AF14" s="1439">
        <v>26165503033</v>
      </c>
    </row>
    <row r="15" spans="4:33" ht="18" customHeight="1">
      <c r="D15" s="1855" t="s">
        <v>1653</v>
      </c>
      <c r="E15" s="1851" t="s">
        <v>23</v>
      </c>
      <c r="F15" s="1441" t="s">
        <v>2851</v>
      </c>
      <c r="G15" s="1442">
        <f>SUMIF(T_BS!$E:$E,'BS(공)'!D15,T_BS!$X:$X)</f>
        <v>2578230091</v>
      </c>
      <c r="H15" s="1442"/>
      <c r="I15" s="1442">
        <f>SUMIF(T_BS!$E:$E,'BS(공)'!$D15,T_BS!$AI:$AI)</f>
        <v>2257318882</v>
      </c>
      <c r="J15" s="1442"/>
      <c r="K15" s="1442">
        <f>SUMIF(T_BS!$E:$E,'BS(공)'!$D15,T_BS!$AN:$AN)</f>
        <v>1650396445</v>
      </c>
      <c r="L15" s="1442"/>
      <c r="M15" s="1442">
        <v>2143158640</v>
      </c>
      <c r="N15" s="1443"/>
      <c r="O15" s="1427"/>
      <c r="P15" s="1437" t="b">
        <f>AC15=I15</f>
        <v>1</v>
      </c>
      <c r="Q15" s="1437"/>
      <c r="R15" s="1953" t="s">
        <v>2628</v>
      </c>
      <c r="S15" s="1954" t="s">
        <v>2849</v>
      </c>
      <c r="T15" s="1955">
        <f t="shared" ref="T15:T20" si="2">G15</f>
        <v>2578230091</v>
      </c>
      <c r="U15" s="1955"/>
      <c r="V15" s="1955">
        <v>2257318882</v>
      </c>
      <c r="W15" s="1957"/>
      <c r="X15" s="1437"/>
      <c r="AA15" s="1430" t="s">
        <v>2509</v>
      </c>
      <c r="AB15" s="1431" t="s">
        <v>2429</v>
      </c>
      <c r="AC15" s="1438">
        <v>2257318882</v>
      </c>
      <c r="AD15" s="1432"/>
      <c r="AE15" s="1438">
        <v>1650396445</v>
      </c>
      <c r="AF15" s="1433"/>
    </row>
    <row r="16" spans="4:33" ht="18" customHeight="1">
      <c r="D16" s="1855" t="s">
        <v>76</v>
      </c>
      <c r="E16" s="1851" t="s">
        <v>76</v>
      </c>
      <c r="F16" s="1441">
        <v>5</v>
      </c>
      <c r="G16" s="1442">
        <f>SUMIF(T_BS!$E:$E,'BS(공)'!D16,T_BS!$X:$X)</f>
        <v>30634127818</v>
      </c>
      <c r="H16" s="1442"/>
      <c r="I16" s="1442">
        <f>SUMIF(T_BS!$E:$E,'BS(공)'!$D16,T_BS!$AI:$AI)</f>
        <v>30772109819</v>
      </c>
      <c r="J16" s="1442"/>
      <c r="K16" s="1442">
        <f>SUMIF(T_BS!$E:$E,'BS(공)'!$D16,T_BS!$AN:$AN)</f>
        <v>0</v>
      </c>
      <c r="L16" s="1442"/>
      <c r="M16" s="1442">
        <v>996359683</v>
      </c>
      <c r="N16" s="1443"/>
      <c r="O16" s="1427"/>
      <c r="P16" s="1437" t="b">
        <f>AC16=I16</f>
        <v>1</v>
      </c>
      <c r="Q16" s="1437"/>
      <c r="R16" s="1953" t="s">
        <v>2627</v>
      </c>
      <c r="S16" s="1954">
        <v>5</v>
      </c>
      <c r="T16" s="1955">
        <f t="shared" si="2"/>
        <v>30634127818</v>
      </c>
      <c r="U16" s="1955"/>
      <c r="V16" s="1955">
        <v>30772109819</v>
      </c>
      <c r="W16" s="1957"/>
      <c r="X16" s="1437"/>
      <c r="AA16" s="1430" t="s">
        <v>2514</v>
      </c>
      <c r="AB16" s="1431">
        <v>5</v>
      </c>
      <c r="AC16" s="1438">
        <v>30772109819</v>
      </c>
      <c r="AD16" s="1432"/>
      <c r="AE16" s="1432" t="s">
        <v>611</v>
      </c>
      <c r="AF16" s="1433"/>
    </row>
    <row r="17" spans="4:32" ht="18" customHeight="1">
      <c r="D17" s="1855" t="s">
        <v>83</v>
      </c>
      <c r="E17" s="1851" t="s">
        <v>83</v>
      </c>
      <c r="F17" s="1441">
        <v>9</v>
      </c>
      <c r="G17" s="1442">
        <f>SUMIF(T_BS!$E:$E,'BS(공)'!D17,T_BS!$X:$X)</f>
        <v>2881225685</v>
      </c>
      <c r="H17" s="1442"/>
      <c r="I17" s="1442">
        <f>SUMIF(T_BS!$E:$E,'BS(공)'!$D17,T_BS!$AI:$AI)</f>
        <v>275387141</v>
      </c>
      <c r="J17" s="1442"/>
      <c r="K17" s="1442">
        <f>SUMIF(T_BS!$E:$E,'BS(공)'!$D17,T_BS!$AN:$AN)</f>
        <v>0</v>
      </c>
      <c r="L17" s="1442"/>
      <c r="M17" s="1442" t="s">
        <v>611</v>
      </c>
      <c r="N17" s="1443"/>
      <c r="O17" s="1427"/>
      <c r="P17" s="1437" t="b">
        <f>AC17=I17</f>
        <v>1</v>
      </c>
      <c r="Q17" s="1437"/>
      <c r="R17" s="1953" t="s">
        <v>2626</v>
      </c>
      <c r="S17" s="1954">
        <v>9</v>
      </c>
      <c r="T17" s="1955">
        <f t="shared" si="2"/>
        <v>2881225685</v>
      </c>
      <c r="U17" s="1955"/>
      <c r="V17" s="1955">
        <v>275387141</v>
      </c>
      <c r="W17" s="1957"/>
      <c r="X17" s="1437"/>
      <c r="AA17" s="1430" t="s">
        <v>2515</v>
      </c>
      <c r="AB17" s="1431">
        <v>11</v>
      </c>
      <c r="AC17" s="1438">
        <v>275387141</v>
      </c>
      <c r="AD17" s="1432"/>
      <c r="AE17" s="1432" t="s">
        <v>611</v>
      </c>
      <c r="AF17" s="1433"/>
    </row>
    <row r="18" spans="4:32" ht="18" customHeight="1">
      <c r="D18" s="1855" t="s">
        <v>5</v>
      </c>
      <c r="E18" s="1851" t="s">
        <v>5</v>
      </c>
      <c r="F18" s="1441" t="s">
        <v>2853</v>
      </c>
      <c r="G18" s="1442">
        <f>SUMIF(T_BS!$E:$E,'BS(공)'!D18,T_BS!$X:$X)</f>
        <v>8515689845</v>
      </c>
      <c r="H18" s="1442"/>
      <c r="I18" s="1442">
        <f>SUMIF(T_BS!$E:$E,'BS(공)'!$D18,T_BS!$AI:$AI)</f>
        <v>6752244404</v>
      </c>
      <c r="J18" s="1442"/>
      <c r="K18" s="1442">
        <f>SUMIF(T_BS!$E:$E,'BS(공)'!$D18,T_BS!$AN:$AN)</f>
        <v>7654582035</v>
      </c>
      <c r="L18" s="1442"/>
      <c r="M18" s="1442">
        <v>5328505320</v>
      </c>
      <c r="N18" s="1443"/>
      <c r="O18" s="1427"/>
      <c r="P18" s="1437" t="b">
        <f>AC18=I18</f>
        <v>1</v>
      </c>
      <c r="Q18" s="1437"/>
      <c r="R18" s="1953" t="s">
        <v>2625</v>
      </c>
      <c r="S18" s="1954" t="s">
        <v>2852</v>
      </c>
      <c r="T18" s="1955">
        <f t="shared" si="2"/>
        <v>8515689845</v>
      </c>
      <c r="U18" s="1955"/>
      <c r="V18" s="1955">
        <v>6752244404</v>
      </c>
      <c r="W18" s="1957"/>
      <c r="X18" s="1437"/>
      <c r="AA18" s="1430" t="s">
        <v>2516</v>
      </c>
      <c r="AB18" s="1431" t="s">
        <v>2517</v>
      </c>
      <c r="AC18" s="1438">
        <v>6752244404</v>
      </c>
      <c r="AD18" s="1432"/>
      <c r="AE18" s="1438">
        <v>7654582035</v>
      </c>
      <c r="AF18" s="1433"/>
    </row>
    <row r="19" spans="4:32" ht="18" customHeight="1">
      <c r="D19" s="1855" t="s">
        <v>6</v>
      </c>
      <c r="E19" s="1851" t="s">
        <v>6</v>
      </c>
      <c r="F19" s="1441" t="s">
        <v>2855</v>
      </c>
      <c r="G19" s="1442">
        <f>SUMIF(T_BS!$E:$E,'BS(공)'!D19,T_BS!$X:$X)</f>
        <v>13282782566</v>
      </c>
      <c r="H19" s="1442"/>
      <c r="I19" s="1442">
        <f>SUMIF(T_BS!$E:$E,'BS(공)'!$D19,T_BS!$AI:$AI)</f>
        <v>15767310137</v>
      </c>
      <c r="J19" s="1442"/>
      <c r="K19" s="1442">
        <f>SUMIF(T_BS!$E:$E,'BS(공)'!$D19,T_BS!$AN:$AN)</f>
        <v>16860524553</v>
      </c>
      <c r="L19" s="1442"/>
      <c r="M19" s="1442">
        <v>26598624855</v>
      </c>
      <c r="N19" s="1443"/>
      <c r="O19" s="1427"/>
      <c r="P19" s="1437" t="b">
        <f>AC19=I19</f>
        <v>1</v>
      </c>
      <c r="Q19" s="1437"/>
      <c r="R19" s="1953" t="s">
        <v>1928</v>
      </c>
      <c r="S19" s="1954" t="s">
        <v>2854</v>
      </c>
      <c r="T19" s="1955">
        <f t="shared" si="2"/>
        <v>13282782566</v>
      </c>
      <c r="U19" s="1955"/>
      <c r="V19" s="1955">
        <v>15767310137</v>
      </c>
      <c r="W19" s="1957"/>
      <c r="X19" s="1437"/>
      <c r="AA19" s="1430" t="s">
        <v>2518</v>
      </c>
      <c r="AB19" s="1431" t="s">
        <v>2430</v>
      </c>
      <c r="AC19" s="1438">
        <v>15767310137</v>
      </c>
      <c r="AD19" s="1432"/>
      <c r="AE19" s="1438">
        <v>16860524553</v>
      </c>
      <c r="AF19" s="1433"/>
    </row>
    <row r="20" spans="4:32" ht="18" customHeight="1">
      <c r="D20" s="1855" t="s">
        <v>7</v>
      </c>
      <c r="E20" s="1852" t="s">
        <v>7</v>
      </c>
      <c r="F20" s="1441"/>
      <c r="G20" s="1442">
        <f>SUMIF(T_BS!$E:$E,'BS(공)'!D20,T_BS!$X:$X)</f>
        <v>0</v>
      </c>
      <c r="H20" s="1442"/>
      <c r="I20" s="1442">
        <f>SUMIF(T_BS!$E:$E,'BS(공)'!$D20,T_BS!$AI:$AI)</f>
        <v>0</v>
      </c>
      <c r="J20" s="1442"/>
      <c r="K20" s="1442">
        <f>SUMIF(T_BS!$E:$E,'BS(공)'!$D20,T_BS!$AN:$AN)</f>
        <v>0</v>
      </c>
      <c r="L20" s="1442"/>
      <c r="M20" s="1442">
        <v>250415529</v>
      </c>
      <c r="N20" s="1443"/>
      <c r="O20" s="1427"/>
      <c r="P20" s="1437" t="b">
        <f t="shared" ref="P20:P21" si="3">AC20=I20</f>
        <v>1</v>
      </c>
      <c r="Q20" s="1437"/>
      <c r="R20" s="1953" t="s">
        <v>1929</v>
      </c>
      <c r="S20" s="1954"/>
      <c r="T20" s="1955">
        <f t="shared" si="2"/>
        <v>0</v>
      </c>
      <c r="U20" s="1955"/>
      <c r="V20" s="1955">
        <v>0</v>
      </c>
      <c r="W20" s="1957"/>
      <c r="X20" s="1437"/>
      <c r="AA20" s="1430" t="s">
        <v>2667</v>
      </c>
      <c r="AB20" s="1431"/>
      <c r="AC20" s="1432"/>
      <c r="AD20" s="1438">
        <v>254904569179</v>
      </c>
      <c r="AE20" s="1432"/>
      <c r="AF20" s="1439">
        <v>172443439357</v>
      </c>
    </row>
    <row r="21" spans="4:32" ht="18" customHeight="1">
      <c r="D21" s="2092" t="s">
        <v>2917</v>
      </c>
      <c r="E21" s="2093" t="s">
        <v>2917</v>
      </c>
      <c r="F21" s="2094">
        <v>16</v>
      </c>
      <c r="G21" s="2095">
        <f>SUMIF(T_BS!$E:$E,'BS(공)'!D21,T_BS!$X:$X)</f>
        <v>2350087998</v>
      </c>
      <c r="H21" s="2095"/>
      <c r="I21" s="2095">
        <v>0</v>
      </c>
      <c r="J21" s="2095"/>
      <c r="K21" s="2095">
        <v>0</v>
      </c>
      <c r="L21" s="2095"/>
      <c r="M21" s="2095">
        <v>0</v>
      </c>
      <c r="N21" s="2096"/>
      <c r="O21" s="1427"/>
      <c r="P21" s="1437" t="b">
        <f t="shared" si="3"/>
        <v>1</v>
      </c>
      <c r="Q21" s="1437"/>
      <c r="R21" s="1953" t="s">
        <v>2923</v>
      </c>
      <c r="S21" s="1954">
        <v>16</v>
      </c>
      <c r="T21" s="1955">
        <f>G21</f>
        <v>2350087998</v>
      </c>
      <c r="U21" s="1955"/>
      <c r="V21" s="1955">
        <v>0</v>
      </c>
      <c r="W21" s="1957"/>
      <c r="X21" s="1437"/>
      <c r="AA21" s="1430"/>
      <c r="AB21" s="1431"/>
      <c r="AC21" s="1432"/>
      <c r="AD21" s="1438"/>
      <c r="AE21" s="1432"/>
      <c r="AF21" s="1439"/>
    </row>
    <row r="22" spans="4:32" ht="18" customHeight="1">
      <c r="D22" s="1853"/>
      <c r="E22" s="1424" t="s">
        <v>2651</v>
      </c>
      <c r="F22" s="1425"/>
      <c r="G22" s="1425"/>
      <c r="H22" s="1425">
        <f>SUM(H7,H14)</f>
        <v>274909933552</v>
      </c>
      <c r="I22" s="1425"/>
      <c r="J22" s="1425">
        <f>SUM(J7,J14)</f>
        <v>254904569179</v>
      </c>
      <c r="K22" s="1425"/>
      <c r="L22" s="1425">
        <f>SUM(L7,L14)</f>
        <v>172443439357</v>
      </c>
      <c r="M22" s="1425"/>
      <c r="N22" s="1426">
        <f>SUM(N7,N14)</f>
        <v>171585554854</v>
      </c>
      <c r="O22" s="1427"/>
      <c r="P22" s="1437" t="b">
        <f>AD20=J22</f>
        <v>1</v>
      </c>
      <c r="Q22" s="1437"/>
      <c r="R22" s="1945" t="s">
        <v>2661</v>
      </c>
      <c r="S22" s="1946"/>
      <c r="T22" s="1947"/>
      <c r="U22" s="1947">
        <f>H22</f>
        <v>274909933552</v>
      </c>
      <c r="V22" s="1947"/>
      <c r="W22" s="1948">
        <v>254904569179</v>
      </c>
      <c r="X22" s="1437" t="b">
        <f>U22=SUM(U14,U7)</f>
        <v>1</v>
      </c>
      <c r="Y22" s="1412" t="b">
        <f>W22=SUM(W14,W7)</f>
        <v>1</v>
      </c>
      <c r="AA22" s="1430" t="s">
        <v>8</v>
      </c>
      <c r="AB22" s="1431"/>
      <c r="AC22" s="1432"/>
      <c r="AD22" s="1432"/>
      <c r="AE22" s="1432"/>
      <c r="AF22" s="1433"/>
    </row>
    <row r="23" spans="4:32" ht="17.25" customHeight="1">
      <c r="D23" s="1853"/>
      <c r="E23" s="1424" t="s">
        <v>2648</v>
      </c>
      <c r="F23" s="1425"/>
      <c r="G23" s="1425"/>
      <c r="H23" s="1425"/>
      <c r="I23" s="1425"/>
      <c r="J23" s="1425"/>
      <c r="K23" s="1425"/>
      <c r="L23" s="1425"/>
      <c r="M23" s="1425"/>
      <c r="N23" s="1426"/>
      <c r="O23" s="1427"/>
      <c r="P23" s="1437"/>
      <c r="Q23" s="1437"/>
      <c r="R23" s="1945" t="s">
        <v>2662</v>
      </c>
      <c r="S23" s="1946"/>
      <c r="T23" s="1947"/>
      <c r="U23" s="1947"/>
      <c r="V23" s="1947"/>
      <c r="W23" s="1958"/>
      <c r="X23" s="1437"/>
      <c r="AA23" s="1430" t="s">
        <v>2519</v>
      </c>
      <c r="AB23" s="1431"/>
      <c r="AC23" s="1432"/>
      <c r="AD23" s="1438">
        <v>172798677782</v>
      </c>
      <c r="AE23" s="1432"/>
      <c r="AF23" s="1439">
        <v>72762462534</v>
      </c>
    </row>
    <row r="24" spans="4:32" ht="18" customHeight="1">
      <c r="D24" s="1854"/>
      <c r="E24" s="1434" t="s">
        <v>1654</v>
      </c>
      <c r="F24" s="1435"/>
      <c r="G24" s="1435"/>
      <c r="H24" s="1435">
        <f>SUM(G25:G29)</f>
        <v>100654244160</v>
      </c>
      <c r="I24" s="1435"/>
      <c r="J24" s="1435">
        <f>SUM(I25:I29)</f>
        <v>172798677782</v>
      </c>
      <c r="K24" s="1435"/>
      <c r="L24" s="1435">
        <f>SUM(K25:K29)</f>
        <v>72762462534</v>
      </c>
      <c r="M24" s="1435"/>
      <c r="N24" s="1436">
        <f>SUM(M25:M29)</f>
        <v>49775319297</v>
      </c>
      <c r="O24" s="1427"/>
      <c r="P24" s="1437" t="b">
        <f>AD23=J24</f>
        <v>1</v>
      </c>
      <c r="Q24" s="1437"/>
      <c r="R24" s="1949" t="s">
        <v>1654</v>
      </c>
      <c r="S24" s="1950"/>
      <c r="T24" s="1951"/>
      <c r="U24" s="1951">
        <f>H24</f>
        <v>100654244160</v>
      </c>
      <c r="V24" s="1951"/>
      <c r="W24" s="1952">
        <v>172798677782</v>
      </c>
      <c r="X24" s="1437" t="b">
        <f>U24=SUM(T25:T29)</f>
        <v>1</v>
      </c>
      <c r="Y24" s="1412" t="b">
        <f>W24=SUM(V25:V29)</f>
        <v>1</v>
      </c>
      <c r="AA24" s="1430" t="s">
        <v>2520</v>
      </c>
      <c r="AB24" s="1431" t="s">
        <v>2431</v>
      </c>
      <c r="AC24" s="1438">
        <v>65863401555</v>
      </c>
      <c r="AD24" s="1432"/>
      <c r="AE24" s="1438">
        <v>60933090739</v>
      </c>
      <c r="AF24" s="1433"/>
    </row>
    <row r="25" spans="4:32" ht="18" customHeight="1">
      <c r="D25" s="1856" t="s">
        <v>137</v>
      </c>
      <c r="E25" s="1852" t="s">
        <v>137</v>
      </c>
      <c r="F25" s="1444" t="s">
        <v>2857</v>
      </c>
      <c r="G25" s="1445">
        <f>SUMIF(T_BS!$E:$E,'BS(공)'!D25,T_BS!$X:$X)</f>
        <v>86986170033</v>
      </c>
      <c r="H25" s="1445"/>
      <c r="I25" s="1442">
        <f>SUMIF(T_BS!$E:$E,'BS(공)'!$D25,T_BS!$AI:$AI)</f>
        <v>65863401555</v>
      </c>
      <c r="J25" s="1445"/>
      <c r="K25" s="1442">
        <f>SUMIF(T_BS!$E:$E,'BS(공)'!$D25,T_BS!$AN:$AN)</f>
        <v>60933090739</v>
      </c>
      <c r="L25" s="1445"/>
      <c r="M25" s="1445">
        <v>36253305936</v>
      </c>
      <c r="N25" s="1446"/>
      <c r="O25" s="1427"/>
      <c r="P25" s="1437" t="b">
        <f>AC24=I25</f>
        <v>1</v>
      </c>
      <c r="Q25" s="1437"/>
      <c r="R25" s="1953" t="s">
        <v>2629</v>
      </c>
      <c r="S25" s="1954" t="s">
        <v>2856</v>
      </c>
      <c r="T25" s="1955">
        <f>G25</f>
        <v>86986170033</v>
      </c>
      <c r="U25" s="1955"/>
      <c r="V25" s="1955">
        <v>65863401555</v>
      </c>
      <c r="W25" s="1957"/>
      <c r="X25" s="1437"/>
      <c r="AA25" s="1430" t="s">
        <v>2521</v>
      </c>
      <c r="AB25" s="1431" t="s">
        <v>2432</v>
      </c>
      <c r="AC25" s="1438">
        <v>93145378702</v>
      </c>
      <c r="AD25" s="1432"/>
      <c r="AE25" s="1432" t="s">
        <v>611</v>
      </c>
      <c r="AF25" s="1433"/>
    </row>
    <row r="26" spans="4:32" ht="18" customHeight="1">
      <c r="D26" s="1856" t="s">
        <v>2318</v>
      </c>
      <c r="E26" s="1852" t="s">
        <v>2316</v>
      </c>
      <c r="F26" s="1444" t="s">
        <v>2859</v>
      </c>
      <c r="G26" s="1445">
        <f>SUMIF(T_BS!$E:$E,'BS(공)'!D26,T_BS!$X:$X)</f>
        <v>0</v>
      </c>
      <c r="H26" s="1445"/>
      <c r="I26" s="1442">
        <f>SUMIF(T_BS!$E:$E,'BS(공)'!$D26,T_BS!$AI:$AI)</f>
        <v>93145378702</v>
      </c>
      <c r="J26" s="1445"/>
      <c r="K26" s="1442">
        <f>SUMIF(T_BS!$E:$E,'BS(공)'!$D26,T_BS!$AN:$AN)</f>
        <v>0</v>
      </c>
      <c r="L26" s="1445"/>
      <c r="M26" s="1445" t="s">
        <v>611</v>
      </c>
      <c r="N26" s="1446"/>
      <c r="O26" s="1427"/>
      <c r="P26" s="1437" t="b">
        <f>AC25=I26</f>
        <v>1</v>
      </c>
      <c r="Q26" s="1437"/>
      <c r="R26" s="1953" t="s">
        <v>2630</v>
      </c>
      <c r="S26" s="1954" t="s">
        <v>2858</v>
      </c>
      <c r="T26" s="1955">
        <f>G26</f>
        <v>0</v>
      </c>
      <c r="U26" s="1955"/>
      <c r="V26" s="1955">
        <v>93145378702</v>
      </c>
      <c r="W26" s="1957"/>
      <c r="X26" s="1437"/>
      <c r="AA26" s="1430" t="s">
        <v>2522</v>
      </c>
      <c r="AB26" s="1431">
        <v>16</v>
      </c>
      <c r="AC26" s="1438">
        <v>10968811383</v>
      </c>
      <c r="AD26" s="1432"/>
      <c r="AE26" s="1438">
        <v>9194493551</v>
      </c>
      <c r="AF26" s="1433"/>
    </row>
    <row r="27" spans="4:32" ht="18" customHeight="1">
      <c r="D27" s="1856" t="s">
        <v>162</v>
      </c>
      <c r="E27" s="1852" t="s">
        <v>162</v>
      </c>
      <c r="F27" s="1444">
        <v>14</v>
      </c>
      <c r="G27" s="1445">
        <f>SUMIF(T_BS!$E:$E,'BS(공)'!D27,T_BS!$X:$X)</f>
        <v>10161918125</v>
      </c>
      <c r="H27" s="1445"/>
      <c r="I27" s="1442">
        <f>SUMIF(T_BS!$E:$E,'BS(공)'!$D27,T_BS!$AI:$AI)</f>
        <v>10968811383</v>
      </c>
      <c r="J27" s="1445"/>
      <c r="K27" s="1442">
        <f>SUMIF(T_BS!$E:$E,'BS(공)'!$D27,T_BS!$AN:$AN)</f>
        <v>9194493551</v>
      </c>
      <c r="L27" s="1445"/>
      <c r="M27" s="1445">
        <v>10909561538</v>
      </c>
      <c r="N27" s="1446"/>
      <c r="O27" s="1427"/>
      <c r="P27" s="1437" t="b">
        <f>AC26=I27</f>
        <v>1</v>
      </c>
      <c r="Q27" s="1437"/>
      <c r="R27" s="1953" t="s">
        <v>2631</v>
      </c>
      <c r="S27" s="1954">
        <v>14</v>
      </c>
      <c r="T27" s="1955">
        <f>G27</f>
        <v>10161918125</v>
      </c>
      <c r="U27" s="1955"/>
      <c r="V27" s="1955">
        <v>10968811383</v>
      </c>
      <c r="W27" s="1957"/>
      <c r="X27" s="1437"/>
      <c r="AA27" s="1430" t="s">
        <v>2523</v>
      </c>
      <c r="AB27" s="1431" t="s">
        <v>2433</v>
      </c>
      <c r="AC27" s="1438">
        <v>2799454358</v>
      </c>
      <c r="AD27" s="1432"/>
      <c r="AE27" s="1438">
        <v>2631820890</v>
      </c>
      <c r="AF27" s="1433"/>
    </row>
    <row r="28" spans="4:32" ht="18" customHeight="1">
      <c r="D28" s="1856" t="s">
        <v>1655</v>
      </c>
      <c r="E28" s="1852" t="s">
        <v>1656</v>
      </c>
      <c r="F28" s="1444" t="s">
        <v>2861</v>
      </c>
      <c r="G28" s="1445">
        <f>SUMIF(T_BS!$E:$E,'BS(공)'!D28,T_BS!$X:$X)</f>
        <v>3506156002</v>
      </c>
      <c r="H28" s="1445"/>
      <c r="I28" s="1442">
        <f>SUMIF(T_BS!$E:$E,'BS(공)'!$D28,T_BS!$AI:$AI)</f>
        <v>2799454358</v>
      </c>
      <c r="J28" s="1445"/>
      <c r="K28" s="1442">
        <f>SUMIF(T_BS!$E:$E,'BS(공)'!$D28,T_BS!$AN:$AN)</f>
        <v>2631820890</v>
      </c>
      <c r="L28" s="1445"/>
      <c r="M28" s="1445">
        <v>2550691866</v>
      </c>
      <c r="N28" s="1446"/>
      <c r="O28" s="1427"/>
      <c r="P28" s="1437" t="b">
        <f>AC27=I28</f>
        <v>1</v>
      </c>
      <c r="Q28" s="1437"/>
      <c r="R28" s="1953" t="s">
        <v>2632</v>
      </c>
      <c r="S28" s="1954" t="s">
        <v>2860</v>
      </c>
      <c r="T28" s="1955">
        <f>G28</f>
        <v>3506156002</v>
      </c>
      <c r="U28" s="1955"/>
      <c r="V28" s="1955">
        <v>2799454358</v>
      </c>
      <c r="W28" s="1957"/>
      <c r="X28" s="1437"/>
      <c r="AA28" s="1430" t="s">
        <v>2524</v>
      </c>
      <c r="AB28" s="1431">
        <v>27</v>
      </c>
      <c r="AC28" s="1438">
        <v>21631784</v>
      </c>
      <c r="AD28" s="1432"/>
      <c r="AE28" s="1438">
        <v>3057354</v>
      </c>
      <c r="AF28" s="1433"/>
    </row>
    <row r="29" spans="4:32" ht="18" customHeight="1">
      <c r="D29" s="1855" t="s">
        <v>1645</v>
      </c>
      <c r="E29" s="1851" t="s">
        <v>1645</v>
      </c>
      <c r="F29" s="1441">
        <v>23</v>
      </c>
      <c r="G29" s="1442">
        <f>SUMIF(T_BS!$E:$E,'BS(공)'!D29,T_BS!$X:$X)</f>
        <v>0</v>
      </c>
      <c r="H29" s="1442"/>
      <c r="I29" s="1442">
        <f>SUMIF(T_BS!$E:$E,'BS(공)'!$D29,T_BS!$AI:$AI)</f>
        <v>21631784</v>
      </c>
      <c r="J29" s="1442"/>
      <c r="K29" s="1442">
        <f>SUMIF(T_BS!$E:$E,'BS(공)'!$D29,T_BS!$AN:$AN)</f>
        <v>3057354</v>
      </c>
      <c r="L29" s="1442"/>
      <c r="M29" s="1442">
        <v>61759957</v>
      </c>
      <c r="N29" s="1443"/>
      <c r="O29" s="1427"/>
      <c r="P29" s="1437" t="b">
        <f>AC28=I29</f>
        <v>1</v>
      </c>
      <c r="Q29" s="1437"/>
      <c r="R29" s="1953" t="s">
        <v>2633</v>
      </c>
      <c r="S29" s="1954">
        <v>23</v>
      </c>
      <c r="T29" s="1955">
        <f>G29</f>
        <v>0</v>
      </c>
      <c r="U29" s="1955"/>
      <c r="V29" s="1955">
        <v>21631784</v>
      </c>
      <c r="W29" s="1957"/>
      <c r="X29" s="1437"/>
      <c r="AA29" s="1430" t="s">
        <v>2525</v>
      </c>
      <c r="AB29" s="1431"/>
      <c r="AC29" s="1432"/>
      <c r="AD29" s="1438">
        <v>2466676920</v>
      </c>
      <c r="AE29" s="1432"/>
      <c r="AF29" s="1439">
        <v>3879577855</v>
      </c>
    </row>
    <row r="30" spans="4:32" ht="18" customHeight="1">
      <c r="D30" s="1854"/>
      <c r="E30" s="1434" t="s">
        <v>1657</v>
      </c>
      <c r="F30" s="1435"/>
      <c r="G30" s="1435"/>
      <c r="H30" s="1435">
        <f>SUM(G31:G35)</f>
        <v>3936930536</v>
      </c>
      <c r="I30" s="1435"/>
      <c r="J30" s="1435">
        <f>SUM(I31:I35)</f>
        <v>2466676920</v>
      </c>
      <c r="K30" s="1435"/>
      <c r="L30" s="1435">
        <f>SUM(K31:K35)</f>
        <v>3879577855</v>
      </c>
      <c r="M30" s="1435"/>
      <c r="N30" s="1436">
        <f>SUM(M31:M35)</f>
        <v>3893195718</v>
      </c>
      <c r="O30" s="1427"/>
      <c r="P30" s="1437" t="b">
        <f>AD29=J30</f>
        <v>1</v>
      </c>
      <c r="Q30" s="1437"/>
      <c r="R30" s="1949" t="s">
        <v>1657</v>
      </c>
      <c r="S30" s="1950"/>
      <c r="T30" s="1951"/>
      <c r="U30" s="1951">
        <f>H30</f>
        <v>3936930536</v>
      </c>
      <c r="V30" s="1951"/>
      <c r="W30" s="1952">
        <v>2466676920</v>
      </c>
      <c r="X30" s="1437" t="b">
        <f>U30=SUM(T31:T35)</f>
        <v>1</v>
      </c>
      <c r="Y30" s="1412" t="b">
        <f>W30=SUM(V31:V35)</f>
        <v>1</v>
      </c>
      <c r="AA30" s="1430" t="s">
        <v>2520</v>
      </c>
      <c r="AB30" s="1431" t="s">
        <v>2431</v>
      </c>
      <c r="AC30" s="1438">
        <v>467762200</v>
      </c>
      <c r="AD30" s="1432"/>
      <c r="AE30" s="1438">
        <v>222809200</v>
      </c>
      <c r="AF30" s="1433"/>
    </row>
    <row r="31" spans="4:32" ht="18" customHeight="1">
      <c r="D31" s="1855" t="s">
        <v>2806</v>
      </c>
      <c r="E31" s="1851" t="s">
        <v>137</v>
      </c>
      <c r="F31" s="1441" t="s">
        <v>2857</v>
      </c>
      <c r="G31" s="1442">
        <f>SUMIF(T_BS!$E:$E,'BS(공)'!D31,T_BS!$X:$X)</f>
        <v>1017763600</v>
      </c>
      <c r="H31" s="1442"/>
      <c r="I31" s="1442">
        <f>SUMIF(T_BS!$E:$E,'BS(공)'!$D31,T_BS!$AI:$AI)</f>
        <v>467762200</v>
      </c>
      <c r="J31" s="1442"/>
      <c r="K31" s="1442">
        <f>SUMIF(T_BS!$E:$E,'BS(공)'!$D31,T_BS!$AN:$AN)</f>
        <v>222809200</v>
      </c>
      <c r="L31" s="1442"/>
      <c r="M31" s="1442">
        <v>11500000</v>
      </c>
      <c r="N31" s="1443"/>
      <c r="O31" s="1427"/>
      <c r="P31" s="1437" t="b">
        <f>AC30=I31</f>
        <v>1</v>
      </c>
      <c r="Q31" s="1437"/>
      <c r="R31" s="1953" t="s">
        <v>2634</v>
      </c>
      <c r="S31" s="1954" t="s">
        <v>2856</v>
      </c>
      <c r="T31" s="1955">
        <f>G31</f>
        <v>1017763600</v>
      </c>
      <c r="U31" s="1955"/>
      <c r="V31" s="1955">
        <v>467762200</v>
      </c>
      <c r="W31" s="1957"/>
      <c r="X31" s="1437"/>
      <c r="AA31" s="1430" t="s">
        <v>2526</v>
      </c>
      <c r="AB31" s="1431">
        <v>18</v>
      </c>
      <c r="AC31" s="1438">
        <v>428993226</v>
      </c>
      <c r="AD31" s="1432"/>
      <c r="AE31" s="1438">
        <v>822730454</v>
      </c>
      <c r="AF31" s="1433"/>
    </row>
    <row r="32" spans="4:32" ht="18" customHeight="1">
      <c r="D32" s="1855" t="s">
        <v>184</v>
      </c>
      <c r="E32" s="1851" t="s">
        <v>184</v>
      </c>
      <c r="F32" s="1441">
        <v>16</v>
      </c>
      <c r="G32" s="1442">
        <f>SUMIF(T_BS!$E:$E,'BS(공)'!D32,T_BS!$X:$X)</f>
        <v>92153109</v>
      </c>
      <c r="H32" s="1442"/>
      <c r="I32" s="1442">
        <f>SUMIF(T_BS!$E:$E,'BS(공)'!$D32,T_BS!$AI:$AI)</f>
        <v>428993226</v>
      </c>
      <c r="J32" s="1442"/>
      <c r="K32" s="1442">
        <f>SUMIF(T_BS!$E:$E,'BS(공)'!$D32,T_BS!$AN:$AN)</f>
        <v>822730454</v>
      </c>
      <c r="L32" s="1442"/>
      <c r="M32" s="1442">
        <v>1215669271</v>
      </c>
      <c r="N32" s="1443"/>
      <c r="O32" s="1427"/>
      <c r="P32" s="1437" t="b">
        <f>AC31=I32</f>
        <v>1</v>
      </c>
      <c r="Q32" s="1437"/>
      <c r="R32" s="1953" t="s">
        <v>2635</v>
      </c>
      <c r="S32" s="1954">
        <v>16</v>
      </c>
      <c r="T32" s="1955">
        <f>G32</f>
        <v>92153109</v>
      </c>
      <c r="U32" s="1955"/>
      <c r="V32" s="1955">
        <v>428993226</v>
      </c>
      <c r="W32" s="1957"/>
      <c r="X32" s="1437"/>
      <c r="AA32" s="1430" t="s">
        <v>2527</v>
      </c>
      <c r="AB32" s="1431">
        <v>16</v>
      </c>
      <c r="AC32" s="1438">
        <v>108037971</v>
      </c>
      <c r="AD32" s="1432"/>
      <c r="AE32" s="1438">
        <v>118883200</v>
      </c>
      <c r="AF32" s="1433"/>
    </row>
    <row r="33" spans="4:32" ht="18" customHeight="1">
      <c r="D33" s="1855" t="s">
        <v>1646</v>
      </c>
      <c r="E33" s="1851" t="s">
        <v>1646</v>
      </c>
      <c r="F33" s="1441">
        <v>14</v>
      </c>
      <c r="G33" s="1442">
        <f>SUMIF(T_BS!$E:$E,'BS(공)'!D33,T_BS!$X:$X)</f>
        <v>114155295</v>
      </c>
      <c r="H33" s="1442"/>
      <c r="I33" s="1442">
        <f>SUMIF(T_BS!$E:$E,'BS(공)'!$D33,T_BS!$AI:$AI)</f>
        <v>108037971</v>
      </c>
      <c r="J33" s="1442"/>
      <c r="K33" s="1442">
        <f>SUMIF(T_BS!$E:$E,'BS(공)'!$D33,T_BS!$AN:$AN)</f>
        <v>118883200</v>
      </c>
      <c r="L33" s="1442"/>
      <c r="M33" s="1442">
        <v>118066714</v>
      </c>
      <c r="N33" s="1443"/>
      <c r="O33" s="1427"/>
      <c r="P33" s="1437" t="b">
        <f>AC32=I33</f>
        <v>1</v>
      </c>
      <c r="Q33" s="1437"/>
      <c r="R33" s="1953" t="s">
        <v>2636</v>
      </c>
      <c r="S33" s="1954">
        <v>14</v>
      </c>
      <c r="T33" s="1955">
        <f>G33</f>
        <v>114155295</v>
      </c>
      <c r="U33" s="1955"/>
      <c r="V33" s="1955">
        <v>108037971</v>
      </c>
      <c r="W33" s="1957"/>
      <c r="X33" s="1437"/>
      <c r="AA33" s="1430" t="s">
        <v>2528</v>
      </c>
      <c r="AB33" s="1431" t="s">
        <v>2433</v>
      </c>
      <c r="AC33" s="1438">
        <v>1461883523</v>
      </c>
      <c r="AD33" s="1432"/>
      <c r="AE33" s="1438">
        <v>2715155001</v>
      </c>
      <c r="AF33" s="1433"/>
    </row>
    <row r="34" spans="4:32" ht="18" customHeight="1">
      <c r="D34" s="1855" t="s">
        <v>1658</v>
      </c>
      <c r="E34" s="1851" t="s">
        <v>1591</v>
      </c>
      <c r="F34" s="1441" t="s">
        <v>2862</v>
      </c>
      <c r="G34" s="1442">
        <f>SUMIF(T_BS!$E:$E,'BS(공)'!D34,T_BS!$X:$X)</f>
        <v>2712858532</v>
      </c>
      <c r="H34" s="1442"/>
      <c r="I34" s="1442">
        <f>SUMIF(T_BS!$E:$E,'BS(공)'!$D34,T_BS!$AI:$AI)</f>
        <v>1461883523</v>
      </c>
      <c r="J34" s="1442"/>
      <c r="K34" s="1442">
        <f>SUMIF(T_BS!$E:$E,'BS(공)'!$D34,T_BS!$AN:$AN)</f>
        <v>2715155001</v>
      </c>
      <c r="L34" s="1442"/>
      <c r="M34" s="1442">
        <v>695426099</v>
      </c>
      <c r="N34" s="1443"/>
      <c r="O34" s="1427"/>
      <c r="P34" s="1437" t="b">
        <f>AC33=I34</f>
        <v>1</v>
      </c>
      <c r="Q34" s="1437"/>
      <c r="R34" s="1953" t="s">
        <v>2637</v>
      </c>
      <c r="S34" s="1954" t="s">
        <v>2860</v>
      </c>
      <c r="T34" s="1955">
        <f>G34</f>
        <v>2712858532</v>
      </c>
      <c r="U34" s="1955"/>
      <c r="V34" s="1955">
        <v>1461883523</v>
      </c>
      <c r="W34" s="1957"/>
      <c r="X34" s="1437"/>
      <c r="AA34" s="1430" t="s">
        <v>2668</v>
      </c>
      <c r="AB34" s="1431"/>
      <c r="AC34" s="1432"/>
      <c r="AD34" s="1438">
        <v>175265354702</v>
      </c>
      <c r="AE34" s="1432"/>
      <c r="AF34" s="1439">
        <v>76642040389</v>
      </c>
    </row>
    <row r="35" spans="4:32" ht="18" customHeight="1">
      <c r="D35" s="1855" t="s">
        <v>1648</v>
      </c>
      <c r="E35" s="1851" t="s">
        <v>664</v>
      </c>
      <c r="F35" s="1441"/>
      <c r="G35" s="1442">
        <f>SUMIF(T_BS!$E:$E,'BS(공)'!D35,T_BS!$X:$X)</f>
        <v>0</v>
      </c>
      <c r="H35" s="1442"/>
      <c r="I35" s="1442">
        <f>SUMIF(T_BS!$E:$E,'BS(공)'!$D35,T_BS!$AI:$AI)</f>
        <v>0</v>
      </c>
      <c r="J35" s="1442"/>
      <c r="K35" s="1442">
        <f>SUMIF(T_BS!$E:$E,'BS(공)'!$D35,T_BS!$AN:$AN)</f>
        <v>0</v>
      </c>
      <c r="L35" s="1442"/>
      <c r="M35" s="1442">
        <v>1852533634</v>
      </c>
      <c r="N35" s="1443"/>
      <c r="O35" s="1427"/>
      <c r="P35" s="1437" t="b">
        <f>AC34=I35</f>
        <v>1</v>
      </c>
      <c r="Q35" s="1437"/>
      <c r="R35" s="1953" t="s">
        <v>2638</v>
      </c>
      <c r="S35" s="1954"/>
      <c r="T35" s="1955">
        <f>G35</f>
        <v>0</v>
      </c>
      <c r="U35" s="1955"/>
      <c r="V35" s="1955">
        <v>0</v>
      </c>
      <c r="W35" s="1957"/>
      <c r="X35" s="1437"/>
      <c r="AA35" s="1430" t="s">
        <v>546</v>
      </c>
      <c r="AB35" s="1431"/>
      <c r="AC35" s="1432"/>
      <c r="AD35" s="1432"/>
      <c r="AE35" s="1432"/>
      <c r="AF35" s="1433"/>
    </row>
    <row r="36" spans="4:32" ht="18" customHeight="1">
      <c r="D36" s="1853"/>
      <c r="E36" s="1424" t="s">
        <v>2649</v>
      </c>
      <c r="F36" s="1425"/>
      <c r="G36" s="1425"/>
      <c r="H36" s="1425">
        <f>SUM(H24,H30)</f>
        <v>104591174696</v>
      </c>
      <c r="I36" s="1425"/>
      <c r="J36" s="1425">
        <f>SUM(J24,J30)</f>
        <v>175265354702</v>
      </c>
      <c r="K36" s="1425"/>
      <c r="L36" s="1425">
        <f>SUM(L24,L30)</f>
        <v>76642040389</v>
      </c>
      <c r="M36" s="1425"/>
      <c r="N36" s="1426">
        <f>SUM(N24,N30)</f>
        <v>53668515015</v>
      </c>
      <c r="O36" s="1427"/>
      <c r="P36" s="1437" t="b">
        <f>AD34=J36</f>
        <v>1</v>
      </c>
      <c r="Q36" s="1437"/>
      <c r="R36" s="1945" t="s">
        <v>2649</v>
      </c>
      <c r="S36" s="1946"/>
      <c r="T36" s="1947"/>
      <c r="U36" s="1947">
        <f>H36</f>
        <v>104591174696</v>
      </c>
      <c r="V36" s="1947"/>
      <c r="W36" s="1948">
        <v>175265354702</v>
      </c>
      <c r="X36" s="1437" t="b">
        <f>U36=SUM(U30,U24)</f>
        <v>1</v>
      </c>
      <c r="Y36" s="1412" t="b">
        <f>W36=SUM(W30,W24)</f>
        <v>1</v>
      </c>
      <c r="AA36" s="1430" t="s">
        <v>2529</v>
      </c>
      <c r="AB36" s="1431"/>
      <c r="AC36" s="1432"/>
      <c r="AD36" s="1438">
        <v>79639214477</v>
      </c>
      <c r="AE36" s="1432"/>
      <c r="AF36" s="1439">
        <v>95801398968</v>
      </c>
    </row>
    <row r="37" spans="4:32" ht="18" customHeight="1">
      <c r="D37" s="1853"/>
      <c r="E37" s="1424" t="s">
        <v>2650</v>
      </c>
      <c r="F37" s="1425"/>
      <c r="G37" s="1425"/>
      <c r="H37" s="1425"/>
      <c r="I37" s="1425"/>
      <c r="J37" s="1425"/>
      <c r="K37" s="1425"/>
      <c r="L37" s="1425"/>
      <c r="M37" s="1425"/>
      <c r="N37" s="1426"/>
      <c r="O37" s="1427"/>
      <c r="P37" s="1437" t="b">
        <f>AD39=J37</f>
        <v>1</v>
      </c>
      <c r="Q37" s="1437"/>
      <c r="R37" s="1945" t="s">
        <v>2663</v>
      </c>
      <c r="S37" s="1946"/>
      <c r="T37" s="1947"/>
      <c r="U37" s="1947"/>
      <c r="V37" s="1947"/>
      <c r="W37" s="1958"/>
      <c r="X37" s="1437"/>
      <c r="AA37" s="1430" t="s">
        <v>2530</v>
      </c>
      <c r="AB37" s="1431" t="s">
        <v>2434</v>
      </c>
      <c r="AC37" s="1438">
        <v>28429923500</v>
      </c>
      <c r="AD37" s="1432"/>
      <c r="AE37" s="1438">
        <v>28429923500</v>
      </c>
      <c r="AF37" s="1433"/>
    </row>
    <row r="38" spans="4:32" ht="18" customHeight="1">
      <c r="D38" s="1854"/>
      <c r="E38" s="1434" t="s">
        <v>1659</v>
      </c>
      <c r="F38" s="1435"/>
      <c r="G38" s="1435"/>
      <c r="H38" s="1435">
        <f>SUM(G39:G42)</f>
        <v>170318758856</v>
      </c>
      <c r="I38" s="1435"/>
      <c r="J38" s="1435">
        <f>SUM(I39:I42)</f>
        <v>79639214477</v>
      </c>
      <c r="K38" s="1435"/>
      <c r="L38" s="1435">
        <f>SUM(K39:K42)</f>
        <v>95801398968</v>
      </c>
      <c r="M38" s="1435"/>
      <c r="N38" s="1436">
        <f>SUM(M39:M42)</f>
        <v>117917039839</v>
      </c>
      <c r="O38" s="1427"/>
      <c r="P38" s="1437" t="b">
        <f>AD36=J38</f>
        <v>1</v>
      </c>
      <c r="Q38" s="1437"/>
      <c r="R38" s="1949" t="s">
        <v>1930</v>
      </c>
      <c r="S38" s="1950"/>
      <c r="T38" s="1951"/>
      <c r="U38" s="1951">
        <f>H38</f>
        <v>170318758856</v>
      </c>
      <c r="V38" s="1951"/>
      <c r="W38" s="1952">
        <v>79639214477</v>
      </c>
      <c r="X38" s="1437" t="b">
        <f>U38=SUM(T39:T42)</f>
        <v>1</v>
      </c>
      <c r="Y38" s="1412" t="b">
        <f>W38=SUM(V39:V42)</f>
        <v>1</v>
      </c>
      <c r="AA38" s="1430" t="s">
        <v>2531</v>
      </c>
      <c r="AB38" s="1431" t="s">
        <v>2435</v>
      </c>
      <c r="AC38" s="1438">
        <v>178743993103</v>
      </c>
      <c r="AD38" s="1432"/>
      <c r="AE38" s="1438">
        <v>178559577856</v>
      </c>
      <c r="AF38" s="1433"/>
    </row>
    <row r="39" spans="4:32" ht="18" customHeight="1">
      <c r="D39" s="1855" t="s">
        <v>10</v>
      </c>
      <c r="E39" s="1440" t="s">
        <v>2867</v>
      </c>
      <c r="F39" s="1441" t="s">
        <v>2864</v>
      </c>
      <c r="G39" s="1442">
        <f>SUMIF(T_BS!$E:$E,'BS(공)'!D39,T_BS!$X:$X)</f>
        <v>37810786500</v>
      </c>
      <c r="H39" s="1442"/>
      <c r="I39" s="1442">
        <f>SUMIF(T_BS!$E:$E,'BS(공)'!$D39,T_BS!$AI:$AI)</f>
        <v>28429923500</v>
      </c>
      <c r="J39" s="1442"/>
      <c r="K39" s="1442">
        <f>SUMIF(T_BS!$E:$E,'BS(공)'!$D39,T_BS!$AN:$AN)</f>
        <v>28429923500</v>
      </c>
      <c r="L39" s="1442"/>
      <c r="M39" s="1442">
        <v>28429923500</v>
      </c>
      <c r="N39" s="1443"/>
      <c r="O39" s="1427"/>
      <c r="P39" s="1437" t="b">
        <f>AC37=I39</f>
        <v>1</v>
      </c>
      <c r="Q39" s="1437"/>
      <c r="R39" s="1953" t="s">
        <v>1931</v>
      </c>
      <c r="S39" s="1954" t="s">
        <v>2863</v>
      </c>
      <c r="T39" s="1955">
        <f>G39</f>
        <v>37810786500</v>
      </c>
      <c r="U39" s="1955"/>
      <c r="V39" s="1955">
        <v>28429923500</v>
      </c>
      <c r="W39" s="1957"/>
      <c r="X39" s="1437"/>
      <c r="AA39" s="1430" t="s">
        <v>2532</v>
      </c>
      <c r="AB39" s="1431" t="s">
        <v>2436</v>
      </c>
      <c r="AC39" s="1438">
        <v>-315281392</v>
      </c>
      <c r="AD39" s="1432"/>
      <c r="AE39" s="1438">
        <v>-310683954</v>
      </c>
      <c r="AF39" s="1433"/>
    </row>
    <row r="40" spans="4:32" ht="18" customHeight="1">
      <c r="D40" s="1855" t="s">
        <v>12</v>
      </c>
      <c r="E40" s="1440" t="s">
        <v>2868</v>
      </c>
      <c r="F40" s="1441">
        <v>17</v>
      </c>
      <c r="G40" s="1442">
        <f>SUMIF(T_BS!$E:$E,'BS(공)'!D40,T_BS!$X:$X)</f>
        <v>110704679953</v>
      </c>
      <c r="H40" s="1442"/>
      <c r="I40" s="1442">
        <f>SUMIF(T_BS!$E:$E,'BS(공)'!$D40,T_BS!$AI:$AI)</f>
        <v>178743993103</v>
      </c>
      <c r="J40" s="1442"/>
      <c r="K40" s="1442">
        <f>SUMIF(T_BS!$E:$E,'BS(공)'!$D40,T_BS!$AN:$AN)</f>
        <v>178559577856</v>
      </c>
      <c r="L40" s="1442"/>
      <c r="M40" s="1442">
        <v>178559577856</v>
      </c>
      <c r="N40" s="1443"/>
      <c r="O40" s="1427"/>
      <c r="P40" s="1437" t="b">
        <f>AC38=I40</f>
        <v>1</v>
      </c>
      <c r="Q40" s="1437"/>
      <c r="R40" s="1953" t="s">
        <v>1932</v>
      </c>
      <c r="S40" s="1954">
        <v>17</v>
      </c>
      <c r="T40" s="1955">
        <f>G40</f>
        <v>110704679953</v>
      </c>
      <c r="U40" s="1955"/>
      <c r="V40" s="1955">
        <v>178743993103</v>
      </c>
      <c r="W40" s="1957"/>
      <c r="X40" s="1437"/>
      <c r="AA40" s="1430" t="s">
        <v>2533</v>
      </c>
      <c r="AB40" s="1431">
        <v>21</v>
      </c>
      <c r="AC40" s="1438">
        <v>-127219420734</v>
      </c>
      <c r="AD40" s="1432"/>
      <c r="AE40" s="1438">
        <v>-110877418434</v>
      </c>
      <c r="AF40" s="1433"/>
    </row>
    <row r="41" spans="4:32" ht="18" customHeight="1">
      <c r="D41" s="1855" t="s">
        <v>194</v>
      </c>
      <c r="E41" s="1440" t="s">
        <v>2869</v>
      </c>
      <c r="F41" s="1441" t="s">
        <v>2866</v>
      </c>
      <c r="G41" s="1442">
        <f>SUMIF(T_BS!$E:$E,'BS(공)'!D41,T_BS!$X:$X)</f>
        <v>-1109488934</v>
      </c>
      <c r="H41" s="1442"/>
      <c r="I41" s="1442">
        <f>SUMIF(T_BS!$E:$E,'BS(공)'!$D41,T_BS!$AI:$AI)</f>
        <v>-315281392</v>
      </c>
      <c r="J41" s="1442"/>
      <c r="K41" s="1442">
        <f>SUMIF(T_BS!$E:$E,'BS(공)'!$D41,T_BS!$AN:$AN)</f>
        <v>-310683954</v>
      </c>
      <c r="L41" s="1442"/>
      <c r="M41" s="1442">
        <v>-1301501750</v>
      </c>
      <c r="N41" s="1443"/>
      <c r="O41" s="1427"/>
      <c r="P41" s="1437" t="b">
        <f>AC39=I41</f>
        <v>1</v>
      </c>
      <c r="Q41" s="1437"/>
      <c r="R41" s="1953" t="s">
        <v>1933</v>
      </c>
      <c r="S41" s="1954" t="s">
        <v>2865</v>
      </c>
      <c r="T41" s="1955">
        <f>G41</f>
        <v>-1109488934</v>
      </c>
      <c r="U41" s="1955"/>
      <c r="V41" s="1955">
        <v>-315281392</v>
      </c>
      <c r="W41" s="1957"/>
      <c r="X41" s="1437"/>
      <c r="AA41" s="1430" t="s">
        <v>2534</v>
      </c>
      <c r="AB41" s="1431"/>
      <c r="AC41" s="1432"/>
      <c r="AD41" s="1432" t="s">
        <v>611</v>
      </c>
      <c r="AE41" s="1432"/>
      <c r="AF41" s="1433" t="s">
        <v>611</v>
      </c>
    </row>
    <row r="42" spans="4:32" ht="18" customHeight="1">
      <c r="D42" s="1855" t="s">
        <v>13</v>
      </c>
      <c r="E42" s="1440" t="s">
        <v>2870</v>
      </c>
      <c r="F42" s="1441"/>
      <c r="G42" s="1442">
        <f>SUMIF(T_BS!$E:$E,'BS(공)'!D42,T_BS!$X:$X)</f>
        <v>22912781337</v>
      </c>
      <c r="H42" s="1442"/>
      <c r="I42" s="1442">
        <f>SUMIF(T_BS!$E:$E,'BS(공)'!$D42,T_BS!$AI:$AI)</f>
        <v>-127219420734</v>
      </c>
      <c r="J42" s="1442"/>
      <c r="K42" s="1442">
        <f>SUMIF(T_BS!$E:$E,'BS(공)'!$D42,T_BS!$AN:$AN)</f>
        <v>-110877418434</v>
      </c>
      <c r="L42" s="1442"/>
      <c r="M42" s="1442">
        <v>-87770959767</v>
      </c>
      <c r="N42" s="1443"/>
      <c r="O42" s="1427"/>
      <c r="P42" s="1437" t="b">
        <f>AC40=I42</f>
        <v>1</v>
      </c>
      <c r="Q42" s="1437"/>
      <c r="R42" s="1953" t="s">
        <v>1934</v>
      </c>
      <c r="S42" s="1954"/>
      <c r="T42" s="1955">
        <f>G42</f>
        <v>22912781337</v>
      </c>
      <c r="U42" s="1955"/>
      <c r="V42" s="1955">
        <v>-127219420734</v>
      </c>
      <c r="W42" s="1957"/>
      <c r="X42" s="1437"/>
      <c r="AA42" s="1430" t="s">
        <v>2669</v>
      </c>
      <c r="AB42" s="1431"/>
      <c r="AC42" s="1432"/>
      <c r="AD42" s="1438">
        <v>79639214477</v>
      </c>
      <c r="AE42" s="1432"/>
      <c r="AF42" s="1439">
        <v>95801398968</v>
      </c>
    </row>
    <row r="43" spans="4:32" ht="18" customHeight="1">
      <c r="D43" s="1853"/>
      <c r="E43" s="1424" t="s">
        <v>2652</v>
      </c>
      <c r="F43" s="1425"/>
      <c r="G43" s="1425"/>
      <c r="H43" s="1425">
        <f>SUM(H38)</f>
        <v>170318758856</v>
      </c>
      <c r="I43" s="1425"/>
      <c r="J43" s="1425">
        <f>SUM(J38)</f>
        <v>79639214477</v>
      </c>
      <c r="K43" s="1425"/>
      <c r="L43" s="1425">
        <f>SUM(L38)</f>
        <v>95801398968</v>
      </c>
      <c r="M43" s="1425"/>
      <c r="N43" s="1426">
        <f>SUM(N38)</f>
        <v>117917039839</v>
      </c>
      <c r="O43" s="1427"/>
      <c r="P43" s="1437" t="b">
        <f>AD42=J43</f>
        <v>1</v>
      </c>
      <c r="Q43" s="1437"/>
      <c r="R43" s="1949" t="s">
        <v>1935</v>
      </c>
      <c r="S43" s="1950"/>
      <c r="T43" s="1951"/>
      <c r="U43" s="1951" t="s">
        <v>611</v>
      </c>
      <c r="V43" s="1951"/>
      <c r="W43" s="1959">
        <v>0</v>
      </c>
      <c r="X43" s="1437"/>
      <c r="AA43" s="1430" t="s">
        <v>2665</v>
      </c>
      <c r="AB43" s="1431"/>
      <c r="AC43" s="1432"/>
      <c r="AD43" s="1438">
        <v>254904569179</v>
      </c>
      <c r="AE43" s="1432"/>
      <c r="AF43" s="1439">
        <v>172443439357</v>
      </c>
    </row>
    <row r="44" spans="4:32" ht="18" customHeight="1" thickBot="1">
      <c r="D44" s="1857"/>
      <c r="E44" s="1447" t="s">
        <v>2653</v>
      </c>
      <c r="F44" s="1448"/>
      <c r="G44" s="1448"/>
      <c r="H44" s="1448">
        <f>SUM(H43,H36)</f>
        <v>274909933552</v>
      </c>
      <c r="I44" s="1448"/>
      <c r="J44" s="1448">
        <f>SUM(J43,J36)</f>
        <v>254904569179</v>
      </c>
      <c r="K44" s="1448"/>
      <c r="L44" s="1448">
        <f>SUM(L43,L36)</f>
        <v>172443439357</v>
      </c>
      <c r="M44" s="1448"/>
      <c r="N44" s="1449">
        <f>SUM(N43,N36)</f>
        <v>171585554854</v>
      </c>
      <c r="O44" s="1427"/>
      <c r="P44" s="1437" t="b">
        <f>AD43=J44</f>
        <v>1</v>
      </c>
      <c r="Q44" s="1437"/>
      <c r="R44" s="1945" t="s">
        <v>2664</v>
      </c>
      <c r="S44" s="1946"/>
      <c r="T44" s="1947"/>
      <c r="U44" s="1947">
        <f>H43</f>
        <v>170318758856</v>
      </c>
      <c r="V44" s="1947"/>
      <c r="W44" s="1948">
        <v>79639214477</v>
      </c>
      <c r="X44" s="1437" t="b">
        <f>U44=U38</f>
        <v>1</v>
      </c>
      <c r="Y44" s="1412" t="b">
        <f>W44=W38</f>
        <v>1</v>
      </c>
    </row>
    <row r="45" spans="4:32" ht="18" customHeight="1" thickBot="1">
      <c r="D45" s="1427"/>
      <c r="E45" s="1427"/>
      <c r="F45" s="1427"/>
      <c r="G45" s="1427"/>
      <c r="H45" s="1427"/>
      <c r="I45" s="1427"/>
      <c r="J45" s="1427"/>
      <c r="K45" s="1427"/>
      <c r="L45" s="1427"/>
      <c r="M45" s="1427"/>
      <c r="N45" s="1427"/>
      <c r="O45" s="1427"/>
      <c r="P45" s="1429"/>
      <c r="Q45" s="1437"/>
      <c r="R45" s="1960" t="s">
        <v>2665</v>
      </c>
      <c r="S45" s="1961"/>
      <c r="T45" s="1962"/>
      <c r="U45" s="1962">
        <f>H44</f>
        <v>274909933552</v>
      </c>
      <c r="V45" s="1962"/>
      <c r="W45" s="1963">
        <v>254904569179</v>
      </c>
      <c r="X45" s="1437" t="b">
        <f>U45=SUM(U36,U44)</f>
        <v>1</v>
      </c>
      <c r="Y45" s="1412" t="b">
        <f>W45=W44+W36</f>
        <v>1</v>
      </c>
    </row>
    <row r="46" spans="4:32" ht="18" customHeight="1">
      <c r="D46" s="1450"/>
      <c r="E46" s="1451" t="s">
        <v>1660</v>
      </c>
      <c r="F46" s="1452"/>
      <c r="G46" s="1452"/>
      <c r="H46" s="1453" t="b">
        <f>H22=H44</f>
        <v>1</v>
      </c>
      <c r="I46" s="1452"/>
      <c r="J46" s="1453" t="b">
        <f>J22=J44</f>
        <v>1</v>
      </c>
      <c r="K46" s="1452"/>
      <c r="L46" s="1453" t="b">
        <f>L22=L44</f>
        <v>1</v>
      </c>
      <c r="M46" s="1453"/>
      <c r="N46" s="1454" t="b">
        <f>N22=N44</f>
        <v>1</v>
      </c>
      <c r="O46" s="1427"/>
      <c r="P46" s="1429"/>
      <c r="Q46" s="1429"/>
      <c r="R46" s="1427"/>
      <c r="S46" s="1427"/>
      <c r="T46" s="1427"/>
      <c r="U46" s="1801" t="b">
        <f>U45=U22</f>
        <v>1</v>
      </c>
      <c r="V46" s="1801"/>
      <c r="W46" s="1801" t="b">
        <f>W45=W22</f>
        <v>1</v>
      </c>
      <c r="X46" s="1429"/>
    </row>
    <row r="47" spans="4:32" ht="18" customHeight="1" thickBot="1">
      <c r="D47" s="1455"/>
      <c r="E47" s="1456" t="s">
        <v>1661</v>
      </c>
      <c r="F47" s="1457"/>
      <c r="G47" s="1457"/>
      <c r="H47" s="1458" t="b">
        <f>H7=T_BS!X7</f>
        <v>1</v>
      </c>
      <c r="I47" s="1457"/>
      <c r="J47" s="1458" t="b">
        <f>J7=T_BS!AI7</f>
        <v>1</v>
      </c>
      <c r="K47" s="1457"/>
      <c r="L47" s="1458" t="b">
        <f>L7=T_BS!AN7</f>
        <v>1</v>
      </c>
      <c r="M47" s="1458"/>
      <c r="N47" s="1459"/>
      <c r="O47" s="1427"/>
      <c r="P47" s="1429"/>
      <c r="Q47" s="1429"/>
      <c r="R47" s="1427"/>
      <c r="S47" s="1427"/>
      <c r="T47" s="1427"/>
      <c r="U47" s="1801" t="b">
        <f>U45=T_BS!X257</f>
        <v>1</v>
      </c>
      <c r="V47" s="1427"/>
      <c r="W47" s="1801" t="b">
        <f>W45=T_BS!AI257</f>
        <v>1</v>
      </c>
      <c r="X47" s="1429"/>
    </row>
    <row r="48" spans="4:32" ht="18" customHeight="1">
      <c r="D48" s="1427"/>
      <c r="E48" s="1427"/>
      <c r="F48" s="1427"/>
      <c r="G48" s="1427"/>
      <c r="H48" s="1427"/>
      <c r="I48" s="1427"/>
      <c r="J48" s="1427"/>
      <c r="K48" s="1427"/>
      <c r="L48" s="1427"/>
      <c r="M48" s="1427"/>
      <c r="N48" s="1427"/>
      <c r="O48" s="1427"/>
      <c r="P48" s="1429"/>
      <c r="Q48" s="1429"/>
      <c r="R48" s="1427"/>
      <c r="S48" s="1427"/>
      <c r="T48" s="1427"/>
      <c r="U48" s="1427"/>
      <c r="V48" s="1427"/>
      <c r="X48" s="1429"/>
    </row>
    <row r="49" spans="4:24" ht="18" customHeight="1">
      <c r="D49" s="1427"/>
      <c r="E49" s="1427"/>
      <c r="F49" s="1427"/>
      <c r="G49" s="1427"/>
      <c r="H49" s="1427"/>
      <c r="I49" s="1427"/>
      <c r="J49" s="1427"/>
      <c r="K49" s="1427"/>
      <c r="L49" s="1427"/>
      <c r="M49" s="1427"/>
      <c r="N49" s="1427"/>
      <c r="O49" s="1427"/>
      <c r="P49" s="1429"/>
      <c r="Q49" s="1429"/>
      <c r="R49" s="1427"/>
      <c r="S49" s="1427"/>
      <c r="T49" s="1427"/>
      <c r="U49" s="1427"/>
      <c r="V49" s="1427"/>
      <c r="X49" s="1429"/>
    </row>
    <row r="50" spans="4:24" ht="18" customHeight="1">
      <c r="D50" s="1427"/>
      <c r="E50" s="1427"/>
      <c r="F50" s="1427"/>
      <c r="G50" s="1427"/>
      <c r="H50" s="1427"/>
      <c r="I50" s="1427"/>
      <c r="J50" s="1427"/>
      <c r="K50" s="1427"/>
      <c r="L50" s="1427"/>
      <c r="M50" s="1427"/>
      <c r="N50" s="1427"/>
      <c r="O50" s="1427"/>
      <c r="P50" s="1429"/>
      <c r="Q50" s="1429"/>
      <c r="R50" s="1427"/>
      <c r="S50" s="1427"/>
      <c r="T50" s="1427"/>
      <c r="U50" s="1427"/>
      <c r="V50" s="1427"/>
      <c r="X50" s="1429"/>
    </row>
    <row r="51" spans="4:24" ht="18" customHeight="1">
      <c r="D51" s="1427"/>
      <c r="E51" s="1427"/>
      <c r="F51" s="1427"/>
      <c r="G51" s="1427"/>
      <c r="H51" s="1427"/>
      <c r="I51" s="1427"/>
      <c r="J51" s="1427"/>
      <c r="K51" s="1427"/>
      <c r="L51" s="1427"/>
      <c r="M51" s="1427"/>
      <c r="N51" s="1427"/>
      <c r="O51" s="1427"/>
      <c r="P51" s="1429"/>
      <c r="Q51" s="1429"/>
      <c r="R51" s="1427"/>
      <c r="S51" s="1427"/>
      <c r="T51" s="1427"/>
      <c r="U51" s="1427"/>
      <c r="V51" s="1427"/>
      <c r="X51" s="1429"/>
    </row>
    <row r="52" spans="4:24" ht="18" customHeight="1">
      <c r="D52" s="1427"/>
      <c r="E52" s="1427"/>
      <c r="F52" s="1427"/>
      <c r="G52" s="1427"/>
      <c r="H52" s="1427"/>
      <c r="I52" s="1427"/>
      <c r="J52" s="1427"/>
      <c r="K52" s="1427"/>
      <c r="L52" s="1427"/>
      <c r="M52" s="1427"/>
      <c r="N52" s="1427"/>
      <c r="O52" s="1427"/>
      <c r="P52" s="1429"/>
      <c r="Q52" s="1429"/>
      <c r="R52" s="1427"/>
      <c r="S52" s="1427"/>
      <c r="T52" s="1427"/>
      <c r="U52" s="1427"/>
      <c r="V52" s="1427"/>
      <c r="X52" s="1429"/>
    </row>
    <row r="53" spans="4:24" ht="18" customHeight="1">
      <c r="D53" s="1427"/>
      <c r="E53" s="1427"/>
      <c r="F53" s="1427"/>
      <c r="G53" s="1427"/>
      <c r="H53" s="1427"/>
      <c r="I53" s="1427"/>
      <c r="J53" s="1427"/>
      <c r="K53" s="1427"/>
      <c r="L53" s="1427"/>
      <c r="M53" s="1427"/>
      <c r="N53" s="1427"/>
      <c r="O53" s="1427"/>
      <c r="P53" s="1429"/>
      <c r="Q53" s="1429"/>
      <c r="R53" s="1427"/>
      <c r="S53" s="1427"/>
      <c r="T53" s="1427"/>
      <c r="U53" s="1427"/>
      <c r="V53" s="1427"/>
      <c r="X53" s="1429"/>
    </row>
    <row r="54" spans="4:24" ht="18" customHeight="1">
      <c r="D54" s="1427"/>
      <c r="E54" s="1427"/>
      <c r="F54" s="1427"/>
      <c r="G54" s="1427"/>
      <c r="H54" s="1427"/>
      <c r="I54" s="1427"/>
      <c r="J54" s="1427"/>
      <c r="K54" s="1427"/>
      <c r="L54" s="1427"/>
      <c r="M54" s="1427"/>
      <c r="N54" s="1427"/>
      <c r="O54" s="1427"/>
      <c r="P54" s="1429"/>
      <c r="Q54" s="1429"/>
      <c r="R54" s="1427"/>
      <c r="S54" s="1427"/>
      <c r="T54" s="1427"/>
      <c r="U54" s="1427"/>
      <c r="V54" s="1427"/>
      <c r="X54" s="1429"/>
    </row>
    <row r="55" spans="4:24" ht="18" customHeight="1">
      <c r="D55" s="1427"/>
      <c r="E55" s="1427"/>
      <c r="F55" s="1427"/>
      <c r="G55" s="1427"/>
      <c r="H55" s="1427"/>
      <c r="I55" s="1427"/>
      <c r="J55" s="1427"/>
      <c r="K55" s="1427"/>
      <c r="L55" s="1427"/>
      <c r="M55" s="1427"/>
      <c r="N55" s="1427"/>
      <c r="O55" s="1427"/>
      <c r="P55" s="1429"/>
      <c r="Q55" s="1429"/>
      <c r="R55" s="1427"/>
      <c r="S55" s="1427"/>
      <c r="T55" s="1427"/>
      <c r="U55" s="1427"/>
      <c r="V55" s="1427"/>
      <c r="X55" s="1429"/>
    </row>
    <row r="56" spans="4:24" ht="18" customHeight="1">
      <c r="D56" s="1427"/>
      <c r="E56" s="1427"/>
      <c r="F56" s="1427"/>
      <c r="G56" s="1427"/>
      <c r="H56" s="1427"/>
      <c r="I56" s="1427"/>
      <c r="J56" s="1427"/>
      <c r="K56" s="1427"/>
      <c r="L56" s="1427"/>
      <c r="M56" s="1427"/>
      <c r="N56" s="1427"/>
      <c r="O56" s="1427"/>
      <c r="P56" s="1429"/>
      <c r="Q56" s="1429"/>
      <c r="R56" s="1427"/>
      <c r="S56" s="1427"/>
      <c r="T56" s="1427"/>
      <c r="U56" s="1427"/>
      <c r="V56" s="1427"/>
      <c r="X56" s="1429"/>
    </row>
    <row r="57" spans="4:24" ht="18" customHeight="1">
      <c r="D57" s="1427"/>
      <c r="E57" s="1427"/>
      <c r="F57" s="1427"/>
      <c r="G57" s="1427"/>
      <c r="H57" s="1427"/>
      <c r="I57" s="1427"/>
      <c r="J57" s="1427"/>
      <c r="K57" s="1427"/>
      <c r="L57" s="1427"/>
      <c r="M57" s="1427"/>
      <c r="N57" s="1427"/>
      <c r="O57" s="1427"/>
      <c r="P57" s="1429"/>
      <c r="Q57" s="1429"/>
      <c r="R57" s="1427"/>
      <c r="S57" s="1427"/>
      <c r="T57" s="1427"/>
      <c r="U57" s="1427"/>
      <c r="V57" s="1427"/>
      <c r="X57" s="1429"/>
    </row>
    <row r="58" spans="4:24" ht="18" customHeight="1">
      <c r="D58" s="1427"/>
      <c r="E58" s="1427"/>
      <c r="F58" s="1427"/>
      <c r="G58" s="1427"/>
      <c r="H58" s="1427"/>
      <c r="I58" s="1427"/>
      <c r="J58" s="1427"/>
      <c r="K58" s="1427"/>
      <c r="L58" s="1427"/>
      <c r="M58" s="1427"/>
      <c r="N58" s="1427"/>
      <c r="O58" s="1427"/>
      <c r="P58" s="1429"/>
      <c r="Q58" s="1429"/>
      <c r="R58" s="1427"/>
      <c r="S58" s="1427"/>
      <c r="T58" s="1427"/>
      <c r="U58" s="1427"/>
      <c r="V58" s="1427"/>
      <c r="X58" s="1429"/>
    </row>
    <row r="59" spans="4:24" ht="18" customHeight="1">
      <c r="D59" s="1427"/>
      <c r="E59" s="1427"/>
      <c r="F59" s="1427"/>
      <c r="G59" s="1427"/>
      <c r="H59" s="1427"/>
      <c r="I59" s="1427"/>
      <c r="J59" s="1427"/>
      <c r="K59" s="1427"/>
      <c r="L59" s="1427"/>
      <c r="M59" s="1427"/>
      <c r="N59" s="1427"/>
      <c r="O59" s="1427"/>
      <c r="P59" s="1429"/>
      <c r="Q59" s="1429"/>
      <c r="R59" s="1427"/>
      <c r="S59" s="1427"/>
      <c r="T59" s="1427"/>
      <c r="U59" s="1427"/>
      <c r="V59" s="1427"/>
      <c r="X59" s="1429"/>
    </row>
    <row r="60" spans="4:24" ht="18" customHeight="1">
      <c r="D60" s="1427"/>
      <c r="E60" s="1427"/>
      <c r="F60" s="1427"/>
      <c r="G60" s="1427"/>
      <c r="H60" s="1427"/>
      <c r="I60" s="1427"/>
      <c r="J60" s="1427"/>
      <c r="K60" s="1427"/>
      <c r="L60" s="1427"/>
      <c r="M60" s="1427"/>
      <c r="N60" s="1427"/>
      <c r="O60" s="1427"/>
      <c r="P60" s="1429"/>
      <c r="Q60" s="1429"/>
      <c r="R60" s="1427"/>
      <c r="S60" s="1427"/>
      <c r="T60" s="1427"/>
      <c r="U60" s="1427"/>
      <c r="V60" s="1427"/>
      <c r="X60" s="1429"/>
    </row>
    <row r="61" spans="4:24" ht="18" customHeight="1">
      <c r="D61" s="1427"/>
      <c r="E61" s="1427"/>
      <c r="F61" s="1427"/>
      <c r="G61" s="1427"/>
      <c r="H61" s="1427"/>
      <c r="I61" s="1427"/>
      <c r="J61" s="1427"/>
      <c r="K61" s="1427"/>
      <c r="L61" s="1427"/>
      <c r="M61" s="1427"/>
      <c r="N61" s="1427"/>
      <c r="O61" s="1427"/>
      <c r="P61" s="1429"/>
      <c r="Q61" s="1429"/>
      <c r="R61" s="1427"/>
      <c r="S61" s="1427"/>
      <c r="T61" s="1427"/>
      <c r="U61" s="1427"/>
      <c r="V61" s="1427"/>
      <c r="X61" s="1429"/>
    </row>
    <row r="62" spans="4:24" ht="18" customHeight="1">
      <c r="D62" s="1427"/>
      <c r="E62" s="1427"/>
      <c r="F62" s="1427"/>
      <c r="G62" s="1427"/>
      <c r="H62" s="1427"/>
      <c r="I62" s="1427"/>
      <c r="J62" s="1427"/>
      <c r="K62" s="1427"/>
      <c r="L62" s="1427"/>
      <c r="M62" s="1427"/>
      <c r="N62" s="1427"/>
      <c r="O62" s="1427"/>
      <c r="P62" s="1429"/>
      <c r="Q62" s="1429"/>
      <c r="R62" s="1427"/>
      <c r="S62" s="1427"/>
      <c r="T62" s="1427"/>
      <c r="U62" s="1427"/>
      <c r="V62" s="1427"/>
      <c r="X62" s="1429"/>
    </row>
    <row r="63" spans="4:24" ht="18" customHeight="1">
      <c r="D63" s="1427"/>
      <c r="E63" s="1427"/>
      <c r="F63" s="1427"/>
      <c r="G63" s="1427"/>
      <c r="H63" s="1427"/>
      <c r="I63" s="1427"/>
      <c r="J63" s="1427"/>
      <c r="K63" s="1427"/>
      <c r="L63" s="1427"/>
      <c r="M63" s="1427"/>
      <c r="N63" s="1427"/>
      <c r="O63" s="1427"/>
      <c r="P63" s="1429"/>
      <c r="Q63" s="1429"/>
      <c r="R63" s="1427"/>
      <c r="S63" s="1427"/>
      <c r="T63" s="1427"/>
      <c r="U63" s="1427"/>
      <c r="V63" s="1427"/>
      <c r="X63" s="1429"/>
    </row>
    <row r="64" spans="4:24" ht="18" customHeight="1">
      <c r="D64" s="1427"/>
      <c r="E64" s="1427"/>
      <c r="F64" s="1427"/>
      <c r="G64" s="1427"/>
      <c r="H64" s="1427"/>
      <c r="I64" s="1427"/>
      <c r="J64" s="1427"/>
      <c r="K64" s="1427"/>
      <c r="L64" s="1427"/>
      <c r="M64" s="1427"/>
      <c r="N64" s="1427"/>
      <c r="O64" s="1427"/>
      <c r="P64" s="1429"/>
      <c r="Q64" s="1429"/>
      <c r="R64" s="1427"/>
      <c r="S64" s="1427"/>
      <c r="T64" s="1427"/>
      <c r="U64" s="1427"/>
      <c r="V64" s="1427"/>
      <c r="X64" s="1429"/>
    </row>
    <row r="65" spans="17:24" ht="18" customHeight="1">
      <c r="Q65" s="1429"/>
      <c r="R65" s="1427"/>
      <c r="S65" s="1427"/>
      <c r="T65" s="1427"/>
      <c r="U65" s="1427"/>
      <c r="V65" s="1427"/>
      <c r="X65" s="1429"/>
    </row>
  </sheetData>
  <mergeCells count="5">
    <mergeCell ref="T5:U5"/>
    <mergeCell ref="V5:W5"/>
    <mergeCell ref="AC5:AD5"/>
    <mergeCell ref="AE5:AF5"/>
    <mergeCell ref="M4:N4"/>
  </mergeCells>
  <phoneticPr fontId="22" type="noConversion"/>
  <pageMargins left="0.7" right="0.7" top="0.75" bottom="0.75" header="0.3" footer="0.3"/>
  <pageSetup paperSize="9" orientation="portrait" r:id="rId1"/>
  <ignoredErrors>
    <ignoredError sqref="R43:S43 P14 P30 P37 P45 R14 R30 R38:R42 R19:R20 R24 R46:S46 S44 S45" formula="1"/>
    <ignoredError sqref="AB8 F14:F15 F10 F22:F24 F28:F38 S22:S24 S28:S35 S10:S20 F20" twoDigitTextYear="1"/>
    <ignoredError sqref="S36:S38" twoDigitTextYear="1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00B0F0"/>
  </sheetPr>
  <dimension ref="D2:AE56"/>
  <sheetViews>
    <sheetView showGridLines="0" topLeftCell="A7" zoomScale="80" zoomScaleNormal="80" workbookViewId="0">
      <selection activeCell="F36" sqref="F36"/>
    </sheetView>
  </sheetViews>
  <sheetFormatPr defaultColWidth="9" defaultRowHeight="18.95" customHeight="1"/>
  <cols>
    <col min="1" max="3" width="2.375" style="1359" customWidth="1"/>
    <col min="4" max="4" width="30.625" style="1359" customWidth="1"/>
    <col min="5" max="5" width="44.875" style="1359" customWidth="1"/>
    <col min="6" max="6" width="11.5" style="1359" customWidth="1"/>
    <col min="7" max="7" width="16.625" style="1359" hidden="1" customWidth="1"/>
    <col min="8" max="17" width="16.625" style="1359" customWidth="1"/>
    <col min="18" max="18" width="2.625" style="1359" customWidth="1"/>
    <col min="19" max="20" width="8.625" style="1359" customWidth="1"/>
    <col min="21" max="21" width="2.625" style="1359" customWidth="1"/>
    <col min="22" max="22" width="40.625" style="1359" customWidth="1"/>
    <col min="23" max="23" width="10.25" style="1361" customWidth="1"/>
    <col min="24" max="27" width="16.625" style="1359" customWidth="1"/>
    <col min="28" max="31" width="8.625" style="1359" customWidth="1"/>
    <col min="32" max="16384" width="9" style="1359"/>
  </cols>
  <sheetData>
    <row r="2" spans="4:31" ht="18.95" customHeight="1">
      <c r="H2" s="1360"/>
      <c r="I2" s="1360"/>
      <c r="J2" s="1360"/>
    </row>
    <row r="3" spans="4:31" ht="18.95" customHeight="1" thickBot="1">
      <c r="H3" s="1361"/>
      <c r="I3" s="1361"/>
      <c r="J3" s="1361"/>
      <c r="K3" s="1361"/>
      <c r="L3" s="1361"/>
      <c r="M3" s="1361"/>
      <c r="N3" s="1361"/>
      <c r="O3" s="1361"/>
      <c r="P3" s="1361"/>
      <c r="Q3" s="1361"/>
    </row>
    <row r="4" spans="4:31" ht="18.95" customHeight="1">
      <c r="D4" s="2117" t="s">
        <v>1649</v>
      </c>
      <c r="E4" s="2119" t="s">
        <v>2654</v>
      </c>
      <c r="F4" s="2121" t="s">
        <v>1662</v>
      </c>
      <c r="G4" s="2125" t="s">
        <v>2053</v>
      </c>
      <c r="H4" s="2125" t="str">
        <f>'BS(공)'!G4</f>
        <v>FY2022.Q4</v>
      </c>
      <c r="I4" s="2119" t="s">
        <v>2888</v>
      </c>
      <c r="J4" s="2119" t="s">
        <v>2832</v>
      </c>
      <c r="K4" s="2119" t="s">
        <v>2580</v>
      </c>
      <c r="L4" s="2119" t="s">
        <v>2617</v>
      </c>
      <c r="M4" s="2119" t="s">
        <v>2613</v>
      </c>
      <c r="N4" s="2119" t="s">
        <v>2619</v>
      </c>
      <c r="O4" s="2119" t="s">
        <v>2618</v>
      </c>
      <c r="P4" s="2127" t="s">
        <v>2304</v>
      </c>
      <c r="Q4" s="2129" t="s">
        <v>2305</v>
      </c>
      <c r="S4" s="1362"/>
      <c r="T4" s="1362"/>
      <c r="V4" s="2123" t="s">
        <v>2655</v>
      </c>
      <c r="W4" s="2133" t="s">
        <v>1662</v>
      </c>
      <c r="X4" s="2131" t="s">
        <v>2833</v>
      </c>
      <c r="Y4" s="2131"/>
      <c r="Z4" s="2131" t="s">
        <v>2834</v>
      </c>
      <c r="AA4" s="2132"/>
    </row>
    <row r="5" spans="4:31" ht="18.95" customHeight="1">
      <c r="D5" s="2118"/>
      <c r="E5" s="2120"/>
      <c r="F5" s="2122"/>
      <c r="G5" s="2126"/>
      <c r="H5" s="2126"/>
      <c r="I5" s="2120"/>
      <c r="J5" s="2120"/>
      <c r="K5" s="2120"/>
      <c r="L5" s="2120"/>
      <c r="M5" s="2120"/>
      <c r="N5" s="2120"/>
      <c r="O5" s="2120"/>
      <c r="P5" s="2128"/>
      <c r="Q5" s="2130"/>
      <c r="S5" s="1362"/>
      <c r="T5" s="1362"/>
      <c r="V5" s="2124"/>
      <c r="W5" s="2134"/>
      <c r="X5" s="1363" t="s">
        <v>2658</v>
      </c>
      <c r="Y5" s="1363" t="s">
        <v>2659</v>
      </c>
      <c r="Z5" s="1363" t="s">
        <v>2658</v>
      </c>
      <c r="AA5" s="1364" t="s">
        <v>2660</v>
      </c>
    </row>
    <row r="6" spans="4:31" ht="18.95" customHeight="1">
      <c r="D6" s="1858" t="s">
        <v>228</v>
      </c>
      <c r="E6" s="1365" t="s">
        <v>1663</v>
      </c>
      <c r="F6" s="1366" t="s">
        <v>2839</v>
      </c>
      <c r="G6" s="1367">
        <f>H6-SUMIF(T_IS!$E:$E,'IS(공)'!D6,T_IS!$AN:$AN)</f>
        <v>74189380497</v>
      </c>
      <c r="H6" s="1368">
        <f>SUMIF(T_IS!$E:$E,'IS(공)'!D6,T_IS!$X:$X)</f>
        <v>274224112673</v>
      </c>
      <c r="I6" s="1368">
        <v>200034732176</v>
      </c>
      <c r="J6" s="1368">
        <v>126103721487</v>
      </c>
      <c r="K6" s="1368">
        <f>SUMIF(T_IS!$E:$E,'IS(공)'!$D6,T_IS!$AR:$AR)</f>
        <v>58165919693</v>
      </c>
      <c r="L6" s="1368">
        <f>SUMIF(T_IS!$E:$E,'IS(공)'!$D6,T_IS!$AS:$AS)</f>
        <v>244189264502</v>
      </c>
      <c r="M6" s="1368">
        <v>177966232980</v>
      </c>
      <c r="N6" s="1369">
        <v>117973208961</v>
      </c>
      <c r="O6" s="1369">
        <v>57684351029</v>
      </c>
      <c r="P6" s="1369">
        <f>SUMIF(T_IS!$E:$E,'IS(공)'!$D6,T_IS!$AX:$AX)</f>
        <v>226329072223</v>
      </c>
      <c r="Q6" s="1370">
        <v>196961162684</v>
      </c>
      <c r="S6" s="1371"/>
      <c r="T6" s="1362"/>
      <c r="V6" s="1372" t="s">
        <v>1663</v>
      </c>
      <c r="W6" s="1373" t="s">
        <v>2437</v>
      </c>
      <c r="X6" s="1374">
        <f>H6-J6</f>
        <v>148120391186</v>
      </c>
      <c r="Y6" s="1374">
        <f>H6</f>
        <v>274224112673</v>
      </c>
      <c r="Z6" s="1375">
        <f>M6-N6</f>
        <v>59993024019</v>
      </c>
      <c r="AA6" s="1376">
        <f>M6</f>
        <v>177966232980</v>
      </c>
    </row>
    <row r="7" spans="4:31" ht="18.95" customHeight="1">
      <c r="D7" s="1858" t="s">
        <v>238</v>
      </c>
      <c r="E7" s="1365" t="s">
        <v>1664</v>
      </c>
      <c r="F7" s="1366" t="s">
        <v>2840</v>
      </c>
      <c r="G7" s="1367">
        <f>H7-SUMIF(T_IS!$E:$E,'IS(공)'!D7,T_IS!$AN:$AN)</f>
        <v>59350433764</v>
      </c>
      <c r="H7" s="1368">
        <f>SUMIF(T_IS!$E:$E,'IS(공)'!D7,T_IS!$X:$X)</f>
        <v>214733437246</v>
      </c>
      <c r="I7" s="1368">
        <v>155383003482</v>
      </c>
      <c r="J7" s="1368">
        <v>97495684899</v>
      </c>
      <c r="K7" s="1368">
        <f>SUMIF(T_IS!$E:$E,'IS(공)'!$D7,T_IS!$AR:$AR)</f>
        <v>44657346855</v>
      </c>
      <c r="L7" s="1368">
        <f>SUMIF(T_IS!$E:$E,'IS(공)'!$D7,T_IS!$AS:$AS)</f>
        <v>184688310354</v>
      </c>
      <c r="M7" s="1368">
        <v>136737922106</v>
      </c>
      <c r="N7" s="1369">
        <v>91374419912</v>
      </c>
      <c r="O7" s="1369">
        <v>44994036091</v>
      </c>
      <c r="P7" s="1369">
        <f>SUMIF(T_IS!$E:$E,'IS(공)'!$D7,T_IS!$AX:$AX)</f>
        <v>181205387327</v>
      </c>
      <c r="Q7" s="1370">
        <v>166303131717</v>
      </c>
      <c r="S7" s="1362"/>
      <c r="T7" s="1362"/>
      <c r="V7" s="1372" t="s">
        <v>1664</v>
      </c>
      <c r="W7" s="1373" t="s">
        <v>2437</v>
      </c>
      <c r="X7" s="1374">
        <f>H7-J7</f>
        <v>117237752347</v>
      </c>
      <c r="Y7" s="1374">
        <f>H7</f>
        <v>214733437246</v>
      </c>
      <c r="Z7" s="1375">
        <f t="shared" ref="Z7" si="0">M7-N7</f>
        <v>45363502194</v>
      </c>
      <c r="AA7" s="1376">
        <f t="shared" ref="AA7" si="1">M7</f>
        <v>136737922106</v>
      </c>
    </row>
    <row r="8" spans="4:31" ht="18.95" customHeight="1">
      <c r="D8" s="1859"/>
      <c r="E8" s="1377" t="s">
        <v>1665</v>
      </c>
      <c r="F8" s="1378"/>
      <c r="G8" s="1379">
        <f t="shared" ref="G8:Q8" si="2">G6-G7</f>
        <v>14838946733</v>
      </c>
      <c r="H8" s="1380">
        <f t="shared" si="2"/>
        <v>59490675427</v>
      </c>
      <c r="I8" s="1380">
        <v>44651728694</v>
      </c>
      <c r="J8" s="1380">
        <v>28608036588</v>
      </c>
      <c r="K8" s="1380">
        <f>K6-K7</f>
        <v>13508572838</v>
      </c>
      <c r="L8" s="1380">
        <f>L6-L7</f>
        <v>59500954148</v>
      </c>
      <c r="M8" s="1380">
        <v>41228310874</v>
      </c>
      <c r="N8" s="1381">
        <v>26598789049</v>
      </c>
      <c r="O8" s="1381">
        <v>12690314938</v>
      </c>
      <c r="P8" s="1381">
        <f t="shared" si="2"/>
        <v>45123684896</v>
      </c>
      <c r="Q8" s="1382">
        <f t="shared" si="2"/>
        <v>30658030967</v>
      </c>
      <c r="S8" s="1362" t="b">
        <f>H8=(H6-H7)</f>
        <v>1</v>
      </c>
      <c r="T8" s="1362" t="b">
        <f>N8=(N6-N7)</f>
        <v>1</v>
      </c>
      <c r="V8" s="1383" t="s">
        <v>1665</v>
      </c>
      <c r="W8" s="1384"/>
      <c r="X8" s="1385">
        <f>X6-X7</f>
        <v>30882638839</v>
      </c>
      <c r="Y8" s="1385">
        <f>Y6-Y7</f>
        <v>59490675427</v>
      </c>
      <c r="Z8" s="1385">
        <f>Z6-Z7</f>
        <v>14629521825</v>
      </c>
      <c r="AA8" s="1386">
        <f>AA6-AA7</f>
        <v>41228310874</v>
      </c>
      <c r="AB8" s="1362" t="b">
        <f>X8=X6-X7</f>
        <v>1</v>
      </c>
      <c r="AC8" s="1362" t="b">
        <f>Y8=Y6-Y7</f>
        <v>1</v>
      </c>
      <c r="AD8" s="1362" t="b">
        <f>Z8=Z6-Z7</f>
        <v>1</v>
      </c>
      <c r="AE8" s="1362" t="b">
        <f>AA8=AA6-AA7</f>
        <v>1</v>
      </c>
    </row>
    <row r="9" spans="4:31" ht="18.95" customHeight="1">
      <c r="D9" s="1858" t="s">
        <v>258</v>
      </c>
      <c r="E9" s="1845" t="s">
        <v>2792</v>
      </c>
      <c r="F9" s="1366" t="s">
        <v>2842</v>
      </c>
      <c r="G9" s="1367">
        <f>H9-SUMIF(T_IS!$E:$E,'IS(공)'!D9,T_IS!$AN:$AN)</f>
        <v>21022193972</v>
      </c>
      <c r="H9" s="1368">
        <f>SUMIF(T_IS!$E:$E,'IS(공)'!D9,T_IS!$X:$X)</f>
        <v>67518331598</v>
      </c>
      <c r="I9" s="1368">
        <v>46496137626</v>
      </c>
      <c r="J9" s="1368">
        <v>29634281931</v>
      </c>
      <c r="K9" s="1368">
        <f>SUMIF(T_IS!$E:$E,'IS(공)'!$D9,T_IS!$AR:$AR)</f>
        <v>13919892653</v>
      </c>
      <c r="L9" s="1368">
        <f>SUMIF(T_IS!$E:$E,'IS(공)'!$D9,T_IS!$AS:$AS)</f>
        <v>54652445309</v>
      </c>
      <c r="M9" s="1368">
        <v>36514424351</v>
      </c>
      <c r="N9" s="1369">
        <v>23830391473</v>
      </c>
      <c r="O9" s="1369">
        <v>11633145089</v>
      </c>
      <c r="P9" s="1369">
        <f>SUMIF(T_IS!$E:$E,'IS(공)'!$D9,T_IS!$AX:$AX)</f>
        <v>57012606885</v>
      </c>
      <c r="Q9" s="1370">
        <v>57401502102</v>
      </c>
      <c r="S9" s="1362"/>
      <c r="T9" s="1362"/>
      <c r="V9" s="1372" t="s">
        <v>1936</v>
      </c>
      <c r="W9" s="1373" t="s">
        <v>2841</v>
      </c>
      <c r="X9" s="1374">
        <f>H9-J9</f>
        <v>37884049667</v>
      </c>
      <c r="Y9" s="1374">
        <f>H9</f>
        <v>67518331598</v>
      </c>
      <c r="Z9" s="1375">
        <f t="shared" ref="Z9" si="3">M9-N9</f>
        <v>12684032878</v>
      </c>
      <c r="AA9" s="1376">
        <f t="shared" ref="AA9" si="4">M9</f>
        <v>36514424351</v>
      </c>
      <c r="AB9" s="1362"/>
      <c r="AC9" s="1362"/>
      <c r="AD9" s="1362"/>
      <c r="AE9" s="1362"/>
    </row>
    <row r="10" spans="4:31" ht="18.95" customHeight="1">
      <c r="D10" s="1859"/>
      <c r="E10" s="1377" t="s">
        <v>1666</v>
      </c>
      <c r="F10" s="1378"/>
      <c r="G10" s="1379">
        <f t="shared" ref="G10:Q10" si="5">G8-G9</f>
        <v>-6183247239</v>
      </c>
      <c r="H10" s="1380">
        <f t="shared" si="5"/>
        <v>-8027656171</v>
      </c>
      <c r="I10" s="1380">
        <v>-1844408932</v>
      </c>
      <c r="J10" s="1380">
        <v>-1026245343</v>
      </c>
      <c r="K10" s="1380">
        <f>K8-K9</f>
        <v>-411319815</v>
      </c>
      <c r="L10" s="1380">
        <f>L8-L9</f>
        <v>4848508839</v>
      </c>
      <c r="M10" s="1380">
        <v>4713886523</v>
      </c>
      <c r="N10" s="1381">
        <v>2768397576</v>
      </c>
      <c r="O10" s="1381">
        <v>1057169849</v>
      </c>
      <c r="P10" s="1381">
        <f t="shared" si="5"/>
        <v>-11888921989</v>
      </c>
      <c r="Q10" s="1382">
        <f t="shared" si="5"/>
        <v>-26743471135</v>
      </c>
      <c r="S10" s="1362" t="b">
        <f>H10=(H8-H9)</f>
        <v>1</v>
      </c>
      <c r="T10" s="1362" t="b">
        <f>N10=(N8-N9)</f>
        <v>1</v>
      </c>
      <c r="V10" s="1383" t="s">
        <v>1666</v>
      </c>
      <c r="W10" s="1384"/>
      <c r="X10" s="1387">
        <f>X8-X9</f>
        <v>-7001410828</v>
      </c>
      <c r="Y10" s="1387">
        <f>Y8-Y9</f>
        <v>-8027656171</v>
      </c>
      <c r="Z10" s="1387">
        <f>Z8-Z9</f>
        <v>1945488947</v>
      </c>
      <c r="AA10" s="1388">
        <f>AA8-AA9</f>
        <v>4713886523</v>
      </c>
      <c r="AB10" s="1362" t="b">
        <f>X10=X8-X9</f>
        <v>1</v>
      </c>
      <c r="AC10" s="1362" t="b">
        <f>Y10=Y8-Y9</f>
        <v>1</v>
      </c>
      <c r="AD10" s="1362" t="b">
        <f>Z10=Z8-Z9</f>
        <v>1</v>
      </c>
      <c r="AE10" s="1362" t="b">
        <f>AA10=AA8-AA9</f>
        <v>1</v>
      </c>
    </row>
    <row r="11" spans="4:31" ht="18.95" customHeight="1">
      <c r="D11" s="1858" t="s">
        <v>314</v>
      </c>
      <c r="E11" s="1845" t="s">
        <v>2777</v>
      </c>
      <c r="F11" s="1366" t="s">
        <v>2844</v>
      </c>
      <c r="G11" s="1367">
        <f>H11-SUMIF(T_IS!$E:$E,'IS(공)'!D11,T_IS!$AN:$AN)</f>
        <v>-6841798337</v>
      </c>
      <c r="H11" s="1368">
        <f>SUMIF(T_IS!$E:$E,'IS(공)'!D11,T_IS!$X:$X)</f>
        <v>42379291606</v>
      </c>
      <c r="I11" s="1368">
        <v>49221089943</v>
      </c>
      <c r="J11" s="1368">
        <v>38913047937</v>
      </c>
      <c r="K11" s="1368">
        <f>SUMIF(T_IS!$E:$E,'IS(공)'!$D11,T_IS!$AR:$AR)</f>
        <v>13857125099</v>
      </c>
      <c r="L11" s="1368">
        <f>SUMIF(T_IS!$E:$E,'IS(공)'!$D11,T_IS!$AS:$AS)</f>
        <v>4675492818</v>
      </c>
      <c r="M11" s="1368">
        <v>3469721018</v>
      </c>
      <c r="N11" s="1369">
        <v>1487921929</v>
      </c>
      <c r="O11" s="1369">
        <v>1465657078</v>
      </c>
      <c r="P11" s="1369">
        <f>SUMIF(T_IS!$E:$E,'IS(공)'!$D11,T_IS!$AX:$AX)</f>
        <v>1036386899</v>
      </c>
      <c r="Q11" s="1370">
        <v>2405455321</v>
      </c>
      <c r="S11" s="1362"/>
      <c r="T11" s="1362"/>
      <c r="V11" s="1372" t="s">
        <v>1937</v>
      </c>
      <c r="W11" s="1373" t="s">
        <v>2843</v>
      </c>
      <c r="X11" s="1374">
        <f>H11-J11</f>
        <v>3466243669</v>
      </c>
      <c r="Y11" s="1374">
        <f>H11</f>
        <v>42379291606</v>
      </c>
      <c r="Z11" s="1375">
        <f t="shared" ref="Z11:Z15" si="6">M11-N11</f>
        <v>1981799089</v>
      </c>
      <c r="AA11" s="1376">
        <f t="shared" ref="AA11:AA15" si="7">M11</f>
        <v>3469721018</v>
      </c>
      <c r="AB11" s="1362"/>
      <c r="AC11" s="1362"/>
      <c r="AD11" s="1362"/>
      <c r="AE11" s="1362"/>
    </row>
    <row r="12" spans="4:31" ht="18.95" customHeight="1">
      <c r="D12" s="1858" t="s">
        <v>333</v>
      </c>
      <c r="E12" s="1845" t="s">
        <v>2778</v>
      </c>
      <c r="F12" s="1366" t="s">
        <v>2846</v>
      </c>
      <c r="G12" s="1367">
        <f>H12-SUMIF(T_IS!$E:$E,'IS(공)'!D12,T_IS!$AN:$AN)</f>
        <v>2087136445</v>
      </c>
      <c r="H12" s="1368">
        <f>SUMIF(T_IS!$E:$E,'IS(공)'!D12,T_IS!$X:$X)</f>
        <v>4903763463</v>
      </c>
      <c r="I12" s="1368">
        <v>2816627018</v>
      </c>
      <c r="J12" s="1368">
        <v>3009429455</v>
      </c>
      <c r="K12" s="1368">
        <f>SUMIF(T_IS!$E:$E,'IS(공)'!$D12,T_IS!$AR:$AR)</f>
        <v>933678146</v>
      </c>
      <c r="L12" s="1368">
        <f>SUMIF(T_IS!$E:$E,'IS(공)'!$D12,T_IS!$AS:$AS)</f>
        <v>23668309521</v>
      </c>
      <c r="M12" s="1368">
        <v>8364900992</v>
      </c>
      <c r="N12" s="1369">
        <v>18947959777</v>
      </c>
      <c r="O12" s="1369">
        <v>241245268</v>
      </c>
      <c r="P12" s="1369">
        <f>SUMIF(T_IS!$E:$E,'IS(공)'!$D12,T_IS!$AX:$AX)</f>
        <v>3900339065</v>
      </c>
      <c r="Q12" s="1370">
        <v>1138181134</v>
      </c>
      <c r="S12" s="1362"/>
      <c r="T12" s="1362"/>
      <c r="V12" s="1372" t="s">
        <v>1938</v>
      </c>
      <c r="W12" s="1373" t="s">
        <v>2845</v>
      </c>
      <c r="X12" s="1374">
        <f>H12-J12</f>
        <v>1894334008</v>
      </c>
      <c r="Y12" s="1374">
        <f>H12</f>
        <v>4903763463</v>
      </c>
      <c r="Z12" s="1375">
        <f t="shared" si="6"/>
        <v>-10583058785</v>
      </c>
      <c r="AA12" s="1376">
        <f t="shared" si="7"/>
        <v>8364900992</v>
      </c>
      <c r="AB12" s="1362"/>
      <c r="AC12" s="1362"/>
      <c r="AD12" s="1362"/>
      <c r="AE12" s="1362"/>
    </row>
    <row r="13" spans="4:31" ht="18.95" customHeight="1">
      <c r="D13" s="1858" t="s">
        <v>354</v>
      </c>
      <c r="E13" s="1845" t="s">
        <v>2779</v>
      </c>
      <c r="F13" s="1366">
        <v>22</v>
      </c>
      <c r="G13" s="1367">
        <f>H13-SUMIF(T_IS!$E:$E,'IS(공)'!D13,T_IS!$AN:$AN)</f>
        <v>295237894</v>
      </c>
      <c r="H13" s="1368">
        <f>SUMIF(T_IS!$E:$E,'IS(공)'!D13,T_IS!$X:$X)</f>
        <v>1462623126</v>
      </c>
      <c r="I13" s="1368">
        <v>1167385232</v>
      </c>
      <c r="J13" s="1368">
        <v>356942081</v>
      </c>
      <c r="K13" s="1368">
        <f>SUMIF(T_IS!$E:$E,'IS(공)'!$D13,T_IS!$AR:$AR)</f>
        <v>53324313</v>
      </c>
      <c r="L13" s="1368">
        <f>SUMIF(T_IS!$E:$E,'IS(공)'!$D13,T_IS!$AS:$AS)</f>
        <v>67577330</v>
      </c>
      <c r="M13" s="1368">
        <v>54977696</v>
      </c>
      <c r="N13" s="1369">
        <v>32428201</v>
      </c>
      <c r="O13" s="1369">
        <v>10949449</v>
      </c>
      <c r="P13" s="1369">
        <f>SUMIF(T_IS!$E:$E,'IS(공)'!$D13,T_IS!$AX:$AX)</f>
        <v>199414285</v>
      </c>
      <c r="Q13" s="1370">
        <v>371361570</v>
      </c>
      <c r="S13" s="1362"/>
      <c r="T13" s="1362"/>
      <c r="V13" s="1372" t="s">
        <v>1939</v>
      </c>
      <c r="W13" s="1366">
        <v>22</v>
      </c>
      <c r="X13" s="1374">
        <f>H13-J13</f>
        <v>1105681045</v>
      </c>
      <c r="Y13" s="1374">
        <f>H13</f>
        <v>1462623126</v>
      </c>
      <c r="Z13" s="1375">
        <f t="shared" si="6"/>
        <v>22549495</v>
      </c>
      <c r="AA13" s="1376">
        <f t="shared" si="7"/>
        <v>54977696</v>
      </c>
      <c r="AB13" s="1362"/>
      <c r="AC13" s="1362"/>
      <c r="AD13" s="1362"/>
      <c r="AE13" s="1362"/>
    </row>
    <row r="14" spans="4:31" ht="18.95" customHeight="1">
      <c r="D14" s="1858" t="s">
        <v>1667</v>
      </c>
      <c r="E14" s="1845" t="s">
        <v>2780</v>
      </c>
      <c r="F14" s="1366">
        <v>22</v>
      </c>
      <c r="G14" s="1367">
        <f>H14-SUMIF(T_IS!$E:$E,'IS(공)'!D14,T_IS!$AN:$AN)</f>
        <v>988769721</v>
      </c>
      <c r="H14" s="1368">
        <f>SUMIF(T_IS!$E:$E,'IS(공)'!D14,T_IS!$X:$X)</f>
        <v>1319431964</v>
      </c>
      <c r="I14" s="1368">
        <v>330662243</v>
      </c>
      <c r="J14" s="1368">
        <v>24630334</v>
      </c>
      <c r="K14" s="1368">
        <f>SUMIF(T_IS!$E:$E,'IS(공)'!$D14,T_IS!$AR:$AR)</f>
        <v>2588810</v>
      </c>
      <c r="L14" s="1368">
        <f>SUMIF(T_IS!$E:$E,'IS(공)'!$D14,T_IS!$AS:$AS)</f>
        <v>1792303289</v>
      </c>
      <c r="M14" s="1368">
        <v>531823675</v>
      </c>
      <c r="N14" s="1369">
        <v>1282503</v>
      </c>
      <c r="O14" s="1369">
        <v>227347</v>
      </c>
      <c r="P14" s="1369">
        <f>SUMIF(T_IS!$E:$E,'IS(공)'!$D14,T_IS!$AX:$AX)</f>
        <v>10494735626</v>
      </c>
      <c r="Q14" s="1370">
        <v>22031806775</v>
      </c>
      <c r="S14" s="1362"/>
      <c r="T14" s="1362"/>
      <c r="V14" s="1372" t="s">
        <v>1940</v>
      </c>
      <c r="W14" s="1366">
        <v>22</v>
      </c>
      <c r="X14" s="1374">
        <f>H14-J14</f>
        <v>1294801630</v>
      </c>
      <c r="Y14" s="1374">
        <f>H14</f>
        <v>1319431964</v>
      </c>
      <c r="Z14" s="1375">
        <f t="shared" si="6"/>
        <v>530541172</v>
      </c>
      <c r="AA14" s="1376">
        <f t="shared" si="7"/>
        <v>531823675</v>
      </c>
      <c r="AB14" s="1362"/>
      <c r="AC14" s="1362"/>
      <c r="AD14" s="1362"/>
      <c r="AE14" s="1362"/>
    </row>
    <row r="15" spans="4:31" ht="18.95" customHeight="1">
      <c r="D15" s="1860" t="s">
        <v>1783</v>
      </c>
      <c r="E15" s="1845" t="s">
        <v>2781</v>
      </c>
      <c r="F15" s="1366" t="s">
        <v>2848</v>
      </c>
      <c r="G15" s="1367">
        <f>H15-SUMIF(T_IS!$E:$E,'IS(공)'!D15,T_IS!$AN:$AN)</f>
        <v>-854035165</v>
      </c>
      <c r="H15" s="1368">
        <f>SUMIF(T_IS!$E:$E,'IS(공)'!D15,T_IS!$X:$X)</f>
        <v>-206894832</v>
      </c>
      <c r="I15" s="1368">
        <v>647140333</v>
      </c>
      <c r="J15" s="1368">
        <v>995349512</v>
      </c>
      <c r="K15" s="1368">
        <f>SUMIF(T_IS!$E:$E,'IS(공)'!$D15,T_IS!$AR:$AR)</f>
        <v>702464</v>
      </c>
      <c r="L15" s="1368">
        <f>SUMIF(T_IS!$E:$E,'IS(공)'!$D15,T_IS!$AS:$AS)</f>
        <v>24157280</v>
      </c>
      <c r="M15" s="1368">
        <v>0</v>
      </c>
      <c r="N15" s="1369">
        <v>0</v>
      </c>
      <c r="O15" s="1369">
        <v>0</v>
      </c>
      <c r="P15" s="1369">
        <f>SUMIF(T_IS!$E:$E,'IS(공)'!$D15,T_IS!$AX:$AX)</f>
        <v>0</v>
      </c>
      <c r="Q15" s="1370">
        <v>-798641919</v>
      </c>
      <c r="S15" s="1362"/>
      <c r="T15" s="1362"/>
      <c r="V15" s="1372" t="s">
        <v>2590</v>
      </c>
      <c r="W15" s="1373" t="s">
        <v>2847</v>
      </c>
      <c r="X15" s="1374">
        <f>H15-J15</f>
        <v>-1202244344</v>
      </c>
      <c r="Y15" s="1374">
        <f>H15</f>
        <v>-206894832</v>
      </c>
      <c r="Z15" s="1375">
        <f t="shared" si="6"/>
        <v>0</v>
      </c>
      <c r="AA15" s="1376">
        <f t="shared" si="7"/>
        <v>0</v>
      </c>
      <c r="AB15" s="1362"/>
      <c r="AC15" s="1362"/>
      <c r="AD15" s="1362"/>
      <c r="AE15" s="1362"/>
    </row>
    <row r="16" spans="4:31" ht="18.95" customHeight="1">
      <c r="D16" s="1859"/>
      <c r="E16" s="1377" t="s">
        <v>1668</v>
      </c>
      <c r="F16" s="1378"/>
      <c r="G16" s="1380">
        <f t="shared" ref="G16:Q16" si="8">G10+(G11-G12+G13-G14+G15)</f>
        <v>-16659749013</v>
      </c>
      <c r="H16" s="1380">
        <f t="shared" si="8"/>
        <v>29384168302</v>
      </c>
      <c r="I16" s="1380">
        <v>46043917315</v>
      </c>
      <c r="J16" s="1380">
        <v>36205034398</v>
      </c>
      <c r="K16" s="1380">
        <f>K10+(K11-K12+K13-K14+K15)</f>
        <v>12563565105</v>
      </c>
      <c r="L16" s="1380">
        <f>L10+(L11-L12+L13-L14+L15)</f>
        <v>-15844876543</v>
      </c>
      <c r="M16" s="1380">
        <v>-658139430</v>
      </c>
      <c r="N16" s="1381">
        <v>-14660494574</v>
      </c>
      <c r="O16" s="1381">
        <v>2292303761</v>
      </c>
      <c r="P16" s="1381">
        <f t="shared" si="8"/>
        <v>-25048195496</v>
      </c>
      <c r="Q16" s="1382">
        <f t="shared" si="8"/>
        <v>-47935284072</v>
      </c>
      <c r="S16" s="1362" t="b">
        <f>H16=(H10+H11-H12+H13-H14+H15)</f>
        <v>1</v>
      </c>
      <c r="T16" s="1362" t="b">
        <f>N16=(N10+N11-N12+N13-N14+N15)</f>
        <v>1</v>
      </c>
      <c r="V16" s="1383" t="s">
        <v>1668</v>
      </c>
      <c r="W16" s="1384"/>
      <c r="X16" s="1385">
        <f>X10+X11+X13+X15-X12-X14</f>
        <v>-6820866096</v>
      </c>
      <c r="Y16" s="1385">
        <f>Y10+Y11+Y13+Y15-Y12-Y14</f>
        <v>29384168302</v>
      </c>
      <c r="Z16" s="1387">
        <f>Z10+Z11+Z13+Z15-Z12-Z14</f>
        <v>14002355144</v>
      </c>
      <c r="AA16" s="1388">
        <f>AA10+AA11+AA13+AA15-AA12-AA14</f>
        <v>-658139430</v>
      </c>
      <c r="AB16" s="1390" t="b">
        <f>X16=X10+X11+X13+X15-X12-X14</f>
        <v>1</v>
      </c>
      <c r="AC16" s="1390" t="b">
        <f>Y16=Y10+Y11+Y13+Y15-Y12-Y14</f>
        <v>1</v>
      </c>
      <c r="AD16" s="1390" t="b">
        <f>Z16=Z10+Z11+Z13+Z15-Z12-Z14</f>
        <v>1</v>
      </c>
      <c r="AE16" s="1390" t="b">
        <f>AA16=AA10+AA11+AA13+AA15-AA12-AA14</f>
        <v>1</v>
      </c>
    </row>
    <row r="17" spans="4:31" ht="18.95" customHeight="1">
      <c r="D17" s="1858" t="s">
        <v>380</v>
      </c>
      <c r="E17" s="1845" t="s">
        <v>2782</v>
      </c>
      <c r="F17" s="1366">
        <v>23</v>
      </c>
      <c r="G17" s="1367">
        <f>H17-SUMIF(T_IS!$E:$E,'IS(공)'!D17,T_IS!$AN:$AN)</f>
        <v>-167583707</v>
      </c>
      <c r="H17" s="1368">
        <f>SUMIF(T_IS!$E:$E,'IS(공)'!D17,T_IS!$X:$X)</f>
        <v>147671201</v>
      </c>
      <c r="I17" s="1368">
        <v>315254908</v>
      </c>
      <c r="J17" s="1368">
        <v>306217823</v>
      </c>
      <c r="K17" s="1368">
        <f>SUMIF(T_IS!$E:$E,'IS(공)'!$D17,T_IS!$AR:$AR)</f>
        <v>266200741</v>
      </c>
      <c r="L17" s="1368">
        <f>SUMIF(T_IS!$E:$E,'IS(공)'!$D17,T_IS!$AS:$AS)</f>
        <v>258216482</v>
      </c>
      <c r="M17" s="1368">
        <v>464597147</v>
      </c>
      <c r="N17" s="1369">
        <v>241042872</v>
      </c>
      <c r="O17" s="1369">
        <v>116907703</v>
      </c>
      <c r="P17" s="1369">
        <f>SUMIF(T_IS!$E:$E,'IS(공)'!$D17,T_IS!$AX:$AX)</f>
        <v>-1980322895</v>
      </c>
      <c r="Q17" s="1370">
        <v>70238074</v>
      </c>
      <c r="S17" s="1362"/>
      <c r="T17" s="1362"/>
      <c r="V17" s="1372" t="s">
        <v>1941</v>
      </c>
      <c r="W17" s="1366">
        <v>23</v>
      </c>
      <c r="X17" s="1374">
        <f>H17-J17</f>
        <v>-158546622</v>
      </c>
      <c r="Y17" s="1374">
        <f>H17</f>
        <v>147671201</v>
      </c>
      <c r="Z17" s="1375">
        <f t="shared" ref="Z17" si="9">M17-N17</f>
        <v>223554275</v>
      </c>
      <c r="AA17" s="1376">
        <f t="shared" ref="AA17" si="10">M17</f>
        <v>464597147</v>
      </c>
      <c r="AB17" s="1362"/>
      <c r="AC17" s="1362"/>
      <c r="AD17" s="1362"/>
      <c r="AE17" s="1362"/>
    </row>
    <row r="18" spans="4:31" ht="18.95" customHeight="1">
      <c r="D18" s="1859"/>
      <c r="E18" s="1377" t="s">
        <v>1784</v>
      </c>
      <c r="F18" s="1378"/>
      <c r="G18" s="1380">
        <f t="shared" ref="G18:Q18" si="11">G16-G17</f>
        <v>-16492165306</v>
      </c>
      <c r="H18" s="1380">
        <f t="shared" si="11"/>
        <v>29236497101</v>
      </c>
      <c r="I18" s="1380">
        <v>45728662407</v>
      </c>
      <c r="J18" s="1380">
        <v>35898816575</v>
      </c>
      <c r="K18" s="1380">
        <f>K16-K17</f>
        <v>12297364364</v>
      </c>
      <c r="L18" s="1380">
        <f>L16-L17</f>
        <v>-16103093025</v>
      </c>
      <c r="M18" s="1380">
        <v>-1122736577</v>
      </c>
      <c r="N18" s="1381">
        <v>-14901537446</v>
      </c>
      <c r="O18" s="1381">
        <v>2175396058</v>
      </c>
      <c r="P18" s="1381">
        <f t="shared" si="11"/>
        <v>-23067872601</v>
      </c>
      <c r="Q18" s="1382">
        <f t="shared" si="11"/>
        <v>-48005522146</v>
      </c>
      <c r="S18" s="1362" t="b">
        <f>H18=(H16-H17)</f>
        <v>1</v>
      </c>
      <c r="T18" s="1362" t="b">
        <f>N18=(N16-N17)</f>
        <v>1</v>
      </c>
      <c r="V18" s="1383" t="s">
        <v>2591</v>
      </c>
      <c r="W18" s="1384"/>
      <c r="X18" s="1385">
        <f>X16-X17</f>
        <v>-6662319474</v>
      </c>
      <c r="Y18" s="1385">
        <f>Y16-Y17</f>
        <v>29236497101</v>
      </c>
      <c r="Z18" s="1387">
        <f>Z16-Z17</f>
        <v>13778800869</v>
      </c>
      <c r="AA18" s="1388">
        <f>AA16-AA17</f>
        <v>-1122736577</v>
      </c>
      <c r="AB18" s="1362" t="b">
        <f>X18=X16-X17</f>
        <v>1</v>
      </c>
      <c r="AC18" s="1362" t="b">
        <f>Y18=Y16-Y17</f>
        <v>1</v>
      </c>
      <c r="AD18" s="1362" t="b">
        <f>Z18=Z16-Z17</f>
        <v>1</v>
      </c>
      <c r="AE18" s="1362" t="b">
        <f>AA18=AA16-AA17</f>
        <v>1</v>
      </c>
    </row>
    <row r="19" spans="4:31" ht="18.95" customHeight="1">
      <c r="D19" s="1858" t="s">
        <v>11</v>
      </c>
      <c r="E19" s="1845" t="s">
        <v>2783</v>
      </c>
      <c r="F19" s="1366"/>
      <c r="G19" s="1367">
        <f>H19-SUMIF(T_IS!$E:$E,'IS(공)'!D19,T_IS!$AN:$AN)</f>
        <v>-16492165306</v>
      </c>
      <c r="H19" s="1368">
        <f>SUMIF(T_IS!$E:$E,'IS(공)'!D19,T_IS!$X:$X)</f>
        <v>29236497101</v>
      </c>
      <c r="I19" s="1368">
        <v>45728662407</v>
      </c>
      <c r="J19" s="1368">
        <v>35898816575</v>
      </c>
      <c r="K19" s="1368">
        <f>SUMIF(T_IS!$E:$E,'IS(공)'!$D19,T_IS!$AR:$AR)</f>
        <v>12297364364</v>
      </c>
      <c r="L19" s="1368">
        <f>SUMIF(T_IS!$E:$E,'IS(공)'!$D19,T_IS!$AS:$AS)</f>
        <v>-16103093025</v>
      </c>
      <c r="M19" s="1368">
        <v>-1122736577</v>
      </c>
      <c r="N19" s="1369">
        <v>-14901537446</v>
      </c>
      <c r="O19" s="1369">
        <v>2175396058</v>
      </c>
      <c r="P19" s="1369">
        <f>SUMIF(T_IS!$E:$E,'IS(공)'!$D19,T_IS!$AX:$AX)</f>
        <v>-23067872601</v>
      </c>
      <c r="Q19" s="1370">
        <v>-48005522146</v>
      </c>
      <c r="S19" s="1362"/>
      <c r="T19" s="1362"/>
      <c r="V19" s="1372" t="s">
        <v>1947</v>
      </c>
      <c r="W19" s="1373"/>
      <c r="X19" s="1374">
        <f>H19-J19</f>
        <v>-6662319474</v>
      </c>
      <c r="Y19" s="1374">
        <f>Y18</f>
        <v>29236497101</v>
      </c>
      <c r="Z19" s="1375">
        <f t="shared" ref="Z19:Z20" si="12">M19-N19</f>
        <v>13778800869</v>
      </c>
      <c r="AA19" s="1376">
        <f t="shared" ref="AA19:AA20" si="13">M19</f>
        <v>-1122736577</v>
      </c>
      <c r="AB19" s="1362"/>
      <c r="AC19" s="1362"/>
      <c r="AD19" s="1362"/>
      <c r="AE19" s="1362"/>
    </row>
    <row r="20" spans="4:31" ht="18.95" customHeight="1">
      <c r="D20" s="1858" t="s">
        <v>210</v>
      </c>
      <c r="E20" s="1845" t="s">
        <v>2784</v>
      </c>
      <c r="F20" s="1366"/>
      <c r="G20" s="1367">
        <f>H20-SUMIF(T_IS!$E:$E,'IS(공)'!D20,T_IS!$AN:$AN)</f>
        <v>0</v>
      </c>
      <c r="H20" s="1368">
        <f>SUMIF(T_IS!$E:$E,'IS(공)'!D20,T_IS!$X:$X)</f>
        <v>0</v>
      </c>
      <c r="I20" s="1368">
        <v>0</v>
      </c>
      <c r="J20" s="1368">
        <v>0</v>
      </c>
      <c r="K20" s="1368">
        <f>SUMIF(T_IS!$E:$E,'IS(공)'!$D20,T_IS!$AR:$AR)</f>
        <v>0</v>
      </c>
      <c r="L20" s="1368">
        <f>SUMIF(T_IS!$E:$E,'IS(공)'!$D20,T_IS!$AS:$AS)</f>
        <v>0</v>
      </c>
      <c r="M20" s="1368">
        <v>0</v>
      </c>
      <c r="N20" s="1369">
        <v>0</v>
      </c>
      <c r="O20" s="1369">
        <v>0</v>
      </c>
      <c r="P20" s="1369">
        <f>SUMIF(T_IS!$E:$E,'IS(공)'!$D20,T_IS!$AX:$AX)</f>
        <v>0</v>
      </c>
      <c r="Q20" s="1370">
        <v>0</v>
      </c>
      <c r="S20" s="1362" t="b">
        <f>(H20+H19)=H18</f>
        <v>1</v>
      </c>
      <c r="T20" s="1362" t="b">
        <f>(N20+N19)=N18</f>
        <v>1</v>
      </c>
      <c r="V20" s="1372" t="s">
        <v>1948</v>
      </c>
      <c r="W20" s="1373"/>
      <c r="X20" s="1374">
        <f>H20-J20</f>
        <v>0</v>
      </c>
      <c r="Y20" s="1374">
        <v>0</v>
      </c>
      <c r="Z20" s="1375">
        <f t="shared" si="12"/>
        <v>0</v>
      </c>
      <c r="AA20" s="1376">
        <f t="shared" si="13"/>
        <v>0</v>
      </c>
      <c r="AB20" s="1362"/>
      <c r="AC20" s="1362"/>
      <c r="AD20" s="1362"/>
      <c r="AE20" s="1362"/>
    </row>
    <row r="21" spans="4:31" ht="18.95" customHeight="1">
      <c r="D21" s="1859"/>
      <c r="E21" s="1377" t="s">
        <v>1669</v>
      </c>
      <c r="F21" s="1378"/>
      <c r="G21" s="1379">
        <f>SUM(G23,G25,G26)</f>
        <v>556932370</v>
      </c>
      <c r="H21" s="1380">
        <f>SUM(H23,H25,H26)</f>
        <v>1527962389</v>
      </c>
      <c r="I21" s="1380">
        <v>971030019</v>
      </c>
      <c r="J21" s="1380">
        <v>777270301</v>
      </c>
      <c r="K21" s="1380">
        <f t="shared" ref="K21:Q21" si="14">SUM(K23,K25,K26)</f>
        <v>-178290864</v>
      </c>
      <c r="L21" s="1380">
        <f t="shared" si="14"/>
        <v>-388814390</v>
      </c>
      <c r="M21" s="1380">
        <f t="shared" si="14"/>
        <v>221135226</v>
      </c>
      <c r="N21" s="1381">
        <f t="shared" si="14"/>
        <v>35168363</v>
      </c>
      <c r="O21" s="1381">
        <f t="shared" si="14"/>
        <v>-146088036</v>
      </c>
      <c r="P21" s="1381">
        <f t="shared" si="14"/>
        <v>327971543</v>
      </c>
      <c r="Q21" s="1382">
        <f t="shared" si="14"/>
        <v>34100739</v>
      </c>
      <c r="S21" s="1362" t="b">
        <f>H21=(H23+H25+H26)</f>
        <v>1</v>
      </c>
      <c r="T21" s="1362" t="b">
        <f>N21=(N23+N25)</f>
        <v>1</v>
      </c>
      <c r="V21" s="1383" t="s">
        <v>1942</v>
      </c>
      <c r="W21" s="1384"/>
      <c r="X21" s="1387">
        <f>X23+X25</f>
        <v>753212509</v>
      </c>
      <c r="Y21" s="1387">
        <f>Y23+Y25</f>
        <v>1527962389</v>
      </c>
      <c r="Z21" s="1387">
        <f>Z23+Z25</f>
        <v>185966863</v>
      </c>
      <c r="AA21" s="1388">
        <f>AA23+AA25</f>
        <v>221135226</v>
      </c>
      <c r="AB21" s="1362"/>
      <c r="AC21" s="1362"/>
      <c r="AD21" s="1362"/>
      <c r="AE21" s="1362"/>
    </row>
    <row r="22" spans="4:31" ht="18.95" customHeight="1">
      <c r="D22" s="1861"/>
      <c r="E22" s="1846" t="s">
        <v>2791</v>
      </c>
      <c r="F22" s="1393"/>
      <c r="G22" s="1394">
        <f>H22</f>
        <v>0</v>
      </c>
      <c r="H22" s="1395"/>
      <c r="I22" s="1395"/>
      <c r="J22" s="1395"/>
      <c r="K22" s="1395"/>
      <c r="L22" s="1395"/>
      <c r="M22" s="1395"/>
      <c r="N22" s="1396"/>
      <c r="O22" s="1396"/>
      <c r="P22" s="1396"/>
      <c r="Q22" s="1397"/>
      <c r="S22" s="1362"/>
      <c r="T22" s="1362"/>
      <c r="V22" s="1805" t="s">
        <v>2656</v>
      </c>
      <c r="W22" s="1808"/>
      <c r="X22" s="1806"/>
      <c r="Y22" s="1806"/>
      <c r="Z22" s="1806"/>
      <c r="AA22" s="1807"/>
      <c r="AB22" s="1362"/>
      <c r="AC22" s="1362"/>
      <c r="AD22" s="1362"/>
      <c r="AE22" s="1362"/>
    </row>
    <row r="23" spans="4:31" ht="18.95" customHeight="1">
      <c r="D23" s="1858"/>
      <c r="E23" s="1848" t="s">
        <v>2785</v>
      </c>
      <c r="F23" s="1366">
        <v>16</v>
      </c>
      <c r="G23" s="1389">
        <f>T_CE!Y27-T_CE!W27</f>
        <v>751280685</v>
      </c>
      <c r="H23" s="1368">
        <f>T_CE!Z27</f>
        <v>1963915128</v>
      </c>
      <c r="I23" s="1368">
        <v>1212634443</v>
      </c>
      <c r="J23" s="1368">
        <v>1212634443</v>
      </c>
      <c r="K23" s="1368">
        <v>0</v>
      </c>
      <c r="L23" s="1368">
        <f>T_CE!Q27-T_CE!J27</f>
        <v>-238909275</v>
      </c>
      <c r="M23" s="1368">
        <v>247210962</v>
      </c>
      <c r="N23" s="1369">
        <v>247210962</v>
      </c>
      <c r="O23" s="1369">
        <v>0</v>
      </c>
      <c r="P23" s="1369">
        <f>T_CE!J27-T_CE!I27</f>
        <v>-38586066</v>
      </c>
      <c r="Q23" s="1370">
        <v>-766511518</v>
      </c>
      <c r="S23" s="1362"/>
      <c r="T23" s="1362"/>
      <c r="V23" s="1372" t="s">
        <v>1943</v>
      </c>
      <c r="W23" s="1366">
        <v>16</v>
      </c>
      <c r="X23" s="1374">
        <f>H23-J23</f>
        <v>751280685</v>
      </c>
      <c r="Y23" s="1374">
        <f>H23</f>
        <v>1963915128</v>
      </c>
      <c r="Z23" s="1375">
        <f t="shared" ref="Z23" si="15">M23-N23</f>
        <v>0</v>
      </c>
      <c r="AA23" s="1376">
        <f t="shared" ref="AA23" si="16">M23</f>
        <v>247210962</v>
      </c>
      <c r="AB23" s="1362"/>
      <c r="AC23" s="1362"/>
      <c r="AD23" s="1362"/>
      <c r="AE23" s="1362"/>
    </row>
    <row r="24" spans="4:31" ht="18.95" customHeight="1">
      <c r="D24" s="1861"/>
      <c r="E24" s="1846" t="s">
        <v>2790</v>
      </c>
      <c r="F24" s="1393"/>
      <c r="G24" s="1394">
        <f>H24</f>
        <v>0</v>
      </c>
      <c r="H24" s="1395"/>
      <c r="I24" s="1395"/>
      <c r="J24" s="1395"/>
      <c r="K24" s="1395"/>
      <c r="L24" s="1395"/>
      <c r="M24" s="1395"/>
      <c r="N24" s="1396"/>
      <c r="O24" s="1396"/>
      <c r="P24" s="1396"/>
      <c r="Q24" s="1397"/>
      <c r="S24" s="1362"/>
      <c r="T24" s="1362"/>
      <c r="V24" s="1805" t="s">
        <v>2657</v>
      </c>
      <c r="W24" s="1808"/>
      <c r="X24" s="1806"/>
      <c r="Y24" s="1806"/>
      <c r="Z24" s="1806"/>
      <c r="AA24" s="1807"/>
    </row>
    <row r="25" spans="4:31" ht="18.95" customHeight="1">
      <c r="D25" s="1858"/>
      <c r="E25" s="1848" t="s">
        <v>2786</v>
      </c>
      <c r="F25" s="1366">
        <v>18</v>
      </c>
      <c r="G25" s="1367">
        <f>T_CE!Y24-T_CE!W24</f>
        <v>-187339068</v>
      </c>
      <c r="H25" s="1368">
        <f>T_CE!$Z$24</f>
        <v>-435952739</v>
      </c>
      <c r="I25" s="1368">
        <v>-248613671</v>
      </c>
      <c r="J25" s="1368">
        <v>-437884563</v>
      </c>
      <c r="K25" s="1368">
        <f>T_CE!T24</f>
        <v>-178290864</v>
      </c>
      <c r="L25" s="1368">
        <f>T_CE!Q24-T_CE!J24</f>
        <v>-149905115</v>
      </c>
      <c r="M25" s="1368">
        <v>-26075736</v>
      </c>
      <c r="N25" s="1369">
        <v>-212042599</v>
      </c>
      <c r="O25" s="1369">
        <v>-146088036</v>
      </c>
      <c r="P25" s="1369">
        <f>T_CE!J24-T_CE!I24</f>
        <v>366557609</v>
      </c>
      <c r="Q25" s="1370">
        <v>800612257</v>
      </c>
      <c r="S25" s="1362"/>
      <c r="T25" s="1362"/>
      <c r="V25" s="1372" t="s">
        <v>2776</v>
      </c>
      <c r="W25" s="1366">
        <v>18</v>
      </c>
      <c r="X25" s="1374">
        <f>H25-J25</f>
        <v>1931824</v>
      </c>
      <c r="Y25" s="1391">
        <f>H25</f>
        <v>-435952739</v>
      </c>
      <c r="Z25" s="1375">
        <f t="shared" ref="Z25" si="17">M25-N25</f>
        <v>185966863</v>
      </c>
      <c r="AA25" s="1376">
        <f t="shared" ref="AA25" si="18">M25</f>
        <v>-26075736</v>
      </c>
      <c r="AB25" s="1362"/>
      <c r="AC25" s="1362"/>
      <c r="AD25" s="1362"/>
      <c r="AE25" s="1362"/>
    </row>
    <row r="26" spans="4:31" ht="18.95" customHeight="1">
      <c r="D26" s="1858"/>
      <c r="E26" s="1848" t="s">
        <v>2810</v>
      </c>
      <c r="F26" s="1366">
        <v>18</v>
      </c>
      <c r="G26" s="1367">
        <f>T_CE!Y22-T_CE!W22</f>
        <v>-7009247</v>
      </c>
      <c r="H26" s="1368">
        <f>+T_CE!$Z$22</f>
        <v>0</v>
      </c>
      <c r="I26" s="1368">
        <v>7009247</v>
      </c>
      <c r="J26" s="1368">
        <v>2520421</v>
      </c>
      <c r="K26" s="1368">
        <v>0</v>
      </c>
      <c r="L26" s="1368">
        <v>0</v>
      </c>
      <c r="M26" s="1368">
        <v>0</v>
      </c>
      <c r="N26" s="1369">
        <v>0</v>
      </c>
      <c r="O26" s="1369">
        <v>0</v>
      </c>
      <c r="P26" s="1369">
        <v>0</v>
      </c>
      <c r="Q26" s="1370">
        <v>0</v>
      </c>
      <c r="S26" s="1362"/>
      <c r="T26" s="1362"/>
      <c r="V26" s="1372" t="s">
        <v>2811</v>
      </c>
      <c r="W26" s="1844">
        <v>18</v>
      </c>
      <c r="X26" s="1374">
        <f>H26-J26</f>
        <v>-2520421</v>
      </c>
      <c r="Y26" s="1391">
        <f>H26</f>
        <v>0</v>
      </c>
      <c r="Z26" s="1374">
        <f t="shared" ref="Z26" si="19">N26-O26</f>
        <v>0</v>
      </c>
      <c r="AA26" s="1376">
        <f t="shared" ref="AA26" si="20">N26</f>
        <v>0</v>
      </c>
      <c r="AB26" s="1362"/>
      <c r="AC26" s="1362"/>
      <c r="AD26" s="1362"/>
      <c r="AE26" s="1362"/>
    </row>
    <row r="27" spans="4:31" ht="18.95" customHeight="1">
      <c r="D27" s="1859"/>
      <c r="E27" s="1377" t="s">
        <v>2438</v>
      </c>
      <c r="F27" s="1378"/>
      <c r="G27" s="1380">
        <f>G18+G21</f>
        <v>-15935232936</v>
      </c>
      <c r="H27" s="1380">
        <f>H18+H21</f>
        <v>30764459490</v>
      </c>
      <c r="I27" s="1380">
        <v>46699692426</v>
      </c>
      <c r="J27" s="1380">
        <v>36676086876</v>
      </c>
      <c r="K27" s="1380">
        <f>K18+K21</f>
        <v>12119073500</v>
      </c>
      <c r="L27" s="1380">
        <f>L18+L21</f>
        <v>-16491907415</v>
      </c>
      <c r="M27" s="1380">
        <v>-901601351</v>
      </c>
      <c r="N27" s="1381">
        <v>-14866369083</v>
      </c>
      <c r="O27" s="1381">
        <v>2029308022</v>
      </c>
      <c r="P27" s="1381">
        <f>SUM(P28:P29)</f>
        <v>-22739901058</v>
      </c>
      <c r="Q27" s="1382">
        <f>SUM(Q28:Q29)</f>
        <v>-47971421407</v>
      </c>
      <c r="S27" s="1362" t="b">
        <f>H27=(H18+H21)</f>
        <v>1</v>
      </c>
      <c r="T27" s="1362" t="b">
        <f>N27=(N18+N21)</f>
        <v>1</v>
      </c>
      <c r="V27" s="1383" t="s">
        <v>1670</v>
      </c>
      <c r="W27" s="1384"/>
      <c r="X27" s="1385">
        <f>+X18+X21</f>
        <v>-5909106965</v>
      </c>
      <c r="Y27" s="1385">
        <f>Y18+Y21</f>
        <v>30764459490</v>
      </c>
      <c r="Z27" s="1387">
        <f>+Z18+Z21</f>
        <v>13964767732</v>
      </c>
      <c r="AA27" s="1388">
        <f>AA18+AA21</f>
        <v>-901601351</v>
      </c>
      <c r="AB27" s="1362" t="b">
        <f>X27=X18+X21</f>
        <v>1</v>
      </c>
      <c r="AC27" s="1362" t="b">
        <f>Y27=Y18+Y21</f>
        <v>1</v>
      </c>
      <c r="AD27" s="1362" t="b">
        <f>Z27=Z18+Z21</f>
        <v>1</v>
      </c>
      <c r="AE27" s="1362" t="b">
        <f>AA27=AA18+AA21</f>
        <v>1</v>
      </c>
    </row>
    <row r="28" spans="4:31" ht="18.95" customHeight="1">
      <c r="D28" s="1858"/>
      <c r="E28" s="1845" t="s">
        <v>2787</v>
      </c>
      <c r="F28" s="1366"/>
      <c r="G28" s="1367">
        <f>G27</f>
        <v>-15935232936</v>
      </c>
      <c r="H28" s="1368">
        <f>H27</f>
        <v>30764459490</v>
      </c>
      <c r="I28" s="1368">
        <v>46699692426</v>
      </c>
      <c r="J28" s="1368">
        <v>36676086876</v>
      </c>
      <c r="K28" s="1368">
        <f>K27</f>
        <v>12119073500</v>
      </c>
      <c r="L28" s="1368">
        <f>L27</f>
        <v>-16491907415</v>
      </c>
      <c r="M28" s="1368">
        <v>-901601351</v>
      </c>
      <c r="N28" s="1369">
        <v>-14866369083</v>
      </c>
      <c r="O28" s="1369">
        <v>2029308022</v>
      </c>
      <c r="P28" s="1369">
        <f>P19+P21</f>
        <v>-22739901058</v>
      </c>
      <c r="Q28" s="1370">
        <f>Q18+Q21</f>
        <v>-47971421407</v>
      </c>
      <c r="S28" s="1362"/>
      <c r="T28" s="1362"/>
      <c r="V28" s="1372" t="s">
        <v>1947</v>
      </c>
      <c r="W28" s="1373"/>
      <c r="X28" s="1374">
        <f>X27</f>
        <v>-5909106965</v>
      </c>
      <c r="Y28" s="1374">
        <f>Y27</f>
        <v>30764459490</v>
      </c>
      <c r="Z28" s="1391">
        <f>Z27</f>
        <v>13964767732</v>
      </c>
      <c r="AA28" s="1392">
        <f>AA27</f>
        <v>-901601351</v>
      </c>
      <c r="AB28" s="1362"/>
      <c r="AC28" s="1362"/>
      <c r="AD28" s="1362"/>
      <c r="AE28" s="1362"/>
    </row>
    <row r="29" spans="4:31" ht="18.95" customHeight="1">
      <c r="D29" s="1858"/>
      <c r="E29" s="1845" t="s">
        <v>2784</v>
      </c>
      <c r="F29" s="1366"/>
      <c r="G29" s="1389">
        <v>0</v>
      </c>
      <c r="H29" s="1368">
        <v>0</v>
      </c>
      <c r="I29" s="1368">
        <v>0</v>
      </c>
      <c r="J29" s="1368">
        <v>0</v>
      </c>
      <c r="K29" s="1368">
        <v>0</v>
      </c>
      <c r="L29" s="1368">
        <v>0</v>
      </c>
      <c r="M29" s="1368">
        <v>0</v>
      </c>
      <c r="N29" s="1369">
        <v>0</v>
      </c>
      <c r="O29" s="1369">
        <v>0</v>
      </c>
      <c r="P29" s="1369">
        <v>0</v>
      </c>
      <c r="Q29" s="1370">
        <v>0</v>
      </c>
      <c r="S29" s="1362" t="b">
        <f>(H29+H28)=H27</f>
        <v>1</v>
      </c>
      <c r="T29" s="1362" t="b">
        <f>(N29+N28)=N27</f>
        <v>1</v>
      </c>
      <c r="V29" s="1372" t="s">
        <v>1948</v>
      </c>
      <c r="W29" s="1373"/>
      <c r="X29" s="1374"/>
      <c r="Y29" s="1374"/>
      <c r="Z29" s="1374"/>
      <c r="AA29" s="1376"/>
      <c r="AB29" s="1362"/>
      <c r="AC29" s="1362"/>
      <c r="AD29" s="1362"/>
      <c r="AE29" s="1362"/>
    </row>
    <row r="30" spans="4:31" ht="18.95" customHeight="1">
      <c r="D30" s="1859"/>
      <c r="E30" s="1377" t="s">
        <v>1671</v>
      </c>
      <c r="F30" s="1378"/>
      <c r="G30" s="1398">
        <f>H30</f>
        <v>0</v>
      </c>
      <c r="H30" s="1380"/>
      <c r="I30" s="1380"/>
      <c r="J30" s="1380"/>
      <c r="K30" s="1380"/>
      <c r="L30" s="1380"/>
      <c r="M30" s="1380"/>
      <c r="N30" s="1381"/>
      <c r="O30" s="1381"/>
      <c r="P30" s="1381"/>
      <c r="Q30" s="1382"/>
      <c r="S30" s="1362"/>
      <c r="T30" s="1362"/>
      <c r="V30" s="1383" t="s">
        <v>1944</v>
      </c>
      <c r="W30" s="1384"/>
      <c r="X30" s="1385"/>
      <c r="Y30" s="1385"/>
      <c r="Z30" s="1387"/>
      <c r="AA30" s="1388"/>
      <c r="AB30" s="1362"/>
      <c r="AC30" s="1362"/>
      <c r="AD30" s="1362"/>
      <c r="AE30" s="1362"/>
    </row>
    <row r="31" spans="4:31" ht="18.95" customHeight="1">
      <c r="D31" s="1858"/>
      <c r="E31" s="1845" t="s">
        <v>2788</v>
      </c>
      <c r="F31" s="1366">
        <v>24</v>
      </c>
      <c r="G31" s="1849">
        <f>G18/$G$39</f>
        <v>-290.04941406191261</v>
      </c>
      <c r="H31" s="1849">
        <f>H18/H39</f>
        <v>514.1852931999623</v>
      </c>
      <c r="I31" s="1849">
        <f>I18/I39</f>
        <v>804.23470726187497</v>
      </c>
      <c r="J31" s="1849">
        <v>631.36507678364717</v>
      </c>
      <c r="K31" s="1399">
        <f>K18/K39</f>
        <v>216.27805974306955</v>
      </c>
      <c r="L31" s="1399">
        <f>+L18/L39</f>
        <v>-283.21074436931735</v>
      </c>
      <c r="M31" s="1399">
        <v>-19.745961922295322</v>
      </c>
      <c r="N31" s="1400">
        <v>-262.07856501710273</v>
      </c>
      <c r="O31" s="1400">
        <v>38.259453381271058</v>
      </c>
      <c r="P31" s="1400">
        <f>P18/P39</f>
        <v>-405.70276531367119</v>
      </c>
      <c r="Q31" s="1401">
        <v>-855.67849372420437</v>
      </c>
      <c r="S31" s="1362"/>
      <c r="T31" s="1362"/>
      <c r="V31" s="1372" t="s">
        <v>1945</v>
      </c>
      <c r="W31" s="1366">
        <v>24</v>
      </c>
      <c r="X31" s="1374">
        <f>ROUND(X18/X34,)</f>
        <v>-117</v>
      </c>
      <c r="Y31" s="1374">
        <f>ROUND(Y18/Y34,)</f>
        <v>514</v>
      </c>
      <c r="Z31" s="1391">
        <f>ROUND(Z18/Z34,)</f>
        <v>242</v>
      </c>
      <c r="AA31" s="1392">
        <f>ROUND(AA18/AA34,)</f>
        <v>-20</v>
      </c>
      <c r="AB31" s="1362"/>
      <c r="AC31" s="1362"/>
      <c r="AD31" s="1362"/>
      <c r="AE31" s="1362"/>
    </row>
    <row r="32" spans="4:31" ht="18.95" customHeight="1" thickBot="1">
      <c r="D32" s="1862"/>
      <c r="E32" s="1847" t="s">
        <v>2789</v>
      </c>
      <c r="F32" s="1402">
        <v>24</v>
      </c>
      <c r="G32" s="1850">
        <f>(T_IS!X127-T_IS!X85)/(G39+G40)</f>
        <v>-52.434336839303782</v>
      </c>
      <c r="H32" s="1850">
        <f>(T_IS!X127-T_IS!X85)/(H39+H40)</f>
        <v>-52.434336839303782</v>
      </c>
      <c r="I32" s="1850">
        <f>(T_IS!AN127-T_IS!AN85)/(I39+I40)</f>
        <v>57.730185869050885</v>
      </c>
      <c r="J32" s="1850">
        <v>38.374533863507317</v>
      </c>
      <c r="K32" s="1403">
        <f>(T_IS!AR127-T_IS!AR85)/(K39+K40)</f>
        <v>39.28306771626773</v>
      </c>
      <c r="L32" s="1403">
        <f>L31</f>
        <v>-283.21074436931735</v>
      </c>
      <c r="M32" s="1403">
        <v>-19.745961922295322</v>
      </c>
      <c r="N32" s="1404">
        <v>-262.07856501710273</v>
      </c>
      <c r="O32" s="1404">
        <v>38.259453381271058</v>
      </c>
      <c r="P32" s="1404">
        <f>P31</f>
        <v>-405.70276531367119</v>
      </c>
      <c r="Q32" s="1405">
        <v>-855.67849372420437</v>
      </c>
      <c r="S32" s="1362"/>
      <c r="T32" s="1362"/>
      <c r="V32" s="1406" t="s">
        <v>1946</v>
      </c>
      <c r="W32" s="1809">
        <v>24</v>
      </c>
      <c r="X32" s="1407">
        <f>(T_IS!X127-T_IS!X85)/(X34+X35)</f>
        <v>-52.434891547591029</v>
      </c>
      <c r="Y32" s="1407">
        <f>(T_IS!AR127-T_IS!AR85)/(Y34+Y35)</f>
        <v>37.917381048194258</v>
      </c>
      <c r="Z32" s="1408">
        <f>Z31</f>
        <v>242</v>
      </c>
      <c r="AA32" s="1409">
        <f>AA31</f>
        <v>-20</v>
      </c>
    </row>
    <row r="34" spans="5:27" ht="18.95" customHeight="1">
      <c r="E34" s="1359" t="s">
        <v>1672</v>
      </c>
      <c r="G34" s="1362"/>
      <c r="H34" s="1362" t="b">
        <f>H8=T_IS!X36</f>
        <v>1</v>
      </c>
      <c r="I34" s="1362" t="b">
        <f>I8=T_IS!AN36</f>
        <v>1</v>
      </c>
      <c r="J34" s="1362" t="b">
        <f>J8=T_IS!AQ36</f>
        <v>1</v>
      </c>
      <c r="K34" s="1362" t="b">
        <f>K8=T_IS!AR36</f>
        <v>1</v>
      </c>
      <c r="L34" s="1362" t="b">
        <f>L8=T_IS!AS36</f>
        <v>1</v>
      </c>
      <c r="M34" s="1362" t="b">
        <f>M8=T_IS!AU36</f>
        <v>1</v>
      </c>
      <c r="N34" s="1362" t="b">
        <f>N8=T_IS!AV36</f>
        <v>1</v>
      </c>
      <c r="O34" s="1362" t="b">
        <f>O8=T_IS!AW36</f>
        <v>1</v>
      </c>
      <c r="P34" s="1362" t="b">
        <f>P8=T_IS!AX36</f>
        <v>1</v>
      </c>
      <c r="Q34" s="1362"/>
      <c r="V34" s="770"/>
      <c r="W34" s="1410" t="s">
        <v>2025</v>
      </c>
      <c r="X34" s="837">
        <v>56859047</v>
      </c>
      <c r="Y34" s="837">
        <v>56859047</v>
      </c>
      <c r="Z34" s="837">
        <v>56859047</v>
      </c>
      <c r="AA34" s="837">
        <v>56859047</v>
      </c>
    </row>
    <row r="35" spans="5:27" ht="18.95" customHeight="1">
      <c r="G35" s="1362"/>
      <c r="H35" s="1362" t="b">
        <f>H10=T_IS!X75</f>
        <v>1</v>
      </c>
      <c r="I35" s="1362" t="b">
        <f>I9=T_IS!AN37</f>
        <v>1</v>
      </c>
      <c r="J35" s="1362" t="b">
        <f>J10=T_IS!AQ75</f>
        <v>1</v>
      </c>
      <c r="K35" s="1362" t="b">
        <f>K10=T_IS!AR75</f>
        <v>1</v>
      </c>
      <c r="L35" s="1362" t="b">
        <f>L10=T_IS!AS75</f>
        <v>1</v>
      </c>
      <c r="M35" s="1362" t="b">
        <f>M10=T_IS!AU75</f>
        <v>1</v>
      </c>
      <c r="N35" s="1362" t="b">
        <f>N10=T_IS!AV75</f>
        <v>1</v>
      </c>
      <c r="O35" s="1362" t="b">
        <f>O10=T_IS!AW75</f>
        <v>1</v>
      </c>
      <c r="P35" s="1362" t="b">
        <f>P10=T_IS!AX75</f>
        <v>1</v>
      </c>
      <c r="Q35" s="1362"/>
      <c r="V35" s="770"/>
      <c r="W35" s="1411" t="s">
        <v>2579</v>
      </c>
      <c r="X35" s="837">
        <v>18761726</v>
      </c>
      <c r="Y35" s="837">
        <v>18761726</v>
      </c>
      <c r="Z35" s="837"/>
      <c r="AA35" s="837"/>
    </row>
    <row r="36" spans="5:27" ht="18.95" customHeight="1">
      <c r="G36" s="1362"/>
      <c r="H36" s="1362" t="b">
        <f>H16=T_IS!X124</f>
        <v>1</v>
      </c>
      <c r="I36" s="1362" t="b">
        <f>I10=T_IS!AN75</f>
        <v>1</v>
      </c>
      <c r="J36" s="1362" t="b">
        <f>J16=T_IS!AQ124</f>
        <v>1</v>
      </c>
      <c r="K36" s="1362" t="b">
        <f>K16=T_IS!AR124</f>
        <v>1</v>
      </c>
      <c r="L36" s="1362" t="b">
        <f>L16=T_IS!AS124</f>
        <v>1</v>
      </c>
      <c r="M36" s="1362" t="b">
        <f>M16=T_IS!AU124</f>
        <v>1</v>
      </c>
      <c r="N36" s="1362" t="b">
        <f>N16=T_IS!AV124</f>
        <v>1</v>
      </c>
      <c r="O36" s="1362" t="b">
        <f>O16=T_IS!AW124</f>
        <v>1</v>
      </c>
      <c r="P36" s="1362" t="b">
        <f>P16=T_IS!AX124</f>
        <v>1</v>
      </c>
      <c r="Q36" s="1362"/>
      <c r="V36" s="770"/>
      <c r="W36" s="836"/>
      <c r="X36" s="770"/>
      <c r="Y36" s="770"/>
      <c r="Z36" s="770"/>
      <c r="AA36" s="770"/>
    </row>
    <row r="37" spans="5:27" ht="18.95" customHeight="1">
      <c r="G37" s="1362"/>
      <c r="H37" s="1362" t="b">
        <f>H18=T_IS!X127</f>
        <v>1</v>
      </c>
      <c r="I37" s="1362" t="b">
        <f>I11=T_IS!AN76</f>
        <v>1</v>
      </c>
      <c r="J37" s="1362" t="b">
        <f>J18=T_IS!AQ127</f>
        <v>1</v>
      </c>
      <c r="K37" s="1362" t="b">
        <f>K18=T_IS!AR127</f>
        <v>1</v>
      </c>
      <c r="L37" s="1362" t="b">
        <f>L18=T_IS!AS127</f>
        <v>1</v>
      </c>
      <c r="M37" s="1362" t="b">
        <f>M18=T_IS!AU127</f>
        <v>1</v>
      </c>
      <c r="N37" s="1362" t="b">
        <f>N18=T_IS!AV127</f>
        <v>1</v>
      </c>
      <c r="O37" s="1362" t="b">
        <f>O18=T_IS!AW127</f>
        <v>1</v>
      </c>
      <c r="P37" s="1362" t="b">
        <f>P18=T_IS!AX127</f>
        <v>1</v>
      </c>
      <c r="Q37" s="1362"/>
      <c r="V37" s="770"/>
      <c r="W37" s="836"/>
      <c r="X37" s="770"/>
      <c r="Y37" s="770"/>
      <c r="Z37" s="770"/>
      <c r="AA37" s="770"/>
    </row>
    <row r="38" spans="5:27" ht="18.95" customHeight="1">
      <c r="H38" s="1362"/>
      <c r="I38" s="1362"/>
      <c r="J38" s="1362"/>
      <c r="K38" s="1362"/>
      <c r="L38" s="1362"/>
      <c r="M38" s="1362"/>
      <c r="N38" s="1362"/>
      <c r="O38" s="1362"/>
      <c r="P38" s="1362"/>
      <c r="Q38" s="1362"/>
      <c r="V38" s="770"/>
      <c r="W38" s="836"/>
      <c r="X38" s="770"/>
      <c r="Y38" s="770"/>
      <c r="Z38" s="770"/>
      <c r="AA38" s="770"/>
    </row>
    <row r="39" spans="5:27" ht="18.95" customHeight="1">
      <c r="F39" s="1410" t="s">
        <v>2025</v>
      </c>
      <c r="G39" s="2105">
        <v>56859847</v>
      </c>
      <c r="H39" s="2105">
        <v>56859847</v>
      </c>
      <c r="I39" s="2105">
        <v>56859847</v>
      </c>
      <c r="J39" s="1410">
        <v>56859047</v>
      </c>
      <c r="K39" s="1410">
        <v>56859047</v>
      </c>
      <c r="L39" s="1410">
        <v>56859047</v>
      </c>
      <c r="M39" s="1410">
        <v>56859047</v>
      </c>
      <c r="N39" s="1410">
        <v>56859047</v>
      </c>
      <c r="O39" s="1410">
        <v>56859047</v>
      </c>
      <c r="P39" s="1410">
        <v>56859047</v>
      </c>
      <c r="Q39" s="1410">
        <v>56859047</v>
      </c>
      <c r="V39" s="770"/>
      <c r="W39" s="836"/>
      <c r="X39" s="770"/>
      <c r="Y39" s="770"/>
      <c r="Z39" s="770"/>
      <c r="AA39" s="770"/>
    </row>
    <row r="40" spans="5:27" ht="18.95" customHeight="1">
      <c r="F40" s="1411" t="s">
        <v>2579</v>
      </c>
      <c r="G40" s="2106">
        <v>18761726</v>
      </c>
      <c r="H40" s="2106">
        <v>18761726</v>
      </c>
      <c r="I40" s="2106">
        <v>18761726</v>
      </c>
      <c r="J40" s="1360">
        <v>16132749</v>
      </c>
      <c r="K40" s="1360">
        <v>16132749</v>
      </c>
      <c r="V40" s="770"/>
      <c r="W40" s="836"/>
      <c r="X40" s="770"/>
      <c r="Y40" s="770"/>
      <c r="Z40" s="770"/>
      <c r="AA40" s="770"/>
    </row>
    <row r="41" spans="5:27" ht="18.95" customHeight="1">
      <c r="H41" s="1360"/>
      <c r="I41" s="1360"/>
      <c r="J41" s="1360"/>
      <c r="V41" s="770"/>
      <c r="W41" s="836"/>
      <c r="X41" s="770"/>
      <c r="Y41" s="770"/>
      <c r="Z41" s="770"/>
      <c r="AA41" s="770"/>
    </row>
    <row r="42" spans="5:27" ht="18.95" customHeight="1">
      <c r="V42" s="770"/>
      <c r="W42" s="836"/>
      <c r="X42" s="770"/>
      <c r="Y42" s="770"/>
      <c r="Z42" s="770"/>
      <c r="AA42" s="770"/>
    </row>
    <row r="43" spans="5:27" ht="18.95" customHeight="1">
      <c r="V43" s="770"/>
      <c r="W43" s="836"/>
      <c r="X43" s="770"/>
      <c r="Y43" s="770"/>
      <c r="Z43" s="770"/>
      <c r="AA43" s="770"/>
    </row>
    <row r="44" spans="5:27" ht="18.95" customHeight="1">
      <c r="V44" s="770"/>
      <c r="W44" s="836"/>
      <c r="X44" s="770"/>
      <c r="Y44" s="770"/>
      <c r="Z44" s="770"/>
      <c r="AA44" s="770"/>
    </row>
    <row r="45" spans="5:27" ht="18.95" customHeight="1">
      <c r="V45" s="770"/>
      <c r="W45" s="836"/>
      <c r="X45" s="770"/>
      <c r="Y45" s="770"/>
      <c r="Z45" s="770"/>
      <c r="AA45" s="770"/>
    </row>
    <row r="46" spans="5:27" ht="18.95" customHeight="1">
      <c r="V46" s="770"/>
      <c r="W46" s="836"/>
      <c r="X46" s="770"/>
      <c r="Y46" s="770"/>
      <c r="Z46" s="770"/>
      <c r="AA46" s="770"/>
    </row>
    <row r="47" spans="5:27" ht="18.95" customHeight="1">
      <c r="V47" s="770"/>
      <c r="W47" s="836"/>
      <c r="X47" s="770"/>
      <c r="Y47" s="770"/>
      <c r="Z47" s="770"/>
      <c r="AA47" s="770"/>
    </row>
    <row r="48" spans="5:27" ht="18.95" customHeight="1">
      <c r="V48" s="770"/>
      <c r="W48" s="836"/>
      <c r="X48" s="770"/>
      <c r="Y48" s="770"/>
      <c r="Z48" s="770"/>
      <c r="AA48" s="770"/>
    </row>
    <row r="49" spans="22:27" ht="18.95" customHeight="1">
      <c r="V49" s="770"/>
      <c r="W49" s="836"/>
      <c r="X49" s="770"/>
      <c r="Y49" s="770"/>
      <c r="Z49" s="770"/>
      <c r="AA49" s="770"/>
    </row>
    <row r="50" spans="22:27" ht="18.95" customHeight="1">
      <c r="V50" s="770"/>
      <c r="W50" s="836"/>
      <c r="X50" s="770"/>
      <c r="Y50" s="770"/>
      <c r="Z50" s="770"/>
      <c r="AA50" s="770"/>
    </row>
    <row r="51" spans="22:27" ht="18.95" customHeight="1">
      <c r="V51" s="770"/>
      <c r="W51" s="836"/>
      <c r="X51" s="770"/>
      <c r="Y51" s="770"/>
      <c r="Z51" s="770"/>
      <c r="AA51" s="770"/>
    </row>
    <row r="52" spans="22:27" ht="18.95" customHeight="1">
      <c r="V52" s="770"/>
      <c r="W52" s="836"/>
      <c r="X52" s="770"/>
      <c r="Y52" s="770"/>
      <c r="Z52" s="770"/>
      <c r="AA52" s="770"/>
    </row>
    <row r="53" spans="22:27" ht="18.95" customHeight="1">
      <c r="V53" s="770"/>
      <c r="W53" s="836"/>
      <c r="X53" s="770"/>
      <c r="Y53" s="770"/>
      <c r="Z53" s="770"/>
      <c r="AA53" s="770"/>
    </row>
    <row r="54" spans="22:27" ht="18.95" customHeight="1">
      <c r="V54" s="770"/>
      <c r="W54" s="836"/>
      <c r="X54" s="770"/>
      <c r="Y54" s="770"/>
      <c r="Z54" s="770"/>
      <c r="AA54" s="770"/>
    </row>
    <row r="55" spans="22:27" ht="18.95" customHeight="1">
      <c r="V55" s="770"/>
      <c r="W55" s="836"/>
      <c r="X55" s="770"/>
      <c r="Y55" s="770"/>
      <c r="Z55" s="770"/>
      <c r="AA55" s="770"/>
    </row>
    <row r="56" spans="22:27" ht="18.95" customHeight="1">
      <c r="V56" s="770"/>
      <c r="W56" s="836"/>
      <c r="X56" s="770"/>
      <c r="Y56" s="770"/>
      <c r="Z56" s="770"/>
      <c r="AA56" s="770"/>
    </row>
  </sheetData>
  <mergeCells count="18">
    <mergeCell ref="X4:Y4"/>
    <mergeCell ref="Z4:AA4"/>
    <mergeCell ref="K4:K5"/>
    <mergeCell ref="W4:W5"/>
    <mergeCell ref="I4:I5"/>
    <mergeCell ref="D4:D5"/>
    <mergeCell ref="E4:E5"/>
    <mergeCell ref="F4:F5"/>
    <mergeCell ref="V4:V5"/>
    <mergeCell ref="G4:G5"/>
    <mergeCell ref="H4:H5"/>
    <mergeCell ref="P4:P5"/>
    <mergeCell ref="Q4:Q5"/>
    <mergeCell ref="L4:L5"/>
    <mergeCell ref="M4:M5"/>
    <mergeCell ref="N4:N5"/>
    <mergeCell ref="O4:O5"/>
    <mergeCell ref="J4:J5"/>
  </mergeCells>
  <phoneticPr fontId="22" type="noConversion"/>
  <pageMargins left="0.7" right="0.7" top="0.75" bottom="0.75" header="0.3" footer="0.3"/>
  <pageSetup orientation="portrait" r:id="rId1"/>
  <ignoredErrors>
    <ignoredError sqref="G33:H33 L9 P27:S28 R21 Z8:AA8 V10 AB10:AE10 V21 AB17:AE18 V27:V30 X24:AA24 V23 AB23:AE23 V33:AA33 Z35:AA35 V31:V32 Z32:AA32 V9 X8:Y8 Y11:Y15 V11:V17 Y23 X16:Y16 X22:AE22 V34:V35 X34:AA34 P9:S20 P22:S25 AB25:AE26 AB28:AE34 K9:K25 P30:S36 R29:S29 AB9:AE9 AB11:AE15 X18:Y18 Y17 V19:V20 AB19:AE20 AB21:AE21 Z18:AA18 Z16:AA16 Z21:AA21 Z10:AA10 Z9:AA9 Z11:AA15 Z17:AA17 Z19:AA20 X9:Y9 Y19:Y20 X10:Y10 X21:Y21 X27:AA30 H9 H21 H23 H25 G10:H10 H11 G30:H30 G9 G31:H31 G12:H20 G11 G26:H27 G25 G24:H24 G23 G22:H22 G21 G29:H29 H28 H34:H35" formula="1"/>
    <ignoredError sqref="G28" twoDigitTextYear="1" formula="1"/>
    <ignoredError sqref="F21 F24 F28 F27 F29 F22 F16 F19:F20 F18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B0F0"/>
  </sheetPr>
  <dimension ref="D3:M31"/>
  <sheetViews>
    <sheetView showGridLines="0" topLeftCell="A4" zoomScale="85" zoomScaleNormal="85" workbookViewId="0">
      <selection activeCell="F36" sqref="F36"/>
    </sheetView>
  </sheetViews>
  <sheetFormatPr defaultColWidth="8.75" defaultRowHeight="18" customHeight="1"/>
  <cols>
    <col min="1" max="3" width="2.375" style="498" customWidth="1"/>
    <col min="4" max="4" width="30.625" style="509" customWidth="1"/>
    <col min="5" max="11" width="16.625" style="509" customWidth="1"/>
    <col min="12" max="12" width="10.625" style="509" customWidth="1"/>
    <col min="13" max="16384" width="8.75" style="498"/>
  </cols>
  <sheetData>
    <row r="3" spans="4:12" ht="18" customHeight="1" thickBot="1"/>
    <row r="4" spans="4:12" ht="18" customHeight="1">
      <c r="D4" s="2135" t="s">
        <v>1635</v>
      </c>
      <c r="E4" s="2137" t="s">
        <v>1636</v>
      </c>
      <c r="F4" s="2137"/>
      <c r="G4" s="2137"/>
      <c r="H4" s="2137"/>
      <c r="I4" s="2137"/>
      <c r="J4" s="2137" t="s">
        <v>1637</v>
      </c>
      <c r="K4" s="2139" t="s">
        <v>14</v>
      </c>
    </row>
    <row r="5" spans="4:12" ht="18" customHeight="1">
      <c r="D5" s="2136"/>
      <c r="E5" s="1323" t="s">
        <v>1638</v>
      </c>
      <c r="F5" s="1323" t="s">
        <v>12</v>
      </c>
      <c r="G5" s="1323" t="s">
        <v>194</v>
      </c>
      <c r="H5" s="1323" t="s">
        <v>1639</v>
      </c>
      <c r="I5" s="1323" t="s">
        <v>1640</v>
      </c>
      <c r="J5" s="2138"/>
      <c r="K5" s="2140"/>
    </row>
    <row r="6" spans="4:12" ht="18" customHeight="1">
      <c r="D6" s="1324" t="s">
        <v>2589</v>
      </c>
      <c r="E6" s="1325">
        <v>28429923500</v>
      </c>
      <c r="F6" s="1325">
        <v>178559577856</v>
      </c>
      <c r="G6" s="1326">
        <v>-310683954</v>
      </c>
      <c r="H6" s="1326">
        <v>-110877418434</v>
      </c>
      <c r="I6" s="1327">
        <v>95801398968</v>
      </c>
      <c r="J6" s="1325">
        <v>0</v>
      </c>
      <c r="K6" s="1328">
        <v>95801398968</v>
      </c>
      <c r="L6" s="840" t="b">
        <f>K6=T_CE!J6</f>
        <v>1</v>
      </c>
    </row>
    <row r="7" spans="4:12" ht="18" customHeight="1">
      <c r="D7" s="1329" t="s">
        <v>2793</v>
      </c>
      <c r="E7" s="1330">
        <f>SUM(E8:E10)</f>
        <v>0</v>
      </c>
      <c r="F7" s="1330">
        <f>SUM(F8:F10)</f>
        <v>0</v>
      </c>
      <c r="G7" s="1331">
        <f>SUM(G8:G10)</f>
        <v>-26075736</v>
      </c>
      <c r="H7" s="1331">
        <f>SUM(H8:H10)</f>
        <v>-875525615</v>
      </c>
      <c r="I7" s="1332">
        <f>SUM(I8:I10)</f>
        <v>-901601351</v>
      </c>
      <c r="J7" s="1330" t="s">
        <v>611</v>
      </c>
      <c r="K7" s="1333">
        <f t="shared" ref="K7:K15" si="0">SUM(I7:J7)</f>
        <v>-901601351</v>
      </c>
    </row>
    <row r="8" spans="4:12" ht="18" customHeight="1">
      <c r="D8" s="1863" t="s">
        <v>2794</v>
      </c>
      <c r="E8" s="1334">
        <v>0</v>
      </c>
      <c r="F8" s="1334">
        <v>0</v>
      </c>
      <c r="G8" s="1334">
        <v>0</v>
      </c>
      <c r="H8" s="1335">
        <f>'IS(공)'!M18</f>
        <v>-1122736577</v>
      </c>
      <c r="I8" s="1336">
        <f>SUM(E8:H8)</f>
        <v>-1122736577</v>
      </c>
      <c r="J8" s="1334" t="s">
        <v>611</v>
      </c>
      <c r="K8" s="1337">
        <f t="shared" si="0"/>
        <v>-1122736577</v>
      </c>
      <c r="L8" s="840" t="b">
        <f>H8=T_IS!AU127</f>
        <v>1</v>
      </c>
    </row>
    <row r="9" spans="4:12" ht="18" customHeight="1">
      <c r="D9" s="1863" t="s">
        <v>2785</v>
      </c>
      <c r="E9" s="1334">
        <v>0</v>
      </c>
      <c r="F9" s="1334">
        <v>0</v>
      </c>
      <c r="G9" s="1334">
        <v>0</v>
      </c>
      <c r="H9" s="1334">
        <f>T_CE!O27-T_CE!J27</f>
        <v>247210962</v>
      </c>
      <c r="I9" s="1338">
        <f>SUM(E9:H9)</f>
        <v>247210962</v>
      </c>
      <c r="J9" s="1334" t="s">
        <v>611</v>
      </c>
      <c r="K9" s="1339">
        <f t="shared" si="0"/>
        <v>247210962</v>
      </c>
    </row>
    <row r="10" spans="4:12" ht="18" customHeight="1">
      <c r="D10" s="1863" t="s">
        <v>2795</v>
      </c>
      <c r="E10" s="1334">
        <v>0</v>
      </c>
      <c r="F10" s="1334">
        <v>0</v>
      </c>
      <c r="G10" s="1335">
        <f>'IS(공)'!M25</f>
        <v>-26075736</v>
      </c>
      <c r="H10" s="1334">
        <v>0</v>
      </c>
      <c r="I10" s="1336">
        <f>SUM(E10:H10)</f>
        <v>-26075736</v>
      </c>
      <c r="J10" s="1334" t="s">
        <v>611</v>
      </c>
      <c r="K10" s="1337">
        <f t="shared" si="0"/>
        <v>-26075736</v>
      </c>
    </row>
    <row r="11" spans="4:12" ht="18" customHeight="1">
      <c r="D11" s="1329" t="s">
        <v>2796</v>
      </c>
      <c r="E11" s="1330">
        <f>SUM(E12:E14)</f>
        <v>0</v>
      </c>
      <c r="F11" s="1330">
        <f>SUM(F12:F14)</f>
        <v>118553929</v>
      </c>
      <c r="G11" s="1331">
        <f>SUM(G12:G14)</f>
        <v>149662035</v>
      </c>
      <c r="H11" s="1330">
        <f>SUM(H12:H14)</f>
        <v>0</v>
      </c>
      <c r="I11" s="1332">
        <f>SUM(I12:I14)</f>
        <v>268215964</v>
      </c>
      <c r="J11" s="1330" t="s">
        <v>611</v>
      </c>
      <c r="K11" s="1333">
        <f t="shared" si="0"/>
        <v>268215964</v>
      </c>
    </row>
    <row r="12" spans="4:12" ht="18" customHeight="1">
      <c r="D12" s="1863" t="s">
        <v>2797</v>
      </c>
      <c r="E12" s="1334">
        <v>0</v>
      </c>
      <c r="F12" s="1334">
        <v>0</v>
      </c>
      <c r="G12" s="1334">
        <v>0</v>
      </c>
      <c r="H12" s="1334">
        <v>0</v>
      </c>
      <c r="I12" s="1338">
        <f>SUM(E12:H12)</f>
        <v>0</v>
      </c>
      <c r="J12" s="1334" t="s">
        <v>611</v>
      </c>
      <c r="K12" s="1339">
        <f t="shared" si="0"/>
        <v>0</v>
      </c>
    </row>
    <row r="13" spans="4:12" ht="18" customHeight="1">
      <c r="D13" s="1863" t="s">
        <v>2798</v>
      </c>
      <c r="E13" s="1334">
        <v>0</v>
      </c>
      <c r="F13" s="1334">
        <v>0</v>
      </c>
      <c r="G13" s="1334">
        <v>0</v>
      </c>
      <c r="H13" s="1334">
        <v>0</v>
      </c>
      <c r="I13" s="1338">
        <f>SUM(E13:H13)</f>
        <v>0</v>
      </c>
      <c r="J13" s="1334">
        <v>0</v>
      </c>
      <c r="K13" s="1339">
        <f t="shared" si="0"/>
        <v>0</v>
      </c>
    </row>
    <row r="14" spans="4:12" ht="18" customHeight="1">
      <c r="D14" s="1863" t="s">
        <v>2799</v>
      </c>
      <c r="E14" s="1334" t="s">
        <v>611</v>
      </c>
      <c r="F14" s="1334">
        <f>T_CE!O15-T_CE!J15</f>
        <v>118553929</v>
      </c>
      <c r="G14" s="1334">
        <f>T_CE!O20-T_CE!J20</f>
        <v>149662035</v>
      </c>
      <c r="H14" s="1334" t="s">
        <v>611</v>
      </c>
      <c r="I14" s="1338">
        <f>SUM(E14:H14)</f>
        <v>268215964</v>
      </c>
      <c r="J14" s="1334" t="s">
        <v>611</v>
      </c>
      <c r="K14" s="1339">
        <f t="shared" si="0"/>
        <v>268215964</v>
      </c>
    </row>
    <row r="15" spans="4:12" ht="18" customHeight="1" thickBot="1">
      <c r="D15" s="1340" t="s">
        <v>2837</v>
      </c>
      <c r="E15" s="1341">
        <f>E6+E7+E11</f>
        <v>28429923500</v>
      </c>
      <c r="F15" s="1341">
        <f>F6+F7+F11</f>
        <v>178678131785</v>
      </c>
      <c r="G15" s="1342">
        <f>G6+G7+G11</f>
        <v>-187097655</v>
      </c>
      <c r="H15" s="1342">
        <f>H6+H7+H11</f>
        <v>-111752944049</v>
      </c>
      <c r="I15" s="1343">
        <f>I6+I7+I11</f>
        <v>95168013581</v>
      </c>
      <c r="J15" s="1341">
        <v>0</v>
      </c>
      <c r="K15" s="1344">
        <f t="shared" si="0"/>
        <v>95168013581</v>
      </c>
      <c r="L15" s="840" t="b">
        <f>K15=T_CE!O6</f>
        <v>1</v>
      </c>
    </row>
    <row r="16" spans="4:12" ht="18" customHeight="1">
      <c r="D16" s="1324" t="s">
        <v>2556</v>
      </c>
      <c r="E16" s="1345">
        <f>T_BS!AI233</f>
        <v>28429923500</v>
      </c>
      <c r="F16" s="1345">
        <f>T_BS!AI236</f>
        <v>178743993103</v>
      </c>
      <c r="G16" s="1346">
        <f>T_BS!AI241</f>
        <v>-315281392</v>
      </c>
      <c r="H16" s="1346">
        <f>T_BS!AI251</f>
        <v>-127219420734</v>
      </c>
      <c r="I16" s="1345">
        <f>SUM(E16:H16)</f>
        <v>79639214477</v>
      </c>
      <c r="J16" s="1345">
        <f>J15</f>
        <v>0</v>
      </c>
      <c r="K16" s="1347">
        <f>I16+J16</f>
        <v>79639214477</v>
      </c>
    </row>
    <row r="17" spans="4:13" ht="18" customHeight="1">
      <c r="D17" s="1329" t="s">
        <v>2800</v>
      </c>
      <c r="E17" s="1330">
        <f>SUM(E18:E21)</f>
        <v>0</v>
      </c>
      <c r="F17" s="1330">
        <f>SUM(F18:F21)</f>
        <v>0</v>
      </c>
      <c r="G17" s="1331">
        <f>SUM(G18:G21)</f>
        <v>-435952739</v>
      </c>
      <c r="H17" s="1330">
        <f>SUM(H18:H21)</f>
        <v>31200412229</v>
      </c>
      <c r="I17" s="1330">
        <f>SUM(I18:I21)</f>
        <v>30764459490</v>
      </c>
      <c r="J17" s="1330">
        <f>SUM(J18:J20)</f>
        <v>0</v>
      </c>
      <c r="K17" s="1348">
        <f>SUM(K18:K21)</f>
        <v>30764459490</v>
      </c>
      <c r="L17" s="840" t="b">
        <f>I17='IS(공)'!H27</f>
        <v>1</v>
      </c>
      <c r="M17" s="498">
        <f>I17-'IS(공)'!H27</f>
        <v>0</v>
      </c>
    </row>
    <row r="18" spans="4:13" ht="18" customHeight="1">
      <c r="D18" s="1863" t="s">
        <v>2794</v>
      </c>
      <c r="E18" s="1334" t="s">
        <v>1949</v>
      </c>
      <c r="F18" s="1334" t="s">
        <v>611</v>
      </c>
      <c r="G18" s="1334" t="s">
        <v>611</v>
      </c>
      <c r="H18" s="1334">
        <f>'IS(공)'!H19</f>
        <v>29236497101</v>
      </c>
      <c r="I18" s="1338">
        <f t="shared" ref="I18:I25" si="1">SUM(E18:H18)</f>
        <v>29236497101</v>
      </c>
      <c r="J18" s="1334" t="s">
        <v>611</v>
      </c>
      <c r="K18" s="1339">
        <f t="shared" ref="K18:K25" si="2">SUM(I18:J18)</f>
        <v>29236497101</v>
      </c>
      <c r="L18" s="840" t="b">
        <f>I18=T_IS!X128</f>
        <v>1</v>
      </c>
    </row>
    <row r="19" spans="4:13" ht="18" customHeight="1">
      <c r="D19" s="1863" t="s">
        <v>2801</v>
      </c>
      <c r="E19" s="1334" t="s">
        <v>611</v>
      </c>
      <c r="F19" s="1334" t="s">
        <v>611</v>
      </c>
      <c r="G19" s="1334" t="s">
        <v>611</v>
      </c>
      <c r="H19" s="1334">
        <f>T_CE!Z27</f>
        <v>1963915128</v>
      </c>
      <c r="I19" s="1338">
        <f t="shared" si="1"/>
        <v>1963915128</v>
      </c>
      <c r="J19" s="1334" t="s">
        <v>611</v>
      </c>
      <c r="K19" s="1339">
        <f t="shared" si="2"/>
        <v>1963915128</v>
      </c>
    </row>
    <row r="20" spans="4:13" ht="18" customHeight="1">
      <c r="D20" s="1864" t="s">
        <v>2775</v>
      </c>
      <c r="E20" s="1338"/>
      <c r="F20" s="1334" t="s">
        <v>611</v>
      </c>
      <c r="G20" s="1336">
        <f>T_CE!Z24</f>
        <v>-435952739</v>
      </c>
      <c r="H20" s="1338">
        <v>0</v>
      </c>
      <c r="I20" s="1336">
        <f t="shared" si="1"/>
        <v>-435952739</v>
      </c>
      <c r="J20" s="1334" t="s">
        <v>611</v>
      </c>
      <c r="K20" s="1337">
        <f t="shared" si="2"/>
        <v>-435952739</v>
      </c>
    </row>
    <row r="21" spans="4:13" ht="18" customHeight="1">
      <c r="D21" s="1821" t="s">
        <v>2809</v>
      </c>
      <c r="E21" s="1351">
        <v>0</v>
      </c>
      <c r="F21" s="1351">
        <v>0</v>
      </c>
      <c r="G21" s="1351">
        <f>T_CE!Y22</f>
        <v>0</v>
      </c>
      <c r="H21" s="1351">
        <v>0</v>
      </c>
      <c r="I21" s="1351">
        <f>SUM(E21:H21)</f>
        <v>0</v>
      </c>
      <c r="J21" s="1351">
        <v>0</v>
      </c>
      <c r="K21" s="1352">
        <f>SUM(I21:J21)</f>
        <v>0</v>
      </c>
    </row>
    <row r="22" spans="4:13" ht="18" customHeight="1">
      <c r="D22" s="1329" t="s">
        <v>2802</v>
      </c>
      <c r="E22" s="1349">
        <f t="shared" ref="E22:K22" si="3">SUM(E23:E26)</f>
        <v>9380863000</v>
      </c>
      <c r="F22" s="1332">
        <f t="shared" si="3"/>
        <v>-68039313150</v>
      </c>
      <c r="G22" s="1332">
        <f t="shared" si="3"/>
        <v>-358254803</v>
      </c>
      <c r="H22" s="1349">
        <f t="shared" si="3"/>
        <v>118931789842</v>
      </c>
      <c r="I22" s="1332">
        <f t="shared" si="3"/>
        <v>59915084889</v>
      </c>
      <c r="J22" s="1349">
        <f t="shared" si="3"/>
        <v>0</v>
      </c>
      <c r="K22" s="1333">
        <f t="shared" si="3"/>
        <v>59915084889</v>
      </c>
    </row>
    <row r="23" spans="4:13" ht="18" customHeight="1">
      <c r="D23" s="1863" t="s">
        <v>2803</v>
      </c>
      <c r="E23" s="1338">
        <f>T_CE!Z9</f>
        <v>0</v>
      </c>
      <c r="F23" s="1336">
        <f>T_CE!Z12+T_CE!Z14</f>
        <v>-118931789842</v>
      </c>
      <c r="G23" s="1338">
        <v>0</v>
      </c>
      <c r="H23" s="1350">
        <f>-F23</f>
        <v>118931789842</v>
      </c>
      <c r="I23" s="1338">
        <f t="shared" si="1"/>
        <v>0</v>
      </c>
      <c r="J23" s="1338">
        <v>0</v>
      </c>
      <c r="K23" s="1339">
        <f t="shared" si="2"/>
        <v>0</v>
      </c>
    </row>
    <row r="24" spans="4:13" ht="18" customHeight="1">
      <c r="D24" s="2097" t="s">
        <v>2924</v>
      </c>
      <c r="E24" s="2098">
        <f>T_CE!Y10</f>
        <v>9380863000</v>
      </c>
      <c r="F24" s="2099">
        <f>T_CE!Y13</f>
        <v>50562851570</v>
      </c>
      <c r="G24" s="2098">
        <v>0</v>
      </c>
      <c r="H24" s="2100">
        <v>0</v>
      </c>
      <c r="I24" s="2098">
        <f t="shared" si="1"/>
        <v>59943714570</v>
      </c>
      <c r="J24" s="2098"/>
      <c r="K24" s="2101">
        <f t="shared" si="2"/>
        <v>59943714570</v>
      </c>
    </row>
    <row r="25" spans="4:13" ht="18" customHeight="1">
      <c r="D25" s="1863" t="s">
        <v>2804</v>
      </c>
      <c r="E25" s="1338">
        <v>0</v>
      </c>
      <c r="F25" s="1338">
        <f>T_CE!Z15</f>
        <v>329625122</v>
      </c>
      <c r="G25" s="1336">
        <f>T_CE!AB20-T_CE!Z15</f>
        <v>-360723780</v>
      </c>
      <c r="H25" s="1338">
        <v>0</v>
      </c>
      <c r="I25" s="1336">
        <f t="shared" si="1"/>
        <v>-31098658</v>
      </c>
      <c r="J25" s="1338">
        <v>0</v>
      </c>
      <c r="K25" s="1337">
        <f t="shared" si="2"/>
        <v>-31098658</v>
      </c>
    </row>
    <row r="26" spans="4:13" ht="18" customHeight="1">
      <c r="D26" s="1863" t="s">
        <v>2877</v>
      </c>
      <c r="E26" s="1334">
        <v>0</v>
      </c>
      <c r="F26" s="1334">
        <v>0</v>
      </c>
      <c r="G26" s="1334">
        <f>T_CE!Z17+T_CE!Z18</f>
        <v>2468977</v>
      </c>
      <c r="H26" s="1334">
        <v>0</v>
      </c>
      <c r="I26" s="1338">
        <f>SUM(E26:H26)</f>
        <v>2468977</v>
      </c>
      <c r="J26" s="1334">
        <v>0</v>
      </c>
      <c r="K26" s="1339">
        <f>SUM(I26:J26)</f>
        <v>2468977</v>
      </c>
      <c r="L26" s="840"/>
    </row>
    <row r="27" spans="4:13" ht="18" customHeight="1" thickBot="1">
      <c r="D27" s="1340" t="s">
        <v>2836</v>
      </c>
      <c r="E27" s="1353">
        <f t="shared" ref="E27:K27" si="4">SUM(E22,E16)+E17</f>
        <v>37810786500</v>
      </c>
      <c r="F27" s="1353">
        <f t="shared" si="4"/>
        <v>110704679953</v>
      </c>
      <c r="G27" s="1354">
        <f t="shared" si="4"/>
        <v>-1109488934</v>
      </c>
      <c r="H27" s="1353">
        <f t="shared" si="4"/>
        <v>22912781337</v>
      </c>
      <c r="I27" s="1353">
        <f t="shared" si="4"/>
        <v>170318758856</v>
      </c>
      <c r="J27" s="1353">
        <f t="shared" si="4"/>
        <v>0</v>
      </c>
      <c r="K27" s="1355">
        <f t="shared" si="4"/>
        <v>170318758856</v>
      </c>
    </row>
    <row r="28" spans="4:13" ht="18" customHeight="1">
      <c r="D28" s="1798" t="s">
        <v>2049</v>
      </c>
      <c r="E28" s="1357">
        <f>T_BS!AI233</f>
        <v>28429923500</v>
      </c>
      <c r="F28" s="1357">
        <f>T_BS!AI236</f>
        <v>178743993103</v>
      </c>
      <c r="G28" s="1358">
        <f>T_BS!AI241</f>
        <v>-315281392</v>
      </c>
      <c r="H28" s="1358">
        <f>T_BS!AI251</f>
        <v>-127219420734</v>
      </c>
      <c r="I28" s="1357">
        <f>SUM(E28:H28)</f>
        <v>79639214477</v>
      </c>
      <c r="J28" s="1357"/>
      <c r="K28" s="1357">
        <f>T_BS!AI232</f>
        <v>79639214477</v>
      </c>
    </row>
    <row r="29" spans="4:13" ht="18" customHeight="1">
      <c r="D29" s="1798" t="s">
        <v>2050</v>
      </c>
      <c r="E29" s="1357">
        <f>T_BS!X233</f>
        <v>37810786500</v>
      </c>
      <c r="F29" s="1357">
        <f>T_BS!X236</f>
        <v>110704679953</v>
      </c>
      <c r="G29" s="1358">
        <f>T_BS!X241</f>
        <v>-1109488934</v>
      </c>
      <c r="H29" s="1357">
        <f>T_BS!X251</f>
        <v>22912781337</v>
      </c>
      <c r="I29" s="1357">
        <f>SUM(E29:H29)</f>
        <v>170318758856</v>
      </c>
      <c r="J29" s="1357"/>
      <c r="K29" s="1357">
        <f>T_BS!X232</f>
        <v>170318758856</v>
      </c>
    </row>
    <row r="30" spans="4:13" s="540" customFormat="1" ht="18" customHeight="1">
      <c r="D30" s="840"/>
      <c r="E30" s="840" t="b">
        <f>E28=E16</f>
        <v>1</v>
      </c>
      <c r="F30" s="840" t="b">
        <f>F28=F16</f>
        <v>1</v>
      </c>
      <c r="G30" s="840" t="b">
        <f>G28=G16</f>
        <v>1</v>
      </c>
      <c r="H30" s="840" t="b">
        <f>H28=H16</f>
        <v>1</v>
      </c>
      <c r="I30" s="840" t="b">
        <f>I28=I16</f>
        <v>1</v>
      </c>
      <c r="J30" s="840"/>
      <c r="K30" s="840" t="b">
        <f>K28=K16</f>
        <v>1</v>
      </c>
      <c r="L30" s="840"/>
    </row>
    <row r="31" spans="4:13" s="540" customFormat="1" ht="18" customHeight="1">
      <c r="D31" s="840"/>
      <c r="E31" s="840" t="b">
        <f>E27=E29</f>
        <v>1</v>
      </c>
      <c r="F31" s="840" t="b">
        <f>F27=F29</f>
        <v>1</v>
      </c>
      <c r="G31" s="840" t="b">
        <f>G27=G29</f>
        <v>1</v>
      </c>
      <c r="H31" s="840" t="b">
        <f>H27=H29</f>
        <v>1</v>
      </c>
      <c r="I31" s="840" t="b">
        <f>I27=I29</f>
        <v>1</v>
      </c>
      <c r="J31" s="840"/>
      <c r="K31" s="840" t="b">
        <f>K27=K29</f>
        <v>1</v>
      </c>
      <c r="L31" s="840"/>
    </row>
  </sheetData>
  <mergeCells count="4">
    <mergeCell ref="D4:D5"/>
    <mergeCell ref="E4:I4"/>
    <mergeCell ref="J4:J5"/>
    <mergeCell ref="K4:K5"/>
  </mergeCells>
  <phoneticPr fontId="22" type="noConversion"/>
  <pageMargins left="0.7" right="0.7" top="0.75" bottom="0.75" header="0.3" footer="0.3"/>
  <pageSetup paperSize="9" orientation="portrait" r:id="rId1"/>
  <ignoredErrors>
    <ignoredError sqref="I11:K11 I14:K14 J12 J30:J31 J16 I15:J15 L28:L31 I19:K20 I17:J17 J18:K18 K25 H25:I25 H23 H27:K27 J28:J29 E22:K22 E28:I29 K28:K29 E27:G27 E24 E23:G23 I23:K23 E26:K26 E25:G25 J25 G24:K24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>
    <tabColor rgb="FF002060"/>
  </sheetPr>
  <dimension ref="B2:P109"/>
  <sheetViews>
    <sheetView showGridLines="0" zoomScale="85" zoomScaleNormal="85" workbookViewId="0">
      <pane xSplit="4" ySplit="4" topLeftCell="E5" activePane="bottomRight" state="frozen"/>
      <selection activeCell="F26" sqref="F26"/>
      <selection pane="topRight" activeCell="F26" sqref="F26"/>
      <selection pane="bottomLeft" activeCell="F26" sqref="F26"/>
      <selection pane="bottomRight" activeCell="G12" sqref="G12"/>
    </sheetView>
  </sheetViews>
  <sheetFormatPr defaultColWidth="8.75" defaultRowHeight="18" customHeight="1"/>
  <cols>
    <col min="1" max="3" width="2.375" style="509" customWidth="1"/>
    <col min="4" max="5" width="43.625" style="563" bestFit="1" customWidth="1"/>
    <col min="6" max="6" width="17.625" style="509" customWidth="1"/>
    <col min="7" max="10" width="17.625" style="498" customWidth="1"/>
    <col min="11" max="12" width="17.625" style="509" customWidth="1"/>
    <col min="13" max="13" width="2.375" style="509" customWidth="1"/>
    <col min="14" max="14" width="48" style="509" customWidth="1"/>
    <col min="15" max="16" width="17.875" style="509" customWidth="1"/>
    <col min="17" max="19" width="20.375" style="509" customWidth="1"/>
    <col min="20" max="16384" width="8.75" style="509"/>
  </cols>
  <sheetData>
    <row r="2" spans="4:16" ht="17.25" customHeight="1">
      <c r="G2" s="509"/>
      <c r="H2" s="509"/>
      <c r="I2" s="509"/>
      <c r="J2" s="509"/>
    </row>
    <row r="3" spans="4:16" ht="18" customHeight="1" thickBot="1">
      <c r="F3" s="840" t="b">
        <f>F7=T_IS!X127</f>
        <v>0</v>
      </c>
      <c r="G3" s="540" t="b">
        <f>G7=T_IS!AS127</f>
        <v>1</v>
      </c>
      <c r="H3" s="540" t="b">
        <f>H7=T_IS!AU127</f>
        <v>1</v>
      </c>
      <c r="I3" s="540" t="b">
        <f>I7=T_IS!AV127</f>
        <v>1</v>
      </c>
      <c r="J3" s="540" t="b">
        <f>J7=T_IS!AW127</f>
        <v>1</v>
      </c>
      <c r="K3" s="840"/>
    </row>
    <row r="4" spans="4:16" s="562" customFormat="1" ht="18" customHeight="1">
      <c r="D4" s="567" t="s">
        <v>1390</v>
      </c>
      <c r="E4" s="568" t="s">
        <v>17</v>
      </c>
      <c r="F4" s="1290" t="str">
        <f>T_BS!X5</f>
        <v>FY2022.Q4</v>
      </c>
      <c r="G4" s="568" t="s">
        <v>2363</v>
      </c>
      <c r="H4" s="568" t="s">
        <v>2542</v>
      </c>
      <c r="I4" s="568" t="s">
        <v>2543</v>
      </c>
      <c r="J4" s="568" t="s">
        <v>2544</v>
      </c>
      <c r="K4" s="568" t="s">
        <v>2545</v>
      </c>
      <c r="L4" s="569" t="s">
        <v>2546</v>
      </c>
      <c r="N4" s="1831"/>
      <c r="O4" s="1832" t="s">
        <v>2307</v>
      </c>
      <c r="P4" s="1833" t="s">
        <v>2308</v>
      </c>
    </row>
    <row r="5" spans="4:16" ht="18" customHeight="1">
      <c r="D5" s="1291" t="s">
        <v>1391</v>
      </c>
      <c r="E5" s="1292"/>
      <c r="F5" s="1293">
        <f>SUM(F6,F62:F65)</f>
        <v>10895330657</v>
      </c>
      <c r="G5" s="1293">
        <f>SUM(G6,G62:G65)</f>
        <v>2393118644</v>
      </c>
      <c r="H5" s="1293">
        <f>SUM(H6,H62:H65)</f>
        <v>-115998252</v>
      </c>
      <c r="I5" s="1293">
        <f>SUM(I6,I62:I65)</f>
        <v>13554583220</v>
      </c>
      <c r="J5" s="1293">
        <f>SUM(J6,J62:J64)</f>
        <v>-21320454785</v>
      </c>
      <c r="K5" s="1293">
        <f>SUM(K6,K62:K64)</f>
        <v>15223219402</v>
      </c>
      <c r="L5" s="1294">
        <f>SUM(L6,L62:L64)</f>
        <v>-1387694872</v>
      </c>
      <c r="N5" s="1430" t="s">
        <v>2207</v>
      </c>
      <c r="O5" s="1438">
        <v>411907101</v>
      </c>
      <c r="P5" s="1439">
        <v>-7547679735</v>
      </c>
    </row>
    <row r="6" spans="4:16" s="952" customFormat="1" ht="18" customHeight="1">
      <c r="D6" s="1295" t="s">
        <v>1392</v>
      </c>
      <c r="E6" s="1296"/>
      <c r="F6" s="1297">
        <f t="shared" ref="F6:L6" si="0">SUM(F7,F8,F50)</f>
        <v>9960755432</v>
      </c>
      <c r="G6" s="1297">
        <f t="shared" si="0"/>
        <v>2218295859</v>
      </c>
      <c r="H6" s="1297">
        <f t="shared" si="0"/>
        <v>-199858079</v>
      </c>
      <c r="I6" s="1297">
        <f t="shared" si="0"/>
        <v>13424920358</v>
      </c>
      <c r="J6" s="1297">
        <f t="shared" si="0"/>
        <v>-21261163738</v>
      </c>
      <c r="K6" s="1297">
        <f t="shared" si="0"/>
        <v>14701684571</v>
      </c>
      <c r="L6" s="1298">
        <f t="shared" si="0"/>
        <v>-1920423146</v>
      </c>
      <c r="N6" s="1430" t="s">
        <v>2208</v>
      </c>
      <c r="O6" s="1438">
        <v>-9044916322</v>
      </c>
      <c r="P6" s="1439">
        <v>-23309511582</v>
      </c>
    </row>
    <row r="7" spans="4:16" s="952" customFormat="1" ht="18" customHeight="1">
      <c r="D7" s="1299" t="s">
        <v>2439</v>
      </c>
      <c r="E7" s="1300" t="s">
        <v>382</v>
      </c>
      <c r="F7" s="1301">
        <f>ROUND(SUMIF('CF.1'!$F:$F,'CF(공)_1.0'!E7,'CF.1'!$U:$U),0)</f>
        <v>45209287556</v>
      </c>
      <c r="G7" s="1301">
        <v>-16103093025</v>
      </c>
      <c r="H7" s="1301">
        <v>-1122736577</v>
      </c>
      <c r="I7" s="1301">
        <v>-14901537446</v>
      </c>
      <c r="J7" s="1301">
        <v>2175396058</v>
      </c>
      <c r="K7" s="1301">
        <v>-23067872601</v>
      </c>
      <c r="L7" s="1315">
        <v>-48005522146</v>
      </c>
      <c r="N7" s="1430" t="s">
        <v>2209</v>
      </c>
      <c r="O7" s="1438">
        <v>7384115568</v>
      </c>
      <c r="P7" s="1439">
        <v>22604636019</v>
      </c>
    </row>
    <row r="8" spans="4:16" s="952" customFormat="1" ht="18" customHeight="1">
      <c r="D8" s="1299" t="s">
        <v>1393</v>
      </c>
      <c r="E8" s="1302"/>
      <c r="F8" s="1301">
        <f t="shared" ref="F8:L8" si="1">SUM(F9:F49)</f>
        <v>-37715617775</v>
      </c>
      <c r="G8" s="1301">
        <f t="shared" si="1"/>
        <v>30446241780</v>
      </c>
      <c r="H8" s="1301">
        <f t="shared" si="1"/>
        <v>13217775801</v>
      </c>
      <c r="I8" s="1301">
        <f t="shared" si="1"/>
        <v>21793731530</v>
      </c>
      <c r="J8" s="1301">
        <f t="shared" si="1"/>
        <v>1083911601</v>
      </c>
      <c r="K8" s="1301">
        <f t="shared" si="1"/>
        <v>21446164110</v>
      </c>
      <c r="L8" s="1315">
        <f t="shared" si="1"/>
        <v>46922482424</v>
      </c>
      <c r="N8" s="1430" t="s">
        <v>2210</v>
      </c>
      <c r="O8" s="1438">
        <v>-190300445</v>
      </c>
      <c r="P8" s="1439">
        <v>-176386430</v>
      </c>
    </row>
    <row r="9" spans="4:16" ht="18" customHeight="1">
      <c r="D9" s="1313" t="s">
        <v>2714</v>
      </c>
      <c r="E9" s="1304" t="s">
        <v>380</v>
      </c>
      <c r="F9" s="1308">
        <f>ROUND(SUMIF('CF.1'!$F:$F,'CF(공)_1.0'!E9,'CF.1'!$U:$U),0)</f>
        <v>315254908</v>
      </c>
      <c r="G9" s="1308">
        <v>258216482</v>
      </c>
      <c r="H9" s="1308">
        <v>464597147</v>
      </c>
      <c r="I9" s="1308">
        <v>241042872</v>
      </c>
      <c r="J9" s="1308">
        <v>116907703</v>
      </c>
      <c r="K9" s="1308">
        <v>-1980322895</v>
      </c>
      <c r="L9" s="1878">
        <v>70238074</v>
      </c>
      <c r="N9" s="1430" t="s">
        <v>2211</v>
      </c>
      <c r="O9" s="1438">
        <v>1254048545</v>
      </c>
      <c r="P9" s="1439">
        <v>1090950612</v>
      </c>
    </row>
    <row r="10" spans="4:16" ht="18" customHeight="1">
      <c r="D10" s="1309" t="s">
        <v>2715</v>
      </c>
      <c r="E10" s="1307" t="s">
        <v>262</v>
      </c>
      <c r="F10" s="1308">
        <f>ROUND(SUMIF('CF.1'!$F:$F,'CF(공)_1.0'!E10,'CF.1'!$U:$U),0)</f>
        <v>1438114849</v>
      </c>
      <c r="G10" s="1308">
        <v>1793869353</v>
      </c>
      <c r="H10" s="1308">
        <v>1327209602</v>
      </c>
      <c r="I10" s="1308">
        <v>883413247</v>
      </c>
      <c r="J10" s="1308">
        <v>445699323</v>
      </c>
      <c r="K10" s="1308">
        <v>1681402629</v>
      </c>
      <c r="L10" s="1878">
        <v>1094304358</v>
      </c>
      <c r="N10" s="1430" t="s">
        <v>2212</v>
      </c>
      <c r="O10" s="1438">
        <v>607214925</v>
      </c>
      <c r="P10" s="1439">
        <v>286464264</v>
      </c>
    </row>
    <row r="11" spans="4:16" ht="18" customHeight="1">
      <c r="D11" s="1309" t="s">
        <v>2716</v>
      </c>
      <c r="E11" s="1307" t="s">
        <v>488</v>
      </c>
      <c r="F11" s="1308">
        <f>+'CF.1'!U11+'CF.1'!U12</f>
        <v>3181367765</v>
      </c>
      <c r="G11" s="1308">
        <v>3981628346</v>
      </c>
      <c r="H11" s="1308">
        <v>2730694635</v>
      </c>
      <c r="I11" s="1308">
        <v>1787366989</v>
      </c>
      <c r="J11" s="1308">
        <v>916306606</v>
      </c>
      <c r="K11" s="1308">
        <v>3307331285</v>
      </c>
      <c r="L11" s="1878">
        <v>3630891654</v>
      </c>
      <c r="N11" s="1430" t="s">
        <v>2213</v>
      </c>
      <c r="O11" s="1438">
        <v>214584279</v>
      </c>
      <c r="P11" s="1439">
        <v>1849192734</v>
      </c>
    </row>
    <row r="12" spans="4:16" ht="18" customHeight="1">
      <c r="D12" s="1309" t="s">
        <v>2717</v>
      </c>
      <c r="E12" s="1307" t="s">
        <v>386</v>
      </c>
      <c r="F12" s="1308">
        <f>ROUND(SUMIF('CF.1'!$F:$F,'CF(공)_1.0'!E12,'CF.1'!$U:$U),0)</f>
        <v>2714238500</v>
      </c>
      <c r="G12" s="1308">
        <v>3872968423</v>
      </c>
      <c r="H12" s="1308">
        <v>2889770633</v>
      </c>
      <c r="I12" s="1308">
        <v>1935563251</v>
      </c>
      <c r="J12" s="1308">
        <v>1038952376</v>
      </c>
      <c r="K12" s="1308">
        <v>6564079983</v>
      </c>
      <c r="L12" s="1878">
        <v>7923879010</v>
      </c>
      <c r="N12" s="1430" t="s">
        <v>2214</v>
      </c>
      <c r="O12" s="1438">
        <v>2579876493</v>
      </c>
      <c r="P12" s="1439">
        <v>2649938812</v>
      </c>
    </row>
    <row r="13" spans="4:16" ht="18" customHeight="1">
      <c r="D13" s="1309" t="s">
        <v>2718</v>
      </c>
      <c r="E13" s="1307" t="s">
        <v>758</v>
      </c>
      <c r="F13" s="1308">
        <f>ROUND(SUMIF('CF.1'!$F:$F,'CF(공)_1.0'!E13,'CF.1'!$U:$U),0)</f>
        <v>-56133700</v>
      </c>
      <c r="G13" s="1308">
        <v>329722924</v>
      </c>
      <c r="H13" s="1308">
        <v>268215964</v>
      </c>
      <c r="I13" s="1308">
        <v>193291355</v>
      </c>
      <c r="J13" s="1308">
        <v>131581039</v>
      </c>
      <c r="K13" s="1308">
        <v>624260187</v>
      </c>
      <c r="L13" s="1878">
        <v>674683389</v>
      </c>
      <c r="N13" s="1430" t="s">
        <v>2215</v>
      </c>
      <c r="O13" s="1438">
        <v>4974888158</v>
      </c>
      <c r="P13" s="1439">
        <v>5884878451</v>
      </c>
    </row>
    <row r="14" spans="4:16" ht="18" customHeight="1">
      <c r="D14" s="1309" t="s">
        <v>2719</v>
      </c>
      <c r="E14" s="1307" t="s">
        <v>1416</v>
      </c>
      <c r="F14" s="1308">
        <f>ROUND(SUMIF('CF.1'!$F:$F,'CF(공)_1.0'!E14,'CF.1'!$U:$U),0)</f>
        <v>11147782</v>
      </c>
      <c r="G14" s="1308">
        <v>-410162407</v>
      </c>
      <c r="H14" s="1308">
        <v>-222716469</v>
      </c>
      <c r="I14" s="1308">
        <v>-207056800</v>
      </c>
      <c r="J14" s="1308">
        <v>-79674763</v>
      </c>
      <c r="K14" s="1308">
        <v>-28983221</v>
      </c>
      <c r="L14" s="1878">
        <v>370148656</v>
      </c>
      <c r="N14" s="1430" t="s">
        <v>2216</v>
      </c>
      <c r="O14" s="1438">
        <v>-42916716</v>
      </c>
      <c r="P14" s="1439">
        <v>-158210584</v>
      </c>
    </row>
    <row r="15" spans="4:16" ht="18" customHeight="1">
      <c r="D15" s="1309" t="s">
        <v>2720</v>
      </c>
      <c r="E15" s="1307" t="s">
        <v>1768</v>
      </c>
      <c r="F15" s="1308">
        <f>ROUND(SUMIF('CF.1'!$F:$F,'CF(공)_1.0'!E15,'CF.1'!$U:$U),0)</f>
        <v>0</v>
      </c>
      <c r="G15" s="1308">
        <v>1160000222</v>
      </c>
      <c r="H15" s="1308">
        <v>523004174</v>
      </c>
      <c r="I15" s="1308">
        <v>0</v>
      </c>
      <c r="J15" s="1308">
        <v>0</v>
      </c>
      <c r="K15" s="1308">
        <v>4200000000</v>
      </c>
      <c r="L15" s="1878">
        <v>0</v>
      </c>
      <c r="N15" s="1430" t="s">
        <v>2217</v>
      </c>
      <c r="O15" s="1438">
        <v>6083829</v>
      </c>
      <c r="P15" s="1439">
        <v>1193650</v>
      </c>
    </row>
    <row r="16" spans="4:16" ht="18" customHeight="1">
      <c r="D16" s="1309" t="s">
        <v>2721</v>
      </c>
      <c r="E16" s="1307" t="s">
        <v>1414</v>
      </c>
      <c r="F16" s="1308">
        <f>ROUND(SUMIF('CF.1'!$F:$F,'CF(공)_1.0'!E16,'CF.1'!$U:$U),0)</f>
        <v>0</v>
      </c>
      <c r="G16" s="1308">
        <v>0</v>
      </c>
      <c r="H16" s="1308">
        <v>0</v>
      </c>
      <c r="I16" s="1308">
        <v>0</v>
      </c>
      <c r="J16" s="1308">
        <v>0</v>
      </c>
      <c r="K16" s="1308">
        <v>0</v>
      </c>
      <c r="L16" s="1878">
        <v>0</v>
      </c>
      <c r="N16" s="1430" t="s">
        <v>2218</v>
      </c>
      <c r="O16" s="1438">
        <v>125280914</v>
      </c>
      <c r="P16" s="1439">
        <v>460527432</v>
      </c>
    </row>
    <row r="17" spans="4:16" ht="18" customHeight="1">
      <c r="D17" s="1309" t="s">
        <v>2538</v>
      </c>
      <c r="E17" s="1307" t="s">
        <v>2539</v>
      </c>
      <c r="F17" s="1308">
        <f>ROUND(SUMIF('CF.1'!$F:$F,'CF(공)_1.0'!E17,'CF.1'!$U:$U),0)</f>
        <v>70302627</v>
      </c>
      <c r="G17" s="1308">
        <v>1759198</v>
      </c>
      <c r="H17" s="1308">
        <v>-39836013</v>
      </c>
      <c r="I17" s="1308">
        <v>-39836013</v>
      </c>
      <c r="J17" s="1308">
        <v>0</v>
      </c>
      <c r="K17" s="1308">
        <v>-41664330</v>
      </c>
      <c r="L17" s="1878">
        <v>-126485643</v>
      </c>
      <c r="N17" s="1430" t="s">
        <v>2219</v>
      </c>
      <c r="O17" s="1438">
        <v>145026303</v>
      </c>
      <c r="P17" s="1439">
        <v>138454977</v>
      </c>
    </row>
    <row r="18" spans="4:16" ht="18" customHeight="1">
      <c r="D18" s="1309" t="s">
        <v>2722</v>
      </c>
      <c r="E18" s="1307" t="s">
        <v>1417</v>
      </c>
      <c r="F18" s="1308">
        <f>ROUND(SUMIF('CF.1'!$F:$F,'CF(공)_1.0'!E18,'CF.1'!$U:$U),0)</f>
        <v>7476589</v>
      </c>
      <c r="G18" s="1308">
        <v>9882603</v>
      </c>
      <c r="H18" s="1308">
        <v>6700540</v>
      </c>
      <c r="I18" s="1308">
        <v>4426025</v>
      </c>
      <c r="J18" s="1308">
        <v>726466</v>
      </c>
      <c r="K18" s="1308">
        <v>15816486</v>
      </c>
      <c r="L18" s="1878">
        <v>3259565</v>
      </c>
      <c r="N18" s="1430" t="s">
        <v>2220</v>
      </c>
      <c r="O18" s="1438">
        <v>1000</v>
      </c>
      <c r="P18" s="1439">
        <v>25430480</v>
      </c>
    </row>
    <row r="19" spans="4:16" ht="18" customHeight="1">
      <c r="D19" s="1309" t="s">
        <v>2723</v>
      </c>
      <c r="E19" s="1307" t="s">
        <v>2055</v>
      </c>
      <c r="F19" s="1308">
        <f>ROUND(SUMIF('CF.1'!$F:$F,'CF(공)_1.0'!E19,'CF.1'!$U:$U),0)</f>
        <v>-24366597</v>
      </c>
      <c r="G19" s="1308">
        <v>-4608270224</v>
      </c>
      <c r="H19" s="1308">
        <v>-3210841402</v>
      </c>
      <c r="I19" s="1308">
        <v>-575849774</v>
      </c>
      <c r="J19" s="1308">
        <v>-318497577</v>
      </c>
      <c r="K19" s="1308">
        <v>-2123496016</v>
      </c>
      <c r="L19" s="1878">
        <v>11063844077</v>
      </c>
      <c r="N19" s="1430" t="s">
        <v>2221</v>
      </c>
      <c r="O19" s="1438">
        <v>-2620696099</v>
      </c>
      <c r="P19" s="1439">
        <v>10641367768</v>
      </c>
    </row>
    <row r="20" spans="4:16" ht="18" customHeight="1">
      <c r="D20" s="1309" t="s">
        <v>1951</v>
      </c>
      <c r="E20" s="1307" t="s">
        <v>1951</v>
      </c>
      <c r="F20" s="1308">
        <f>ROUND(SUMIF('CF.1'!$F:$F,'CF(공)_1.0'!E20,'CF.1'!$U:$U),0)</f>
        <v>418674455</v>
      </c>
      <c r="G20" s="1308">
        <v>2804774839</v>
      </c>
      <c r="H20" s="1308">
        <v>2774531952</v>
      </c>
      <c r="I20" s="1308">
        <v>101477550</v>
      </c>
      <c r="J20" s="1308">
        <v>101671692</v>
      </c>
      <c r="K20" s="1308">
        <v>1012691176</v>
      </c>
      <c r="L20" s="1878"/>
      <c r="N20" s="1430" t="s">
        <v>2309</v>
      </c>
      <c r="O20" s="1438">
        <v>997450462</v>
      </c>
      <c r="P20" s="1433"/>
    </row>
    <row r="21" spans="4:16" ht="18" customHeight="1">
      <c r="D21" s="1309" t="s">
        <v>2724</v>
      </c>
      <c r="E21" s="1307" t="s">
        <v>681</v>
      </c>
      <c r="F21" s="1308">
        <f>ROUND(SUMIF('CF.1'!$F:$F,'CF(공)_1.0'!E21,'CF.1'!$U:$U),0)</f>
        <v>195958275</v>
      </c>
      <c r="G21" s="1308">
        <v>300912198</v>
      </c>
      <c r="H21" s="1308">
        <v>230445961</v>
      </c>
      <c r="I21" s="1308">
        <v>155924169</v>
      </c>
      <c r="J21" s="1308">
        <v>83985271</v>
      </c>
      <c r="K21" s="1308">
        <v>172075657</v>
      </c>
      <c r="L21" s="1878">
        <v>533101318</v>
      </c>
      <c r="N21" s="1430" t="s">
        <v>2222</v>
      </c>
      <c r="O21" s="1432"/>
      <c r="P21" s="1439">
        <v>127467924</v>
      </c>
    </row>
    <row r="22" spans="4:16" ht="18" customHeight="1">
      <c r="D22" s="1309" t="s">
        <v>2725</v>
      </c>
      <c r="E22" s="1307" t="s">
        <v>683</v>
      </c>
      <c r="F22" s="1308">
        <f>ROUND(SUMIF('CF.1'!$F:$F,'CF(공)_1.0'!E22,'CF.1'!$U:$U),0)</f>
        <v>103356804</v>
      </c>
      <c r="G22" s="1308">
        <v>59793028</v>
      </c>
      <c r="H22" s="1308">
        <v>5163970</v>
      </c>
      <c r="I22" s="1308">
        <v>70474098</v>
      </c>
      <c r="J22" s="1308">
        <v>68396826</v>
      </c>
      <c r="K22" s="1308">
        <v>2170624184</v>
      </c>
      <c r="L22" s="1878">
        <v>409104361</v>
      </c>
      <c r="N22" s="1430" t="s">
        <v>2223</v>
      </c>
      <c r="O22" s="1432"/>
      <c r="P22" s="1439">
        <v>928751274</v>
      </c>
    </row>
    <row r="23" spans="4:16" ht="18" customHeight="1">
      <c r="D23" s="1309" t="s">
        <v>2726</v>
      </c>
      <c r="E23" s="1307" t="s">
        <v>732</v>
      </c>
      <c r="F23" s="1308">
        <f>ROUND(SUMIF('CF.1'!$F:$F,'CF(공)_1.0'!E23,'CF.1'!$U:$U),0)</f>
        <v>62881122</v>
      </c>
      <c r="G23" s="1308">
        <v>0</v>
      </c>
      <c r="H23" s="1308">
        <v>0</v>
      </c>
      <c r="I23" s="1308">
        <v>0</v>
      </c>
      <c r="J23" s="1308">
        <v>0</v>
      </c>
      <c r="K23" s="1308">
        <v>0</v>
      </c>
      <c r="L23" s="1878">
        <v>127467924</v>
      </c>
      <c r="N23" s="1430" t="s">
        <v>2310</v>
      </c>
      <c r="O23" s="1438">
        <v>1000</v>
      </c>
      <c r="P23" s="1439">
        <v>15979275</v>
      </c>
    </row>
    <row r="24" spans="4:16" ht="18" customHeight="1">
      <c r="D24" s="1309" t="s">
        <v>2727</v>
      </c>
      <c r="E24" s="1307" t="s">
        <v>734</v>
      </c>
      <c r="F24" s="1308">
        <f>ROUND(SUMIF('CF.1'!$F:$F,'CF(공)_1.0'!E24,'CF.1'!$U:$U),0)</f>
        <v>216671</v>
      </c>
      <c r="G24" s="1308">
        <v>8217770</v>
      </c>
      <c r="H24" s="1308">
        <v>6081752</v>
      </c>
      <c r="I24" s="1308">
        <v>0</v>
      </c>
      <c r="J24" s="1308">
        <v>0</v>
      </c>
      <c r="K24" s="1308">
        <v>598158</v>
      </c>
      <c r="L24" s="1878">
        <v>15979275</v>
      </c>
      <c r="N24" s="1430" t="s">
        <v>2224</v>
      </c>
      <c r="O24" s="1438">
        <v>-499863792</v>
      </c>
      <c r="P24" s="1439">
        <v>-1096334591</v>
      </c>
    </row>
    <row r="25" spans="4:16" ht="18" customHeight="1">
      <c r="D25" s="1309" t="s">
        <v>2728</v>
      </c>
      <c r="E25" s="1307" t="s">
        <v>686</v>
      </c>
      <c r="F25" s="1308">
        <f>ROUND(SUMIF('CF.1'!$F:$F,'CF(공)_1.0'!E25,'CF.1'!$U:$U),0)</f>
        <v>242686686</v>
      </c>
      <c r="G25" s="1308">
        <v>585423259</v>
      </c>
      <c r="H25" s="1308">
        <v>0</v>
      </c>
      <c r="I25" s="1308">
        <v>0</v>
      </c>
      <c r="J25" s="1308">
        <v>0</v>
      </c>
      <c r="K25" s="1308">
        <v>5548640215</v>
      </c>
      <c r="L25" s="1878">
        <v>21824681843</v>
      </c>
      <c r="N25" s="1430" t="s">
        <v>2225</v>
      </c>
      <c r="O25" s="1438">
        <v>-144533089</v>
      </c>
      <c r="P25" s="1439">
        <v>-841087613</v>
      </c>
    </row>
    <row r="26" spans="4:16" ht="18" customHeight="1">
      <c r="D26" s="1313" t="s">
        <v>2729</v>
      </c>
      <c r="E26" s="1304" t="s">
        <v>687</v>
      </c>
      <c r="F26" s="1308">
        <f>ROUND(SUMIF('CF.1'!$F:$F,'CF(공)_1.0'!E26,'CF.1'!$U:$U),0)</f>
        <v>0</v>
      </c>
      <c r="G26" s="1308">
        <v>0</v>
      </c>
      <c r="H26" s="1308">
        <v>0</v>
      </c>
      <c r="I26" s="1308">
        <v>0</v>
      </c>
      <c r="J26" s="1308">
        <v>0</v>
      </c>
      <c r="K26" s="1308">
        <v>1000</v>
      </c>
      <c r="L26" s="1878">
        <v>25430480</v>
      </c>
      <c r="N26" s="1430" t="s">
        <v>2226</v>
      </c>
      <c r="O26" s="1432"/>
      <c r="P26" s="1439">
        <v>-22362745</v>
      </c>
    </row>
    <row r="27" spans="4:16" ht="18" customHeight="1">
      <c r="D27" s="1313" t="s">
        <v>2730</v>
      </c>
      <c r="E27" s="1304" t="s">
        <v>481</v>
      </c>
      <c r="F27" s="1308">
        <f>ROUND(SUMIF('CF.1'!$F:$F,'CF(공)_1.0'!E27,'CF.1'!$U:$U),0)</f>
        <v>0</v>
      </c>
      <c r="G27" s="1308">
        <v>0</v>
      </c>
      <c r="H27" s="1308">
        <v>0</v>
      </c>
      <c r="I27" s="1308">
        <v>0</v>
      </c>
      <c r="J27" s="1308">
        <v>0</v>
      </c>
      <c r="K27" s="1308">
        <v>0</v>
      </c>
      <c r="L27" s="1878">
        <v>0</v>
      </c>
      <c r="N27" s="1430" t="s">
        <v>2227</v>
      </c>
      <c r="O27" s="1432"/>
      <c r="P27" s="1439">
        <v>-221590</v>
      </c>
    </row>
    <row r="28" spans="4:16" ht="18" customHeight="1">
      <c r="D28" s="1313" t="s">
        <v>2731</v>
      </c>
      <c r="E28" s="1304" t="s">
        <v>377</v>
      </c>
      <c r="F28" s="1308">
        <f>ROUND(SUMIF('CF.1'!$F:$F,'CF(공)_1.0'!E28,'CF.1'!$U:$U),0)</f>
        <v>0</v>
      </c>
      <c r="G28" s="1308">
        <v>0</v>
      </c>
      <c r="H28" s="1308">
        <v>0</v>
      </c>
      <c r="I28" s="1308">
        <v>0</v>
      </c>
      <c r="J28" s="1308">
        <v>0</v>
      </c>
      <c r="K28" s="1308">
        <v>0</v>
      </c>
      <c r="L28" s="1878">
        <v>0</v>
      </c>
      <c r="N28" s="1430" t="s">
        <v>2311</v>
      </c>
      <c r="O28" s="1438">
        <v>-22030199</v>
      </c>
      <c r="P28" s="1433"/>
    </row>
    <row r="29" spans="4:16" ht="18" customHeight="1">
      <c r="D29" s="1313" t="s">
        <v>2732</v>
      </c>
      <c r="E29" s="1304" t="s">
        <v>1952</v>
      </c>
      <c r="F29" s="1308">
        <f>ROUND(SUMIF('CF.1'!$F:$F,'CF(공)_1.0'!E29,'CF.1'!$U:$U),0)</f>
        <v>0</v>
      </c>
      <c r="G29" s="1308">
        <v>773433</v>
      </c>
      <c r="H29" s="1308">
        <v>773433</v>
      </c>
      <c r="I29" s="1308">
        <v>0</v>
      </c>
      <c r="J29" s="1308">
        <v>0</v>
      </c>
      <c r="K29" s="1308">
        <v>0</v>
      </c>
      <c r="L29" s="1878"/>
      <c r="N29" s="1430" t="s">
        <v>2312</v>
      </c>
      <c r="O29" s="1432"/>
      <c r="P29" s="1439">
        <v>798641919</v>
      </c>
    </row>
    <row r="30" spans="4:16" ht="18" customHeight="1">
      <c r="D30" s="1313" t="s">
        <v>2733</v>
      </c>
      <c r="E30" s="1304" t="s">
        <v>1420</v>
      </c>
      <c r="F30" s="1308">
        <f>ROUND(SUMIF('CF.1'!$F:$F,'CF(공)_1.0'!E30,'CF.1'!$U:$U),0)</f>
        <v>2394018200</v>
      </c>
      <c r="G30" s="1308">
        <v>0</v>
      </c>
      <c r="H30" s="1308">
        <v>0</v>
      </c>
      <c r="I30" s="1308">
        <v>0</v>
      </c>
      <c r="J30" s="1308">
        <v>0</v>
      </c>
      <c r="K30" s="1308">
        <v>996359683</v>
      </c>
      <c r="L30" s="1878">
        <v>0</v>
      </c>
      <c r="N30" s="1430" t="s">
        <v>2228</v>
      </c>
      <c r="O30" s="1438">
        <v>1629987820</v>
      </c>
      <c r="P30" s="1439">
        <v>-7105255631</v>
      </c>
    </row>
    <row r="31" spans="4:16" ht="18" customHeight="1">
      <c r="D31" s="1313" t="s">
        <v>2734</v>
      </c>
      <c r="E31" s="1310" t="s">
        <v>2201</v>
      </c>
      <c r="F31" s="1308">
        <f>ROUND(SUMIF('CF.1'!$F:$F,'CF(공)_1.0'!E31,'CF.1'!$U:$U),0)</f>
        <v>0</v>
      </c>
      <c r="G31" s="1308">
        <v>23145377285</v>
      </c>
      <c r="H31" s="1308">
        <v>7995295060</v>
      </c>
      <c r="I31" s="1308">
        <v>18600112968</v>
      </c>
      <c r="J31" s="1308">
        <v>0</v>
      </c>
      <c r="K31" s="1308">
        <v>0</v>
      </c>
      <c r="L31" s="1878"/>
      <c r="N31" s="1430" t="s">
        <v>2229</v>
      </c>
      <c r="O31" s="1438">
        <v>3120271903</v>
      </c>
      <c r="P31" s="1439">
        <v>-8078032099</v>
      </c>
    </row>
    <row r="32" spans="4:16" ht="18" customHeight="1">
      <c r="D32" s="1313" t="s">
        <v>2735</v>
      </c>
      <c r="E32" s="1304" t="s">
        <v>1730</v>
      </c>
      <c r="F32" s="1308">
        <f>ROUND(SUMIF('CF.1'!$F:$F,'CF(공)_1.0'!E32,'CF.1'!$U:$U),0)</f>
        <v>0</v>
      </c>
      <c r="G32" s="1308">
        <v>0</v>
      </c>
      <c r="H32" s="1308">
        <v>0</v>
      </c>
      <c r="I32" s="1308">
        <v>0</v>
      </c>
      <c r="J32" s="1308">
        <v>0</v>
      </c>
      <c r="K32" s="1308">
        <v>0</v>
      </c>
      <c r="L32" s="1878">
        <v>0</v>
      </c>
      <c r="N32" s="1430" t="s">
        <v>2230</v>
      </c>
      <c r="O32" s="1438">
        <v>-10694192465</v>
      </c>
      <c r="P32" s="1439">
        <v>2235438664</v>
      </c>
    </row>
    <row r="33" spans="4:16" ht="18" customHeight="1">
      <c r="D33" s="1313" t="s">
        <v>2736</v>
      </c>
      <c r="E33" s="1304" t="s">
        <v>1731</v>
      </c>
      <c r="F33" s="1308">
        <f>ROUND(SUMIF('CF.1'!$F:$F,'CF(공)_1.0'!E33,'CF.1'!$U:$U),0)</f>
        <v>0</v>
      </c>
      <c r="G33" s="1308">
        <v>0</v>
      </c>
      <c r="H33" s="1308">
        <v>0</v>
      </c>
      <c r="I33" s="1308">
        <v>0</v>
      </c>
      <c r="J33" s="1308">
        <v>0</v>
      </c>
      <c r="K33" s="1308">
        <v>0</v>
      </c>
      <c r="L33" s="1878">
        <v>798641919</v>
      </c>
      <c r="N33" s="1430" t="s">
        <v>2231</v>
      </c>
      <c r="O33" s="1438">
        <v>-2700396485</v>
      </c>
      <c r="P33" s="1439">
        <v>-2124404261</v>
      </c>
    </row>
    <row r="34" spans="4:16" ht="18" customHeight="1">
      <c r="D34" s="1313" t="s">
        <v>2712</v>
      </c>
      <c r="E34" s="1310" t="s">
        <v>2713</v>
      </c>
      <c r="F34" s="1308">
        <f>ROUND(SUMIF('CF.1'!$F:$F,'CF(공)_1.0'!E34,'CF.1'!$U:$U),0)</f>
        <v>201029108</v>
      </c>
      <c r="G34" s="1308"/>
      <c r="H34" s="1308"/>
      <c r="I34" s="1308"/>
      <c r="J34" s="1308"/>
      <c r="K34" s="1308"/>
      <c r="L34" s="1878"/>
      <c r="N34" s="1430" t="s">
        <v>2232</v>
      </c>
      <c r="O34" s="1438">
        <v>-55315563</v>
      </c>
      <c r="P34" s="1439">
        <v>-129134011</v>
      </c>
    </row>
    <row r="35" spans="4:16" ht="18" customHeight="1">
      <c r="D35" s="1313" t="s">
        <v>2547</v>
      </c>
      <c r="E35" s="1304" t="s">
        <v>2548</v>
      </c>
      <c r="F35" s="1308">
        <f>ROUND(SUMIF('CF.1'!$F:$F,'CF(공)_1.0'!E35,'CF.1'!$U:$U),0)</f>
        <v>42135654</v>
      </c>
      <c r="G35" s="1308">
        <v>0</v>
      </c>
      <c r="H35" s="1308">
        <v>0</v>
      </c>
      <c r="I35" s="1308">
        <v>0</v>
      </c>
      <c r="J35" s="1308">
        <v>0</v>
      </c>
      <c r="K35" s="1308">
        <v>0</v>
      </c>
      <c r="L35" s="1878">
        <v>0</v>
      </c>
      <c r="N35" s="1430" t="s">
        <v>2233</v>
      </c>
      <c r="O35" s="1438">
        <v>1862686766</v>
      </c>
      <c r="P35" s="1439">
        <v>-2725450424</v>
      </c>
    </row>
    <row r="36" spans="4:16" ht="18" customHeight="1">
      <c r="D36" s="1313" t="s">
        <v>844</v>
      </c>
      <c r="E36" s="1304" t="s">
        <v>844</v>
      </c>
      <c r="F36" s="1308">
        <f>ROUND(SUMIF('CF.1'!$F:$F,'CF(공)_1.0'!E36,'CF.1'!$U:$U),0)</f>
        <v>-816498671</v>
      </c>
      <c r="G36" s="1308">
        <v>0</v>
      </c>
      <c r="H36" s="1308">
        <v>0</v>
      </c>
      <c r="I36" s="1308">
        <v>0</v>
      </c>
      <c r="J36" s="1308">
        <v>0</v>
      </c>
      <c r="K36" s="1308">
        <v>0</v>
      </c>
      <c r="L36" s="1878">
        <v>0</v>
      </c>
      <c r="N36" s="1430" t="s">
        <v>2234</v>
      </c>
      <c r="O36" s="1438">
        <v>3721883583</v>
      </c>
      <c r="P36" s="1439">
        <v>9423078602</v>
      </c>
    </row>
    <row r="37" spans="4:16" ht="18" customHeight="1">
      <c r="D37" s="1313" t="s">
        <v>870</v>
      </c>
      <c r="E37" s="1304" t="s">
        <v>870</v>
      </c>
      <c r="F37" s="1308">
        <f>ROUND(SUMIF('CF.1'!$F:$F,'CF(공)_1.0'!E37,'CF.1'!$U:$U),0)</f>
        <v>0</v>
      </c>
      <c r="G37" s="1308">
        <v>0</v>
      </c>
      <c r="H37" s="1308">
        <v>0</v>
      </c>
      <c r="I37" s="1308">
        <v>0</v>
      </c>
      <c r="J37" s="1308">
        <v>0</v>
      </c>
      <c r="K37" s="1308">
        <v>0</v>
      </c>
      <c r="L37" s="1878">
        <v>0</v>
      </c>
      <c r="N37" s="1430" t="s">
        <v>2235</v>
      </c>
      <c r="O37" s="1438">
        <v>9149539863</v>
      </c>
      <c r="P37" s="1439">
        <v>544138914</v>
      </c>
    </row>
    <row r="38" spans="4:16" ht="18" customHeight="1">
      <c r="D38" s="1313" t="s">
        <v>842</v>
      </c>
      <c r="E38" s="1304" t="s">
        <v>2597</v>
      </c>
      <c r="F38" s="1308">
        <f>ROUND(SUMIF('CF.1'!$F:$F,'CF(공)_1.0'!E38,'CF.1'!$U:$U),0)</f>
        <v>0</v>
      </c>
      <c r="G38" s="1308">
        <v>0</v>
      </c>
      <c r="H38" s="1308">
        <v>0</v>
      </c>
      <c r="I38" s="1308">
        <v>0</v>
      </c>
      <c r="J38" s="1308">
        <v>0</v>
      </c>
      <c r="K38" s="1308">
        <v>0</v>
      </c>
      <c r="L38" s="1878">
        <v>0</v>
      </c>
      <c r="N38" s="1430"/>
      <c r="O38" s="1438"/>
      <c r="P38" s="1439"/>
    </row>
    <row r="39" spans="4:16" ht="18" customHeight="1">
      <c r="D39" s="1313" t="s">
        <v>2737</v>
      </c>
      <c r="E39" s="1304" t="s">
        <v>673</v>
      </c>
      <c r="F39" s="1308">
        <f>ROUND(SUMIF('CF.1'!$F:$F,'CF(공)_1.0'!E39,'CF.1'!$U:$U),0)</f>
        <v>-1666986895</v>
      </c>
      <c r="G39" s="1308">
        <v>-709964407</v>
      </c>
      <c r="H39" s="1308">
        <v>-371299845</v>
      </c>
      <c r="I39" s="1308">
        <v>-157299824</v>
      </c>
      <c r="J39" s="1308">
        <v>-62679358</v>
      </c>
      <c r="K39" s="1308">
        <v>-595479755</v>
      </c>
      <c r="L39" s="1878">
        <v>-1373387026</v>
      </c>
      <c r="N39" s="1430" t="s">
        <v>2236</v>
      </c>
      <c r="O39" s="1438">
        <v>-2755049081</v>
      </c>
      <c r="P39" s="1439">
        <v>-6211572271</v>
      </c>
    </row>
    <row r="40" spans="4:16" ht="18" customHeight="1">
      <c r="D40" s="1313" t="s">
        <v>2738</v>
      </c>
      <c r="E40" s="1304" t="s">
        <v>675</v>
      </c>
      <c r="F40" s="1308">
        <f>ROUND(SUMIF('CF.1'!$F:$F,'CF(공)_1.0'!E40,'CF.1'!$U:$U),0)</f>
        <v>-1557307639</v>
      </c>
      <c r="G40" s="1308">
        <v>-1318864233</v>
      </c>
      <c r="H40" s="1308">
        <v>-2134418611</v>
      </c>
      <c r="I40" s="1308">
        <v>-1193625006</v>
      </c>
      <c r="J40" s="1308">
        <v>-1359011653</v>
      </c>
      <c r="K40" s="1308">
        <v>-48978076</v>
      </c>
      <c r="L40" s="1878">
        <v>-102383090</v>
      </c>
      <c r="N40" s="1430" t="s">
        <v>2237</v>
      </c>
      <c r="O40" s="1438">
        <v>-15000000</v>
      </c>
      <c r="P40" s="1433"/>
    </row>
    <row r="41" spans="4:16" ht="18" customHeight="1">
      <c r="D41" s="1313" t="s">
        <v>2739</v>
      </c>
      <c r="E41" s="1304" t="s">
        <v>881</v>
      </c>
      <c r="F41" s="1308">
        <f>ROUND(SUMIF('CF.1'!$F:$F,'CF(공)_1.0'!E41,'CF.1'!$U:$U),0)</f>
        <v>0</v>
      </c>
      <c r="G41" s="1308">
        <v>0</v>
      </c>
      <c r="H41" s="1308">
        <v>0</v>
      </c>
      <c r="I41" s="1308">
        <v>0</v>
      </c>
      <c r="J41" s="1308">
        <v>0</v>
      </c>
      <c r="K41" s="1308">
        <v>0</v>
      </c>
      <c r="L41" s="1878">
        <v>0</v>
      </c>
      <c r="N41" s="1430" t="s">
        <v>2238</v>
      </c>
      <c r="O41" s="1438">
        <v>-4440701</v>
      </c>
      <c r="P41" s="1439">
        <v>-39318745</v>
      </c>
    </row>
    <row r="42" spans="4:16" s="952" customFormat="1" ht="18" customHeight="1">
      <c r="D42" s="1313" t="s">
        <v>2740</v>
      </c>
      <c r="E42" s="1304" t="s">
        <v>1418</v>
      </c>
      <c r="F42" s="1308">
        <f>ROUND(SUMIF('CF.1'!$F:$F,'CF(공)_1.0'!E42,'CF.1'!$U:$U),0)</f>
        <v>0</v>
      </c>
      <c r="G42" s="1308">
        <v>-770071633</v>
      </c>
      <c r="H42" s="1308">
        <v>0</v>
      </c>
      <c r="I42" s="1308">
        <v>0</v>
      </c>
      <c r="J42" s="1308">
        <v>0</v>
      </c>
      <c r="K42" s="1308">
        <v>0</v>
      </c>
      <c r="L42" s="1878">
        <v>-30066519</v>
      </c>
      <c r="N42" s="1430" t="s">
        <v>2239</v>
      </c>
      <c r="O42" s="1438">
        <v>478602272</v>
      </c>
      <c r="P42" s="1439">
        <v>1218874616</v>
      </c>
    </row>
    <row r="43" spans="4:16" ht="18" customHeight="1">
      <c r="D43" s="1313" t="s">
        <v>2741</v>
      </c>
      <c r="E43" s="1304" t="s">
        <v>1419</v>
      </c>
      <c r="F43" s="1308">
        <f>ROUND(SUMIF('CF.1'!$F:$F,'CF(공)_1.0'!E43,'CF.1'!$U:$U),0)</f>
        <v>-3510625687</v>
      </c>
      <c r="G43" s="1308">
        <v>0</v>
      </c>
      <c r="H43" s="1308">
        <v>0</v>
      </c>
      <c r="I43" s="1308">
        <v>0</v>
      </c>
      <c r="J43" s="1308">
        <v>0</v>
      </c>
      <c r="K43" s="1308">
        <v>0</v>
      </c>
      <c r="L43" s="1878">
        <v>-10629611</v>
      </c>
      <c r="N43" s="1430" t="s">
        <v>2240</v>
      </c>
      <c r="O43" s="1438">
        <v>-125280914</v>
      </c>
      <c r="P43" s="1439">
        <v>-44179083</v>
      </c>
    </row>
    <row r="44" spans="4:16" ht="18" customHeight="1">
      <c r="D44" s="1311" t="s">
        <v>2540</v>
      </c>
      <c r="E44" s="1312" t="s">
        <v>2540</v>
      </c>
      <c r="F44" s="1308">
        <f>ROUND(SUMIF('CF.1'!$F:$F,'CF(공)_1.0'!E44,'CF.1'!$U:$U),0)</f>
        <v>-41363014942</v>
      </c>
      <c r="G44" s="1308"/>
      <c r="H44" s="1308">
        <v>0</v>
      </c>
      <c r="I44" s="1308">
        <v>0</v>
      </c>
      <c r="J44" s="1308">
        <v>0</v>
      </c>
      <c r="K44" s="1308"/>
      <c r="L44" s="1878"/>
      <c r="N44" s="1430" t="s">
        <v>2242</v>
      </c>
      <c r="O44" s="1438">
        <v>-2403039302</v>
      </c>
      <c r="P44" s="1439">
        <v>-2104945132</v>
      </c>
    </row>
    <row r="45" spans="4:16" ht="18" customHeight="1">
      <c r="D45" s="1313" t="s">
        <v>2742</v>
      </c>
      <c r="E45" s="1304" t="s">
        <v>678</v>
      </c>
      <c r="F45" s="1308">
        <f>ROUND(SUMIF('CF.1'!$F:$F,'CF(공)_1.0'!E45,'CF.1'!$U:$U),0)</f>
        <v>-63636363</v>
      </c>
      <c r="G45" s="1308">
        <v>-5241227</v>
      </c>
      <c r="H45" s="1308">
        <v>-5241227</v>
      </c>
      <c r="I45" s="1308">
        <v>-5241227</v>
      </c>
      <c r="J45" s="1308">
        <v>0</v>
      </c>
      <c r="K45" s="1308">
        <v>-2240200</v>
      </c>
      <c r="L45" s="1878">
        <v>-221590</v>
      </c>
      <c r="N45" s="1430" t="s">
        <v>2241</v>
      </c>
      <c r="O45" s="1438">
        <v>89398677</v>
      </c>
      <c r="P45" s="1439">
        <v>-912244074</v>
      </c>
    </row>
    <row r="46" spans="4:16" ht="18" customHeight="1">
      <c r="D46" s="1313" t="s">
        <v>2743</v>
      </c>
      <c r="E46" s="1304" t="s">
        <v>679</v>
      </c>
      <c r="F46" s="1308">
        <f>ROUND(SUMIF('CF.1'!$F:$F,'CF(공)_1.0'!E46,'CF.1'!$U:$U),0)</f>
        <v>0</v>
      </c>
      <c r="G46" s="1308">
        <v>0</v>
      </c>
      <c r="H46" s="1308">
        <v>0</v>
      </c>
      <c r="I46" s="1308">
        <v>0</v>
      </c>
      <c r="J46" s="1308">
        <v>0</v>
      </c>
      <c r="K46" s="1308">
        <v>0</v>
      </c>
      <c r="L46" s="1878">
        <v>0</v>
      </c>
      <c r="N46" s="1834" t="s">
        <v>2243</v>
      </c>
      <c r="O46" s="1835">
        <v>255200000</v>
      </c>
      <c r="P46" s="1439">
        <v>5563414106</v>
      </c>
    </row>
    <row r="47" spans="4:16" ht="18" customHeight="1">
      <c r="D47" s="1313" t="s">
        <v>2744</v>
      </c>
      <c r="E47" s="1314" t="s">
        <v>818</v>
      </c>
      <c r="F47" s="1308">
        <f>ROUND(SUMIF('CF.1'!$F:$F,'CF(공)_1.0'!E47,'CF.1'!$U:$U),0)</f>
        <v>0</v>
      </c>
      <c r="G47" s="1308">
        <v>-24157280</v>
      </c>
      <c r="H47" s="1308">
        <v>0</v>
      </c>
      <c r="I47" s="1308">
        <v>0</v>
      </c>
      <c r="J47" s="1308">
        <v>0</v>
      </c>
      <c r="K47" s="1308">
        <v>0</v>
      </c>
      <c r="L47" s="1878">
        <v>0</v>
      </c>
      <c r="N47" s="1834" t="s">
        <v>2244</v>
      </c>
      <c r="O47" s="1835">
        <v>255200000</v>
      </c>
      <c r="P47" s="1439">
        <v>171987000</v>
      </c>
    </row>
    <row r="48" spans="4:16" ht="18" customHeight="1">
      <c r="D48" s="1313" t="s">
        <v>2745</v>
      </c>
      <c r="E48" s="1314" t="s">
        <v>816</v>
      </c>
      <c r="F48" s="1308">
        <f>ROUND(SUMIF('CF.1'!$F:$F,'CF(공)_1.0'!E48,'CF.1'!$U:$U),0)</f>
        <v>5865724</v>
      </c>
      <c r="G48" s="1308">
        <v>0</v>
      </c>
      <c r="H48" s="1308">
        <v>0</v>
      </c>
      <c r="I48" s="1308">
        <v>0</v>
      </c>
      <c r="J48" s="1308">
        <v>0</v>
      </c>
      <c r="K48" s="1308">
        <v>0</v>
      </c>
      <c r="L48" s="1878">
        <v>0</v>
      </c>
      <c r="N48" s="1834" t="s">
        <v>2313</v>
      </c>
      <c r="O48" s="1836"/>
      <c r="P48" s="1439">
        <v>5388699833</v>
      </c>
    </row>
    <row r="49" spans="2:16" ht="18" customHeight="1">
      <c r="D49" s="1313" t="s">
        <v>2746</v>
      </c>
      <c r="E49" s="1304" t="s">
        <v>1875</v>
      </c>
      <c r="F49" s="1308">
        <f>ROUND(SUMIF('CF.1'!$F:$F,'CF(공)_1.0'!E49,'CF.1'!$U:$U),0)</f>
        <v>-61773000</v>
      </c>
      <c r="G49" s="1308">
        <v>-20346172</v>
      </c>
      <c r="H49" s="1308">
        <v>-20355455</v>
      </c>
      <c r="I49" s="1308">
        <v>-452350</v>
      </c>
      <c r="J49" s="1308">
        <v>-452350</v>
      </c>
      <c r="K49" s="1308">
        <v>-26552040</v>
      </c>
      <c r="L49" s="1878">
        <v>0</v>
      </c>
      <c r="N49" s="1834" t="s">
        <v>2245</v>
      </c>
      <c r="O49" s="1836"/>
      <c r="P49" s="1439">
        <v>2727273</v>
      </c>
    </row>
    <row r="50" spans="2:16" ht="18" customHeight="1">
      <c r="D50" s="1299" t="s">
        <v>1394</v>
      </c>
      <c r="E50" s="1302" t="s">
        <v>1421</v>
      </c>
      <c r="F50" s="1301">
        <f t="shared" ref="F50:L50" si="2">SUM(F51:F61)</f>
        <v>2467085651</v>
      </c>
      <c r="G50" s="1301">
        <f t="shared" si="2"/>
        <v>-12124852896</v>
      </c>
      <c r="H50" s="1301">
        <f t="shared" si="2"/>
        <v>-12294897303</v>
      </c>
      <c r="I50" s="1301">
        <f t="shared" si="2"/>
        <v>6532726274</v>
      </c>
      <c r="J50" s="1301">
        <f t="shared" si="2"/>
        <v>-24520471397</v>
      </c>
      <c r="K50" s="1301">
        <f t="shared" si="2"/>
        <v>16323393062</v>
      </c>
      <c r="L50" s="1315">
        <f t="shared" si="2"/>
        <v>-837383424</v>
      </c>
      <c r="N50" s="1834" t="s">
        <v>2246</v>
      </c>
      <c r="O50" s="1835">
        <v>-2658239302</v>
      </c>
      <c r="P50" s="1439">
        <v>-7668359238</v>
      </c>
    </row>
    <row r="51" spans="2:16" ht="18" customHeight="1">
      <c r="D51" s="1303" t="s">
        <v>2260</v>
      </c>
      <c r="E51" s="1304" t="s">
        <v>2265</v>
      </c>
      <c r="F51" s="1305">
        <f>ROUND(SUMIF('CF.1'!$F:$F,'CF(공)_1.0'!E51,'CF.1'!$U:$U),0)</f>
        <v>-5699219303</v>
      </c>
      <c r="G51" s="1305">
        <v>3887328375</v>
      </c>
      <c r="H51" s="1305">
        <v>3690791273</v>
      </c>
      <c r="I51" s="1305">
        <v>4028969497</v>
      </c>
      <c r="J51" s="1305">
        <v>-21450196937</v>
      </c>
      <c r="K51" s="1305">
        <v>4621956912</v>
      </c>
      <c r="L51" s="1879">
        <v>-7539631953</v>
      </c>
      <c r="N51" s="1834" t="s">
        <v>2247</v>
      </c>
      <c r="O51" s="1835">
        <v>71898000</v>
      </c>
      <c r="P51" s="1439">
        <v>774787000</v>
      </c>
    </row>
    <row r="52" spans="2:16" ht="18" customHeight="1">
      <c r="D52" s="1303" t="s">
        <v>1395</v>
      </c>
      <c r="E52" s="1304" t="s">
        <v>1423</v>
      </c>
      <c r="F52" s="1305">
        <f>ROUND(SUMIF('CF.1'!$F:$F,'CF(공)_1.0'!E52,'CF.1'!$U:$U),0)</f>
        <v>1082082760</v>
      </c>
      <c r="G52" s="1305">
        <v>-7080723379</v>
      </c>
      <c r="H52" s="1305">
        <v>-6431232790</v>
      </c>
      <c r="I52" s="1305">
        <v>1663164844</v>
      </c>
      <c r="J52" s="1305">
        <v>3275695854</v>
      </c>
      <c r="K52" s="1305">
        <v>-12441359886</v>
      </c>
      <c r="L52" s="1879">
        <v>-5385279428</v>
      </c>
      <c r="N52" s="1834" t="s">
        <v>2314</v>
      </c>
      <c r="O52" s="1836"/>
      <c r="P52" s="1439">
        <v>88476031</v>
      </c>
    </row>
    <row r="53" spans="2:16" ht="18" customHeight="1">
      <c r="D53" s="1303" t="s">
        <v>1396</v>
      </c>
      <c r="E53" s="1304" t="s">
        <v>1424</v>
      </c>
      <c r="F53" s="1305">
        <f>ROUND(SUMIF('CF.1'!$F:$F,'CF(공)_1.0'!E53,'CF.1'!$U:$U),0)</f>
        <v>8525697131</v>
      </c>
      <c r="G53" s="1305">
        <v>-12069841856</v>
      </c>
      <c r="H53" s="1305">
        <v>-11089593096</v>
      </c>
      <c r="I53" s="1305">
        <v>-11277641059</v>
      </c>
      <c r="J53" s="1305">
        <v>-8193563886</v>
      </c>
      <c r="K53" s="1305">
        <v>-567874466</v>
      </c>
      <c r="L53" s="1879">
        <v>1812955479</v>
      </c>
      <c r="N53" s="1834" t="s">
        <v>2248</v>
      </c>
      <c r="O53" s="1835">
        <v>884739842</v>
      </c>
      <c r="P53" s="1439">
        <v>711753841</v>
      </c>
    </row>
    <row r="54" spans="2:16" s="710" customFormat="1" ht="18" customHeight="1">
      <c r="B54" s="509"/>
      <c r="C54" s="509"/>
      <c r="D54" s="1303" t="s">
        <v>2261</v>
      </c>
      <c r="E54" s="1304" t="s">
        <v>2266</v>
      </c>
      <c r="F54" s="1305">
        <f>ROUND(SUMIF('CF.1'!$F:$F,'CF(공)_1.0'!E54,'CF.1'!$U:$U),0)</f>
        <v>-6631675919</v>
      </c>
      <c r="G54" s="1305">
        <v>-1220561921</v>
      </c>
      <c r="H54" s="1305">
        <v>-2603455458</v>
      </c>
      <c r="I54" s="1305">
        <v>-760260269</v>
      </c>
      <c r="J54" s="1305">
        <v>-163740554</v>
      </c>
      <c r="K54" s="1305">
        <v>3609608055</v>
      </c>
      <c r="L54" s="1879">
        <v>-2405454959</v>
      </c>
      <c r="M54" s="509"/>
      <c r="N54" s="1834" t="s">
        <v>2249</v>
      </c>
      <c r="O54" s="1835">
        <v>1701601460</v>
      </c>
      <c r="P54" s="1439">
        <v>4366743807</v>
      </c>
    </row>
    <row r="55" spans="2:16" s="710" customFormat="1" ht="18" customHeight="1">
      <c r="D55" s="1303" t="s">
        <v>1780</v>
      </c>
      <c r="E55" s="1304" t="s">
        <v>1956</v>
      </c>
      <c r="F55" s="1305">
        <f>ROUND(SUMIF('CF.1'!$F:$F,'CF(공)_1.0'!E55,'CF.1'!$U:$U),0)</f>
        <v>0</v>
      </c>
      <c r="G55" s="1305">
        <v>0</v>
      </c>
      <c r="H55" s="1305">
        <v>0</v>
      </c>
      <c r="I55" s="1305">
        <v>0</v>
      </c>
      <c r="J55" s="1305">
        <v>0</v>
      </c>
      <c r="K55" s="1305">
        <v>0</v>
      </c>
      <c r="L55" s="1879">
        <v>-300136621</v>
      </c>
      <c r="N55" s="1834" t="s">
        <v>2315</v>
      </c>
      <c r="O55" s="1836"/>
      <c r="P55" s="1439">
        <v>926598559</v>
      </c>
    </row>
    <row r="56" spans="2:16" s="710" customFormat="1" ht="18" customHeight="1">
      <c r="D56" s="1303" t="s">
        <v>1679</v>
      </c>
      <c r="E56" s="1304" t="s">
        <v>1676</v>
      </c>
      <c r="F56" s="1305">
        <f>ROUND(SUMIF('CF.1'!$F:$F,'CF(공)_1.0'!E56,'CF.1'!$U:$U),0)</f>
        <v>0</v>
      </c>
      <c r="G56" s="1305">
        <v>0</v>
      </c>
      <c r="H56" s="1305">
        <v>0</v>
      </c>
      <c r="I56" s="1305">
        <v>0</v>
      </c>
      <c r="J56" s="1305">
        <v>0</v>
      </c>
      <c r="K56" s="1305">
        <v>0</v>
      </c>
      <c r="L56" s="1879">
        <v>-129134010</v>
      </c>
      <c r="N56" s="1430" t="s">
        <v>2250</v>
      </c>
      <c r="O56" s="1432"/>
      <c r="P56" s="1439">
        <v>800000000</v>
      </c>
    </row>
    <row r="57" spans="2:16" s="952" customFormat="1" ht="18" customHeight="1">
      <c r="B57" s="710"/>
      <c r="C57" s="710"/>
      <c r="D57" s="1303" t="s">
        <v>2262</v>
      </c>
      <c r="E57" s="1304" t="s">
        <v>2267</v>
      </c>
      <c r="F57" s="1305">
        <f>ROUND(SUMIF('CF.1'!$F:$F,'CF(공)_1.0'!E57,'CF.1'!$U:$U),0)</f>
        <v>5519858661</v>
      </c>
      <c r="G57" s="1305">
        <v>2254405636</v>
      </c>
      <c r="H57" s="1305">
        <v>3450364267</v>
      </c>
      <c r="I57" s="1305">
        <v>2000083732</v>
      </c>
      <c r="J57" s="1305">
        <v>1233595761</v>
      </c>
      <c r="K57" s="1305">
        <v>5338055248</v>
      </c>
      <c r="L57" s="1879">
        <v>14516220107</v>
      </c>
      <c r="M57" s="710"/>
      <c r="N57" s="1430" t="s">
        <v>2251</v>
      </c>
      <c r="O57" s="1438">
        <v>-1849543127</v>
      </c>
      <c r="P57" s="1439">
        <v>-2246194373</v>
      </c>
    </row>
    <row r="58" spans="2:16" s="952" customFormat="1" ht="18" customHeight="1">
      <c r="D58" s="1303" t="s">
        <v>2263</v>
      </c>
      <c r="E58" s="1307" t="s">
        <v>2268</v>
      </c>
      <c r="F58" s="1308">
        <f>ROUND(SUMIF('CF.1'!$F:$F,'CF(공)_1.0'!E58,'CF.1'!$U:$U),0)</f>
        <v>3074452320</v>
      </c>
      <c r="G58" s="1305">
        <v>2792943706</v>
      </c>
      <c r="H58" s="1305">
        <v>2214460529</v>
      </c>
      <c r="I58" s="1305">
        <v>11372851623</v>
      </c>
      <c r="J58" s="1305">
        <v>1711429977</v>
      </c>
      <c r="K58" s="1305">
        <v>19556864340</v>
      </c>
      <c r="L58" s="1879">
        <v>2404203858</v>
      </c>
      <c r="N58" s="1430" t="s">
        <v>2252</v>
      </c>
      <c r="O58" s="1438">
        <v>-1849543127</v>
      </c>
      <c r="P58" s="1439">
        <v>-2246194373</v>
      </c>
    </row>
    <row r="59" spans="2:16" ht="18" customHeight="1">
      <c r="B59" s="952"/>
      <c r="C59" s="952"/>
      <c r="D59" s="1303" t="s">
        <v>1397</v>
      </c>
      <c r="E59" s="1304" t="s">
        <v>1428</v>
      </c>
      <c r="F59" s="1305">
        <f>ROUND(SUMIF('CF.1'!$F:$F,'CF(공)_1.0'!E59,'CF.1'!$U:$U),0)</f>
        <v>-3322016294</v>
      </c>
      <c r="G59" s="1305">
        <v>1697929968</v>
      </c>
      <c r="H59" s="1305">
        <v>-1314839512</v>
      </c>
      <c r="I59" s="1305">
        <v>-609216258</v>
      </c>
      <c r="J59" s="1305">
        <v>-1042301141</v>
      </c>
      <c r="K59" s="1305">
        <v>-1666867878</v>
      </c>
      <c r="L59" s="1879">
        <v>-2594881411</v>
      </c>
      <c r="M59" s="952"/>
      <c r="N59" s="1430" t="s">
        <v>2253</v>
      </c>
      <c r="O59" s="1432"/>
      <c r="P59" s="1439">
        <v>465735790</v>
      </c>
    </row>
    <row r="60" spans="2:16" ht="18" customHeight="1">
      <c r="D60" s="1303" t="s">
        <v>1398</v>
      </c>
      <c r="E60" s="1304" t="s">
        <v>1429</v>
      </c>
      <c r="F60" s="1305">
        <f>ROUND(SUMIF('CF.1'!$F:$F,'CF(공)_1.0'!E60,'CF.1'!$U:$U),0)</f>
        <v>0</v>
      </c>
      <c r="G60" s="1305">
        <v>38740390</v>
      </c>
      <c r="H60" s="1305">
        <v>0</v>
      </c>
      <c r="I60" s="1305">
        <v>0</v>
      </c>
      <c r="J60" s="1305">
        <v>0</v>
      </c>
      <c r="K60" s="1305">
        <v>-15000000</v>
      </c>
      <c r="L60" s="1879">
        <v>0</v>
      </c>
      <c r="N60" s="1430" t="s">
        <v>2254</v>
      </c>
      <c r="O60" s="1438">
        <v>1849543127</v>
      </c>
      <c r="P60" s="1439">
        <v>1778874676</v>
      </c>
    </row>
    <row r="61" spans="2:16" ht="18" customHeight="1">
      <c r="D61" s="1303" t="s">
        <v>2264</v>
      </c>
      <c r="E61" s="1304" t="s">
        <v>2269</v>
      </c>
      <c r="F61" s="1305">
        <f>ROUND(SUMIF('CF.1'!$F:$F,'CF(공)_1.0'!E61,'CF.1'!$U:$U),0)</f>
        <v>-82093705</v>
      </c>
      <c r="G61" s="1305">
        <v>-2425073815</v>
      </c>
      <c r="H61" s="1305">
        <v>-211392516</v>
      </c>
      <c r="I61" s="1305">
        <v>114774164</v>
      </c>
      <c r="J61" s="1305">
        <v>108609529</v>
      </c>
      <c r="K61" s="1305">
        <v>-2111989263</v>
      </c>
      <c r="L61" s="1879">
        <v>-1216244486</v>
      </c>
      <c r="N61" s="1430"/>
      <c r="O61" s="1438"/>
      <c r="P61" s="1439"/>
    </row>
    <row r="62" spans="2:16" ht="18" customHeight="1">
      <c r="D62" s="1295" t="s">
        <v>1399</v>
      </c>
      <c r="E62" s="1296" t="s">
        <v>1007</v>
      </c>
      <c r="F62" s="1297">
        <f>ROUND(SUMIF('CF.1'!$F:$F,'CF(공)_1.0'!E62,'CF.1'!$U:$U),0)</f>
        <v>1485778734</v>
      </c>
      <c r="G62" s="1297">
        <v>492727406</v>
      </c>
      <c r="H62" s="1297">
        <v>298904319</v>
      </c>
      <c r="I62" s="1297">
        <v>78809391</v>
      </c>
      <c r="J62" s="1297">
        <v>29213135</v>
      </c>
      <c r="K62" s="1297">
        <v>603439853</v>
      </c>
      <c r="L62" s="1880">
        <v>1450087305</v>
      </c>
      <c r="N62" s="1430" t="s">
        <v>2255</v>
      </c>
      <c r="O62" s="1432"/>
      <c r="P62" s="1439">
        <v>1583907</v>
      </c>
    </row>
    <row r="63" spans="2:16" ht="18" customHeight="1">
      <c r="D63" s="1299" t="s">
        <v>1400</v>
      </c>
      <c r="E63" s="1302" t="s">
        <v>1009</v>
      </c>
      <c r="F63" s="1301">
        <f>ROUND(SUMIF('CF.1'!$F:$F,'CF(공)_1.0'!E63,'CF.1'!$U:$U),0)</f>
        <v>-169215977</v>
      </c>
      <c r="G63" s="1301">
        <v>-300912198</v>
      </c>
      <c r="H63" s="1301">
        <v>-230445961</v>
      </c>
      <c r="I63" s="1301">
        <v>-155924169</v>
      </c>
      <c r="J63" s="1301">
        <v>-83985271</v>
      </c>
      <c r="K63" s="1301">
        <v>-172075657</v>
      </c>
      <c r="L63" s="1881">
        <v>-46867293</v>
      </c>
      <c r="N63" s="1430" t="s">
        <v>2256</v>
      </c>
      <c r="O63" s="1438">
        <v>-3840675328</v>
      </c>
      <c r="P63" s="1439">
        <v>-11898819240</v>
      </c>
    </row>
    <row r="64" spans="2:16" ht="18" customHeight="1">
      <c r="D64" s="1295" t="s">
        <v>1401</v>
      </c>
      <c r="E64" s="1296" t="s">
        <v>1011</v>
      </c>
      <c r="F64" s="1297">
        <f>ROUND(SUMIF('CF.1'!$F:$F,'CF(공)_1.0'!E64,'CF.1'!$U:$U),0)</f>
        <v>-381987532</v>
      </c>
      <c r="G64" s="1297">
        <v>-16992423</v>
      </c>
      <c r="H64" s="1297">
        <v>15401469</v>
      </c>
      <c r="I64" s="1297">
        <v>-1186210</v>
      </c>
      <c r="J64" s="1297">
        <v>-4518911</v>
      </c>
      <c r="K64" s="1297">
        <v>90170635</v>
      </c>
      <c r="L64" s="1880">
        <v>-870491738</v>
      </c>
      <c r="N64" s="1430" t="s">
        <v>2257</v>
      </c>
      <c r="O64" s="1438">
        <v>88901392676</v>
      </c>
      <c r="P64" s="1439">
        <v>95653360723</v>
      </c>
    </row>
    <row r="65" spans="2:16" ht="18" customHeight="1">
      <c r="D65" s="1295" t="s">
        <v>2710</v>
      </c>
      <c r="E65" s="1296" t="s">
        <v>2711</v>
      </c>
      <c r="F65" s="1297">
        <f>ROUND(SUMIF('CF.1'!$F:$F,'CF(공)_1.0'!E65,'CF.1'!$U:$U),0)</f>
        <v>0</v>
      </c>
      <c r="G65" s="1297">
        <v>0</v>
      </c>
      <c r="H65" s="1297">
        <v>0</v>
      </c>
      <c r="I65" s="1297">
        <v>207963850</v>
      </c>
      <c r="J65" s="1297">
        <v>0</v>
      </c>
      <c r="K65" s="1297">
        <v>0</v>
      </c>
      <c r="L65" s="1880">
        <v>0</v>
      </c>
      <c r="N65" s="1430" t="s">
        <v>2258</v>
      </c>
      <c r="O65" s="1438">
        <v>201242394</v>
      </c>
      <c r="P65" s="1439">
        <v>963228519</v>
      </c>
    </row>
    <row r="66" spans="2:16" ht="18" customHeight="1">
      <c r="D66" s="1291" t="s">
        <v>1402</v>
      </c>
      <c r="E66" s="1292" t="s">
        <v>1402</v>
      </c>
      <c r="F66" s="1293">
        <f t="shared" ref="F66:L66" si="3">F67+F76</f>
        <v>-2319473700</v>
      </c>
      <c r="G66" s="1293">
        <f t="shared" si="3"/>
        <v>-36852424663</v>
      </c>
      <c r="H66" s="1293">
        <f t="shared" si="3"/>
        <v>-24805833690</v>
      </c>
      <c r="I66" s="1293">
        <f t="shared" si="3"/>
        <v>-23051732912</v>
      </c>
      <c r="J66" s="1293">
        <f t="shared" si="3"/>
        <v>-633116736</v>
      </c>
      <c r="K66" s="1293">
        <f t="shared" si="3"/>
        <v>-2470877528</v>
      </c>
      <c r="L66" s="1294">
        <f t="shared" si="3"/>
        <v>-2595990545</v>
      </c>
      <c r="N66" s="1837" t="s">
        <v>2259</v>
      </c>
      <c r="O66" s="1838">
        <v>85261959742</v>
      </c>
      <c r="P66" s="1839">
        <v>84717770002</v>
      </c>
    </row>
    <row r="67" spans="2:16" s="952" customFormat="1" ht="18" customHeight="1">
      <c r="B67" s="509"/>
      <c r="C67" s="509"/>
      <c r="D67" s="1299" t="s">
        <v>1403</v>
      </c>
      <c r="E67" s="1302" t="s">
        <v>1431</v>
      </c>
      <c r="F67" s="1301">
        <f t="shared" ref="F67:L67" si="4">SUM(F68:F75)</f>
        <v>24505922363</v>
      </c>
      <c r="G67" s="1301">
        <f t="shared" si="4"/>
        <v>27250000</v>
      </c>
      <c r="H67" s="1301">
        <f t="shared" si="4"/>
        <v>7250000</v>
      </c>
      <c r="I67" s="1301">
        <f t="shared" si="4"/>
        <v>7250000</v>
      </c>
      <c r="J67" s="1301">
        <f t="shared" si="4"/>
        <v>0</v>
      </c>
      <c r="K67" s="1301">
        <f t="shared" si="4"/>
        <v>2032106200</v>
      </c>
      <c r="L67" s="1315">
        <f t="shared" si="4"/>
        <v>5567041599</v>
      </c>
      <c r="M67" s="509"/>
    </row>
    <row r="68" spans="2:16" ht="18" customHeight="1">
      <c r="B68" s="952"/>
      <c r="C68" s="952"/>
      <c r="D68" s="1313" t="s">
        <v>2747</v>
      </c>
      <c r="E68" s="1304" t="s">
        <v>1432</v>
      </c>
      <c r="F68" s="1308">
        <f>ROUND(SUMIF('CF.1'!$F:$F,'CF(공)_1.0'!E68,'CF.1'!$U:$U),0)</f>
        <v>0</v>
      </c>
      <c r="G68" s="1308">
        <v>0</v>
      </c>
      <c r="H68" s="1308">
        <v>0</v>
      </c>
      <c r="I68" s="1308">
        <v>0</v>
      </c>
      <c r="J68" s="1308">
        <v>0</v>
      </c>
      <c r="K68" s="1308">
        <v>347340000</v>
      </c>
      <c r="L68" s="1878">
        <v>0</v>
      </c>
      <c r="M68" s="952"/>
    </row>
    <row r="69" spans="2:16" ht="18" customHeight="1">
      <c r="B69" s="952"/>
      <c r="C69" s="952"/>
      <c r="D69" s="1313" t="s">
        <v>2748</v>
      </c>
      <c r="E69" s="1304" t="s">
        <v>1373</v>
      </c>
      <c r="F69" s="1308">
        <f>ROUND(SUMIF('CF.1'!$F:$F,'CF(공)_1.0'!E69,'CF.1'!$U:$U),0)</f>
        <v>200000000</v>
      </c>
      <c r="G69" s="1308">
        <v>20000000</v>
      </c>
      <c r="H69" s="1308">
        <v>0</v>
      </c>
      <c r="I69" s="1308">
        <v>0</v>
      </c>
      <c r="J69" s="1308">
        <v>0</v>
      </c>
      <c r="K69" s="1308">
        <v>1677388000</v>
      </c>
      <c r="L69" s="1878">
        <v>171745000</v>
      </c>
      <c r="M69" s="952"/>
    </row>
    <row r="70" spans="2:16" ht="18" customHeight="1">
      <c r="D70" s="1313" t="s">
        <v>2749</v>
      </c>
      <c r="E70" s="1304" t="s">
        <v>1376</v>
      </c>
      <c r="F70" s="1308">
        <f>ROUND(SUMIF('CF.1'!$F:$F,'CF(공)_1.0'!E70,'CF.1'!$U:$U),0)</f>
        <v>0</v>
      </c>
      <c r="G70" s="1308">
        <v>0</v>
      </c>
      <c r="H70" s="1308">
        <v>0</v>
      </c>
      <c r="I70" s="1308">
        <v>0</v>
      </c>
      <c r="J70" s="1308">
        <v>0</v>
      </c>
      <c r="K70" s="1308">
        <v>5000000</v>
      </c>
      <c r="L70" s="1878">
        <v>726000</v>
      </c>
      <c r="N70" s="1086"/>
      <c r="O70" s="925"/>
    </row>
    <row r="71" spans="2:16" ht="18" customHeight="1">
      <c r="D71" s="1313" t="s">
        <v>1021</v>
      </c>
      <c r="E71" s="1304" t="s">
        <v>1433</v>
      </c>
      <c r="F71" s="1308">
        <f>ROUND(SUMIF('CF.1'!$F:$F,'CF(공)_1.0'!E71,'CF.1'!$U:$U),0)</f>
        <v>297306000</v>
      </c>
      <c r="G71" s="1308"/>
      <c r="H71" s="1308"/>
      <c r="I71" s="1308"/>
      <c r="J71" s="1308"/>
      <c r="K71" s="1308"/>
      <c r="L71" s="1878"/>
      <c r="N71" s="1086"/>
      <c r="O71" s="925"/>
    </row>
    <row r="72" spans="2:16" ht="18" customHeight="1">
      <c r="D72" s="1840" t="s">
        <v>2750</v>
      </c>
      <c r="E72" s="1316" t="s">
        <v>2573</v>
      </c>
      <c r="F72" s="1308">
        <f>ROUND(SUMIF('CF.1'!$F:$F,'CF(공)_1.0'!E72,'CF.1'!$U:$U),0)</f>
        <v>23944980000</v>
      </c>
      <c r="G72" s="1308">
        <v>0</v>
      </c>
      <c r="H72" s="1308">
        <v>0</v>
      </c>
      <c r="I72" s="1308">
        <v>0</v>
      </c>
      <c r="J72" s="1308">
        <v>0</v>
      </c>
      <c r="K72" s="1308">
        <v>0</v>
      </c>
      <c r="L72" s="1878">
        <v>5388699833</v>
      </c>
      <c r="N72" s="1086"/>
      <c r="O72" s="925"/>
    </row>
    <row r="73" spans="2:16" ht="18" customHeight="1">
      <c r="D73" s="1313" t="s">
        <v>2751</v>
      </c>
      <c r="E73" s="1304" t="s">
        <v>1434</v>
      </c>
      <c r="F73" s="1308">
        <f>ROUND(SUMIF('CF.1'!$F:$F,'CF(공)_1.0'!E73,'CF.1'!$U:$U),0)</f>
        <v>63636363</v>
      </c>
      <c r="G73" s="1308">
        <v>7250000</v>
      </c>
      <c r="H73" s="1308">
        <v>7250000</v>
      </c>
      <c r="I73" s="1308">
        <v>7250000</v>
      </c>
      <c r="J73" s="1308">
        <v>0</v>
      </c>
      <c r="K73" s="1308">
        <v>2378200</v>
      </c>
      <c r="L73" s="1878">
        <v>5870766</v>
      </c>
      <c r="N73" s="1086"/>
      <c r="O73" s="925"/>
    </row>
    <row r="74" spans="2:16" ht="18" customHeight="1">
      <c r="D74" s="1313" t="s">
        <v>2752</v>
      </c>
      <c r="E74" s="1304" t="s">
        <v>1435</v>
      </c>
      <c r="F74" s="1308">
        <f>ROUND(SUMIF('CF.1'!$F:$F,'CF(공)_1.0'!E74,'CF.1'!$U:$U),0)</f>
        <v>0</v>
      </c>
      <c r="G74" s="1308">
        <v>0</v>
      </c>
      <c r="H74" s="1308">
        <v>0</v>
      </c>
      <c r="I74" s="1308">
        <v>0</v>
      </c>
      <c r="J74" s="1308">
        <v>0</v>
      </c>
      <c r="K74" s="1308">
        <v>0</v>
      </c>
      <c r="L74" s="1878">
        <v>0</v>
      </c>
      <c r="N74" s="1086"/>
      <c r="O74" s="925"/>
    </row>
    <row r="75" spans="2:16" ht="18" customHeight="1">
      <c r="D75" s="1313" t="s">
        <v>2753</v>
      </c>
      <c r="E75" s="1304" t="s">
        <v>1436</v>
      </c>
      <c r="F75" s="1308">
        <f>ROUND(SUMIF('CF.1'!$F:$F,'CF(공)_1.0'!E75,'CF.1'!$U:$U),0)</f>
        <v>0</v>
      </c>
      <c r="G75" s="1308">
        <v>0</v>
      </c>
      <c r="H75" s="1308">
        <v>0</v>
      </c>
      <c r="I75" s="1308">
        <v>0</v>
      </c>
      <c r="J75" s="1308">
        <v>0</v>
      </c>
      <c r="K75" s="1308">
        <v>0</v>
      </c>
      <c r="L75" s="1878">
        <v>0</v>
      </c>
      <c r="N75" s="1086"/>
      <c r="O75" s="925"/>
    </row>
    <row r="76" spans="2:16" ht="18" customHeight="1">
      <c r="D76" s="1299" t="s">
        <v>1404</v>
      </c>
      <c r="E76" s="1302" t="s">
        <v>1437</v>
      </c>
      <c r="F76" s="1301">
        <f t="shared" ref="F76:L76" si="5">SUM(F77:F90)</f>
        <v>-26825396063</v>
      </c>
      <c r="G76" s="1301">
        <f t="shared" si="5"/>
        <v>-36879674663</v>
      </c>
      <c r="H76" s="1301">
        <f t="shared" si="5"/>
        <v>-24813083690</v>
      </c>
      <c r="I76" s="1301">
        <f t="shared" si="5"/>
        <v>-23058982912</v>
      </c>
      <c r="J76" s="1301">
        <f t="shared" si="5"/>
        <v>-633116736</v>
      </c>
      <c r="K76" s="1301">
        <f t="shared" si="5"/>
        <v>-4502983728</v>
      </c>
      <c r="L76" s="1315">
        <f t="shared" si="5"/>
        <v>-8163032144</v>
      </c>
      <c r="N76" s="1086"/>
      <c r="O76" s="925"/>
    </row>
    <row r="77" spans="2:16" ht="18" customHeight="1">
      <c r="D77" s="1313" t="s">
        <v>2754</v>
      </c>
      <c r="E77" s="1304" t="s">
        <v>1128</v>
      </c>
      <c r="F77" s="1305">
        <f>ROUND(SUMIF('CF.1'!$F:$F,'CF(공)_1.0'!E77,'CF.1'!$U:$U),0)</f>
        <v>0</v>
      </c>
      <c r="G77" s="1305">
        <v>0</v>
      </c>
      <c r="H77" s="1305">
        <v>0</v>
      </c>
      <c r="I77" s="1305">
        <v>0</v>
      </c>
      <c r="J77" s="1305">
        <v>0</v>
      </c>
      <c r="K77" s="1305">
        <v>0</v>
      </c>
      <c r="L77" s="1879">
        <v>0</v>
      </c>
      <c r="N77" s="1086"/>
      <c r="O77" s="925"/>
    </row>
    <row r="78" spans="2:16" ht="18" customHeight="1">
      <c r="D78" s="1309" t="s">
        <v>2755</v>
      </c>
      <c r="E78" s="1307" t="s">
        <v>2390</v>
      </c>
      <c r="F78" s="1308">
        <f>ROUND(SUMIF('CF.1'!$F:$F,'CF(공)_1.0'!E78,'CF.1'!$U:$U),0)</f>
        <v>0</v>
      </c>
      <c r="G78" s="1308">
        <v>-312435000</v>
      </c>
      <c r="H78" s="1308">
        <v>0</v>
      </c>
      <c r="I78" s="1305">
        <v>0</v>
      </c>
      <c r="J78" s="1305">
        <v>0</v>
      </c>
      <c r="K78" s="1305">
        <v>0</v>
      </c>
      <c r="L78" s="1879">
        <v>0</v>
      </c>
      <c r="N78" s="1086"/>
      <c r="O78" s="925"/>
      <c r="P78" s="925"/>
    </row>
    <row r="79" spans="2:16" s="925" customFormat="1" ht="18" customHeight="1">
      <c r="B79" s="509"/>
      <c r="C79" s="509"/>
      <c r="D79" s="1313" t="s">
        <v>2756</v>
      </c>
      <c r="E79" s="1304" t="s">
        <v>1136</v>
      </c>
      <c r="F79" s="1305">
        <f>ROUND(SUMIF('CF.1'!$F:$F,'CF(공)_1.0'!E79,'CF.1'!$U:$U),0)</f>
        <v>0</v>
      </c>
      <c r="G79" s="1305">
        <v>0</v>
      </c>
      <c r="H79" s="1305">
        <v>-786563544</v>
      </c>
      <c r="I79" s="1305">
        <v>0</v>
      </c>
      <c r="J79" s="1305">
        <v>0</v>
      </c>
      <c r="K79" s="1305">
        <v>0</v>
      </c>
      <c r="L79" s="1879">
        <v>-352599000</v>
      </c>
      <c r="M79" s="509"/>
      <c r="N79" s="1086"/>
    </row>
    <row r="80" spans="2:16" s="925" customFormat="1" ht="18" customHeight="1">
      <c r="D80" s="1313" t="s">
        <v>2757</v>
      </c>
      <c r="E80" s="1304" t="s">
        <v>1372</v>
      </c>
      <c r="F80" s="1305">
        <f>ROUND(SUMIF('CF.1'!$F:$F,'CF(공)_1.0'!E80,'CF.1'!$U:$U),0)</f>
        <v>-609216486</v>
      </c>
      <c r="G80" s="1305">
        <v>-802942063</v>
      </c>
      <c r="H80" s="1305">
        <v>0</v>
      </c>
      <c r="I80" s="1305">
        <v>-12504000</v>
      </c>
      <c r="J80" s="1305">
        <v>0</v>
      </c>
      <c r="K80" s="1305">
        <v>-1499086000</v>
      </c>
      <c r="L80" s="1879">
        <v>-317188000</v>
      </c>
      <c r="N80" s="1086"/>
      <c r="P80" s="509"/>
    </row>
    <row r="81" spans="2:16" ht="18" customHeight="1">
      <c r="B81" s="925"/>
      <c r="C81" s="925"/>
      <c r="D81" s="1313" t="s">
        <v>2758</v>
      </c>
      <c r="E81" s="1304" t="s">
        <v>1472</v>
      </c>
      <c r="F81" s="1305">
        <f>ROUND(SUMIF('CF.1'!$F:$F,'CF(공)_1.0'!E81,'CF.1'!$U:$U),0)</f>
        <v>-500000</v>
      </c>
      <c r="G81" s="1305">
        <v>-80000000</v>
      </c>
      <c r="H81" s="1305">
        <v>0</v>
      </c>
      <c r="I81" s="1305">
        <v>0</v>
      </c>
      <c r="J81" s="1305">
        <v>0</v>
      </c>
      <c r="K81" s="1305">
        <v>0</v>
      </c>
      <c r="L81" s="1879">
        <v>-105000000</v>
      </c>
      <c r="M81" s="925"/>
      <c r="N81" s="1086"/>
      <c r="O81" s="925"/>
    </row>
    <row r="82" spans="2:16" s="952" customFormat="1" ht="18" customHeight="1">
      <c r="B82" s="509"/>
      <c r="C82" s="509"/>
      <c r="D82" s="1313" t="s">
        <v>2759</v>
      </c>
      <c r="E82" s="1304" t="s">
        <v>1682</v>
      </c>
      <c r="F82" s="1305">
        <f>ROUND(SUMIF('CF.1'!$F:$F,'CF(공)_1.0'!E82,'CF.1'!$U:$U),0)</f>
        <v>0</v>
      </c>
      <c r="G82" s="1305">
        <v>0</v>
      </c>
      <c r="H82" s="1305">
        <v>0</v>
      </c>
      <c r="I82" s="1305">
        <v>0</v>
      </c>
      <c r="J82" s="1305">
        <v>0</v>
      </c>
      <c r="K82" s="1305">
        <v>0</v>
      </c>
      <c r="L82" s="1879">
        <v>0</v>
      </c>
      <c r="M82" s="509"/>
      <c r="N82" s="1317"/>
      <c r="O82" s="1115"/>
    </row>
    <row r="83" spans="2:16" ht="18" customHeight="1">
      <c r="B83" s="952"/>
      <c r="C83" s="952"/>
      <c r="D83" s="1313" t="s">
        <v>2760</v>
      </c>
      <c r="E83" s="1304" t="s">
        <v>1438</v>
      </c>
      <c r="F83" s="1305">
        <f>ROUND(SUMIF('CF.1'!$F:$F,'CF(공)_1.0'!E83,'CF.1'!$U:$U),0)</f>
        <v>0</v>
      </c>
      <c r="G83" s="1305">
        <v>0</v>
      </c>
      <c r="H83" s="1305">
        <v>0</v>
      </c>
      <c r="I83" s="1305">
        <v>0</v>
      </c>
      <c r="J83" s="1305">
        <v>0</v>
      </c>
      <c r="K83" s="1305">
        <v>0</v>
      </c>
      <c r="L83" s="1879">
        <v>0</v>
      </c>
      <c r="M83" s="952"/>
      <c r="N83" s="1086"/>
      <c r="O83" s="925"/>
    </row>
    <row r="84" spans="2:16" ht="18" customHeight="1">
      <c r="D84" s="1313" t="s">
        <v>2549</v>
      </c>
      <c r="E84" s="1304" t="s">
        <v>2549</v>
      </c>
      <c r="F84" s="1305">
        <f>ROUND(SUMIF('CF.1'!$F:$F,'CF(공)_1.0'!E84,'CF.1'!$U:$U),0)</f>
        <v>-20301223536</v>
      </c>
      <c r="G84" s="1305">
        <v>-30002038186</v>
      </c>
      <c r="H84" s="1305">
        <v>-20001800000</v>
      </c>
      <c r="I84" s="1305">
        <v>-20001800000</v>
      </c>
      <c r="J84" s="1305">
        <v>0</v>
      </c>
      <c r="K84" s="1305">
        <v>0</v>
      </c>
      <c r="L84" s="1879">
        <v>0</v>
      </c>
      <c r="N84" s="1086"/>
      <c r="O84" s="925"/>
    </row>
    <row r="85" spans="2:16" ht="18" customHeight="1">
      <c r="D85" s="1309" t="s">
        <v>2761</v>
      </c>
      <c r="E85" s="1307" t="s">
        <v>2200</v>
      </c>
      <c r="F85" s="1308">
        <f>ROUND(SUMIF('CF.1'!$F:$F,'CF(공)_1.0'!E85,'CF.1'!$U:$U),0)</f>
        <v>-3011475000</v>
      </c>
      <c r="G85" s="1308">
        <v>-251229861</v>
      </c>
      <c r="H85" s="1308">
        <v>-251229861</v>
      </c>
      <c r="I85" s="1305">
        <v>-251229861</v>
      </c>
      <c r="J85" s="1305">
        <v>0</v>
      </c>
      <c r="K85" s="1308">
        <v>0</v>
      </c>
      <c r="L85" s="1878">
        <v>0</v>
      </c>
      <c r="N85" s="1086"/>
      <c r="O85" s="925"/>
    </row>
    <row r="86" spans="2:16" s="952" customFormat="1" ht="18" customHeight="1">
      <c r="B86" s="509"/>
      <c r="C86" s="509"/>
      <c r="D86" s="1309" t="s">
        <v>2762</v>
      </c>
      <c r="E86" s="1307" t="s">
        <v>1474</v>
      </c>
      <c r="F86" s="1308">
        <f>ROUND(SUMIF('CF.1'!$F:$F,'CF(공)_1.0'!E86,'CF.1'!$U:$U),0)</f>
        <v>0</v>
      </c>
      <c r="G86" s="1308">
        <v>-1479793071</v>
      </c>
      <c r="H86" s="1308">
        <v>-1479793071</v>
      </c>
      <c r="I86" s="1308">
        <v>-1479793071</v>
      </c>
      <c r="J86" s="1308">
        <v>0</v>
      </c>
      <c r="K86" s="1308">
        <v>0</v>
      </c>
      <c r="L86" s="1878">
        <v>0</v>
      </c>
      <c r="M86" s="509"/>
    </row>
    <row r="87" spans="2:16" ht="18" customHeight="1">
      <c r="B87" s="952"/>
      <c r="C87" s="952"/>
      <c r="D87" s="1309" t="s">
        <v>2763</v>
      </c>
      <c r="E87" s="1307" t="s">
        <v>1729</v>
      </c>
      <c r="F87" s="1308">
        <f>ROUND(SUMIF('CF.1'!$F:$F,'CF(공)_1.0'!E87,'CF.1'!$U:$U),0)</f>
        <v>0</v>
      </c>
      <c r="G87" s="1308">
        <v>0</v>
      </c>
      <c r="H87" s="1308">
        <v>0</v>
      </c>
      <c r="I87" s="1308">
        <v>0</v>
      </c>
      <c r="J87" s="1308">
        <v>0</v>
      </c>
      <c r="K87" s="1308">
        <v>0</v>
      </c>
      <c r="L87" s="1878">
        <v>-926598559</v>
      </c>
      <c r="M87" s="952"/>
      <c r="N87" s="925"/>
      <c r="O87" s="925"/>
      <c r="P87" s="925"/>
    </row>
    <row r="88" spans="2:16" s="925" customFormat="1" ht="18" customHeight="1">
      <c r="B88" s="509"/>
      <c r="C88" s="509"/>
      <c r="D88" s="1313" t="s">
        <v>2764</v>
      </c>
      <c r="E88" s="1304" t="s">
        <v>1440</v>
      </c>
      <c r="F88" s="1305">
        <f>ROUND(SUMIF('CF.1'!$F:$F,'CF(공)_1.0'!E88,'CF.1'!$U:$U),0)</f>
        <v>-645296381</v>
      </c>
      <c r="G88" s="1305">
        <v>-2139025545</v>
      </c>
      <c r="H88" s="1305">
        <v>-1056056242</v>
      </c>
      <c r="I88" s="1305">
        <v>-714339841</v>
      </c>
      <c r="J88" s="1305">
        <v>-481404989</v>
      </c>
      <c r="K88" s="1305">
        <v>-1030872652</v>
      </c>
      <c r="L88" s="1879">
        <v>-957015654</v>
      </c>
      <c r="M88" s="509"/>
    </row>
    <row r="89" spans="2:16" s="925" customFormat="1" ht="18" customHeight="1">
      <c r="D89" s="1313" t="s">
        <v>2765</v>
      </c>
      <c r="E89" s="1304" t="s">
        <v>1441</v>
      </c>
      <c r="F89" s="1305">
        <f>ROUND(SUMIF('CF.1'!$F:$F,'CF(공)_1.0'!E89,'CF.1'!$U:$U),0)</f>
        <v>-2257684660</v>
      </c>
      <c r="G89" s="1305">
        <v>-1812210937</v>
      </c>
      <c r="H89" s="1305">
        <v>-1237640972</v>
      </c>
      <c r="I89" s="1305">
        <v>-599316139</v>
      </c>
      <c r="J89" s="1305">
        <v>-151711747</v>
      </c>
      <c r="K89" s="1305">
        <v>-1973025076</v>
      </c>
      <c r="L89" s="1879">
        <v>-4704630931</v>
      </c>
      <c r="N89" s="509"/>
      <c r="O89" s="509"/>
      <c r="P89" s="509"/>
    </row>
    <row r="90" spans="2:16" ht="18" customHeight="1">
      <c r="B90" s="925"/>
      <c r="C90" s="925"/>
      <c r="D90" s="1313" t="s">
        <v>2766</v>
      </c>
      <c r="E90" s="1304" t="s">
        <v>1473</v>
      </c>
      <c r="F90" s="1305">
        <f>ROUND(SUMIF('CF.1'!$F:$F,'CF(공)_1.0'!E90,'CF.1'!$U:$U),0)</f>
        <v>0</v>
      </c>
      <c r="G90" s="1305">
        <v>0</v>
      </c>
      <c r="H90" s="1305">
        <v>0</v>
      </c>
      <c r="I90" s="1305">
        <v>0</v>
      </c>
      <c r="J90" s="1305">
        <v>0</v>
      </c>
      <c r="K90" s="1305">
        <v>0</v>
      </c>
      <c r="L90" s="1879">
        <v>-800000000</v>
      </c>
      <c r="M90" s="925"/>
    </row>
    <row r="91" spans="2:16" ht="18" customHeight="1">
      <c r="D91" s="1291" t="s">
        <v>1405</v>
      </c>
      <c r="E91" s="1292" t="s">
        <v>1405</v>
      </c>
      <c r="F91" s="1293">
        <f t="shared" ref="F91:L91" si="6">F92+F97</f>
        <v>-2079841945</v>
      </c>
      <c r="G91" s="1293">
        <f t="shared" si="6"/>
        <v>68109892699</v>
      </c>
      <c r="H91" s="1293">
        <f t="shared" si="6"/>
        <v>68574419310</v>
      </c>
      <c r="I91" s="1293">
        <f t="shared" si="6"/>
        <v>69007965130</v>
      </c>
      <c r="J91" s="1293">
        <f t="shared" si="6"/>
        <v>-486192626</v>
      </c>
      <c r="K91" s="1293">
        <f t="shared" si="6"/>
        <v>-2329330151</v>
      </c>
      <c r="L91" s="1294">
        <f t="shared" si="6"/>
        <v>-2965409032</v>
      </c>
    </row>
    <row r="92" spans="2:16" s="952" customFormat="1" ht="18" customHeight="1">
      <c r="B92" s="509"/>
      <c r="C92" s="509"/>
      <c r="D92" s="1299" t="s">
        <v>1406</v>
      </c>
      <c r="E92" s="1302" t="s">
        <v>1442</v>
      </c>
      <c r="F92" s="1301">
        <f>SUM(F93:F96)</f>
        <v>2468977</v>
      </c>
      <c r="G92" s="1301">
        <f t="shared" ref="G92:L92" si="7">SUM(G93:G96)</f>
        <v>70000001417</v>
      </c>
      <c r="H92" s="1301">
        <f t="shared" si="7"/>
        <v>70000001417</v>
      </c>
      <c r="I92" s="1301">
        <f t="shared" si="7"/>
        <v>70000001417</v>
      </c>
      <c r="J92" s="1301">
        <f t="shared" si="7"/>
        <v>0</v>
      </c>
      <c r="K92" s="1301">
        <f t="shared" si="7"/>
        <v>0</v>
      </c>
      <c r="L92" s="1315">
        <f t="shared" si="7"/>
        <v>0</v>
      </c>
      <c r="M92" s="509"/>
    </row>
    <row r="93" spans="2:16" s="952" customFormat="1" ht="18" customHeight="1">
      <c r="D93" s="1306" t="s">
        <v>1407</v>
      </c>
      <c r="E93" s="1307" t="s">
        <v>532</v>
      </c>
      <c r="F93" s="1308">
        <f>ROUND(SUMIF('CF.1'!$F:$F,'CF(공)_1.0'!E93,'CF.1'!$U:$U),0)</f>
        <v>0</v>
      </c>
      <c r="G93" s="1308">
        <v>0</v>
      </c>
      <c r="H93" s="1308">
        <v>0</v>
      </c>
      <c r="I93" s="1308">
        <v>0</v>
      </c>
      <c r="J93" s="1308">
        <v>0</v>
      </c>
      <c r="K93" s="1308">
        <v>0</v>
      </c>
      <c r="L93" s="1878">
        <v>0</v>
      </c>
    </row>
    <row r="94" spans="2:16" s="952" customFormat="1" ht="18" customHeight="1">
      <c r="D94" s="1306" t="s">
        <v>2554</v>
      </c>
      <c r="E94" s="1307" t="s">
        <v>2553</v>
      </c>
      <c r="F94" s="1308">
        <f>ROUND(SUMIF('CF.1'!$F:$F,'CF(공)_1.0'!E94,'CF.1'!$U:$U),0)</f>
        <v>0</v>
      </c>
      <c r="G94" s="1308">
        <v>70000001417</v>
      </c>
      <c r="H94" s="1308">
        <v>70000001417</v>
      </c>
      <c r="I94" s="1308">
        <v>70000001417</v>
      </c>
      <c r="J94" s="1308">
        <v>0</v>
      </c>
      <c r="K94" s="1308">
        <v>0</v>
      </c>
      <c r="L94" s="1878">
        <v>0</v>
      </c>
    </row>
    <row r="95" spans="2:16" s="952" customFormat="1" ht="18" customHeight="1">
      <c r="D95" s="1306" t="s">
        <v>1771</v>
      </c>
      <c r="E95" s="1307" t="s">
        <v>1243</v>
      </c>
      <c r="F95" s="1308">
        <f>ROUND(SUMIF('CF.1'!$F:$F,'CF(공)_1.0'!E95,'CF.1'!$U:$U),0)</f>
        <v>0</v>
      </c>
      <c r="G95" s="1308">
        <v>0</v>
      </c>
      <c r="H95" s="1308">
        <v>0</v>
      </c>
      <c r="I95" s="1308">
        <v>0</v>
      </c>
      <c r="J95" s="1305">
        <v>0</v>
      </c>
      <c r="K95" s="1308">
        <v>0</v>
      </c>
      <c r="L95" s="1878">
        <v>0</v>
      </c>
    </row>
    <row r="96" spans="2:16" s="952" customFormat="1" ht="18" customHeight="1">
      <c r="D96" s="1873" t="s">
        <v>2884</v>
      </c>
      <c r="E96" s="1871" t="s">
        <v>1259</v>
      </c>
      <c r="F96" s="1872">
        <f>ROUND(SUMIF('CF.1'!$F:$F,'CF(공)_1.0'!E96,'CF.1'!$U:$U),0)</f>
        <v>2468977</v>
      </c>
      <c r="G96" s="1872">
        <v>0</v>
      </c>
      <c r="H96" s="1872">
        <v>0</v>
      </c>
      <c r="I96" s="1872">
        <v>0</v>
      </c>
      <c r="J96" s="1872">
        <v>0</v>
      </c>
      <c r="K96" s="1872">
        <v>0</v>
      </c>
      <c r="L96" s="1882">
        <v>0</v>
      </c>
    </row>
    <row r="97" spans="2:13" ht="18" customHeight="1">
      <c r="B97" s="952"/>
      <c r="C97" s="952"/>
      <c r="D97" s="1299" t="s">
        <v>1408</v>
      </c>
      <c r="E97" s="1302" t="s">
        <v>1443</v>
      </c>
      <c r="F97" s="1301">
        <f t="shared" ref="F97:L97" si="8">SUM(F98:F101)</f>
        <v>-2082310922</v>
      </c>
      <c r="G97" s="1301">
        <f t="shared" si="8"/>
        <v>-1890108718</v>
      </c>
      <c r="H97" s="1301">
        <f t="shared" si="8"/>
        <v>-1425582107</v>
      </c>
      <c r="I97" s="1301">
        <f t="shared" si="8"/>
        <v>-992036287</v>
      </c>
      <c r="J97" s="1301">
        <f t="shared" si="8"/>
        <v>-486192626</v>
      </c>
      <c r="K97" s="1301">
        <f t="shared" si="8"/>
        <v>-2329330151</v>
      </c>
      <c r="L97" s="1315">
        <f t="shared" si="8"/>
        <v>-2965409032</v>
      </c>
      <c r="M97" s="952"/>
    </row>
    <row r="98" spans="2:13" ht="18" customHeight="1">
      <c r="D98" s="1303" t="s">
        <v>1409</v>
      </c>
      <c r="E98" s="1304" t="s">
        <v>1295</v>
      </c>
      <c r="F98" s="1305">
        <f>ROUND(SUMIF('CF.1'!$F:$F,'CF(공)_1.0'!E98,'CF.1'!$U:$U),0)</f>
        <v>0</v>
      </c>
      <c r="G98" s="1305">
        <v>0</v>
      </c>
      <c r="H98" s="1830">
        <v>0</v>
      </c>
      <c r="I98" s="1305">
        <v>0</v>
      </c>
      <c r="J98" s="1305">
        <v>0</v>
      </c>
      <c r="K98" s="1305">
        <v>0</v>
      </c>
      <c r="L98" s="1879">
        <v>0</v>
      </c>
    </row>
    <row r="99" spans="2:13" ht="18" customHeight="1">
      <c r="D99" s="1303" t="s">
        <v>1475</v>
      </c>
      <c r="E99" s="1304" t="s">
        <v>1281</v>
      </c>
      <c r="F99" s="1305">
        <f>ROUND(SUMIF('CF.1'!$F:$F,'CF(공)_1.0'!E99,'CF.1'!$U:$U),0)</f>
        <v>0</v>
      </c>
      <c r="G99" s="1305">
        <v>0</v>
      </c>
      <c r="H99" s="1830">
        <v>0</v>
      </c>
      <c r="I99" s="1305">
        <v>0</v>
      </c>
      <c r="J99" s="1305">
        <v>0</v>
      </c>
      <c r="K99" s="1305">
        <v>0</v>
      </c>
      <c r="L99" s="1879">
        <v>-465735790</v>
      </c>
    </row>
    <row r="100" spans="2:13" ht="18" customHeight="1">
      <c r="D100" s="1303" t="s">
        <v>2550</v>
      </c>
      <c r="E100" s="1304" t="s">
        <v>2551</v>
      </c>
      <c r="F100" s="1305">
        <f>ROUND(SUMIF('CF.1'!$F:$F,'CF(공)_1.0'!E100,'CF.1'!$U:$U),0)</f>
        <v>-2082310922</v>
      </c>
      <c r="G100" s="1305">
        <v>-1890108718</v>
      </c>
      <c r="H100" s="1830">
        <v>-1425582107</v>
      </c>
      <c r="I100" s="1305">
        <v>-992036287</v>
      </c>
      <c r="J100" s="1305">
        <v>-486192626</v>
      </c>
      <c r="K100" s="1305">
        <v>-2329330151</v>
      </c>
      <c r="L100" s="1879">
        <v>-2491608053</v>
      </c>
    </row>
    <row r="101" spans="2:13" ht="18" customHeight="1">
      <c r="D101" s="1303" t="s">
        <v>1681</v>
      </c>
      <c r="E101" s="1304" t="s">
        <v>1313</v>
      </c>
      <c r="F101" s="1305">
        <f>ROUND(SUMIF('CF.1'!$F:$F,'CF(공)_1.0'!E101,'CF.1'!$U:$U),0)</f>
        <v>0</v>
      </c>
      <c r="G101" s="1305">
        <v>0</v>
      </c>
      <c r="H101" s="1830">
        <v>0</v>
      </c>
      <c r="I101" s="1305">
        <v>0</v>
      </c>
      <c r="J101" s="1305">
        <v>0</v>
      </c>
      <c r="K101" s="1305">
        <v>0</v>
      </c>
      <c r="L101" s="1879">
        <v>-8065189</v>
      </c>
    </row>
    <row r="102" spans="2:13" ht="18" customHeight="1">
      <c r="D102" s="1291" t="s">
        <v>1410</v>
      </c>
      <c r="E102" s="1292" t="s">
        <v>1410</v>
      </c>
      <c r="F102" s="1293">
        <f t="shared" ref="F102:L102" si="9">F91+F66+F5</f>
        <v>6496015012</v>
      </c>
      <c r="G102" s="1293">
        <f t="shared" si="9"/>
        <v>33650586680</v>
      </c>
      <c r="H102" s="1293">
        <f t="shared" si="9"/>
        <v>43652587368</v>
      </c>
      <c r="I102" s="1293">
        <f t="shared" si="9"/>
        <v>59510815438</v>
      </c>
      <c r="J102" s="1293">
        <f t="shared" si="9"/>
        <v>-22439764147</v>
      </c>
      <c r="K102" s="1293">
        <f t="shared" si="9"/>
        <v>10423011723</v>
      </c>
      <c r="L102" s="1294">
        <f t="shared" si="9"/>
        <v>-6949094449</v>
      </c>
    </row>
    <row r="103" spans="2:13" ht="18" customHeight="1">
      <c r="D103" s="1291" t="s">
        <v>1411</v>
      </c>
      <c r="E103" s="1292" t="s">
        <v>1411</v>
      </c>
      <c r="F103" s="1293">
        <f>T_BS!AI8</f>
        <v>132018644520</v>
      </c>
      <c r="G103" s="1293">
        <v>97271207132</v>
      </c>
      <c r="H103" s="1293">
        <v>97271207132</v>
      </c>
      <c r="I103" s="1293">
        <v>97271207132</v>
      </c>
      <c r="J103" s="1293">
        <v>97271207132</v>
      </c>
      <c r="K103" s="1293">
        <v>88901392676</v>
      </c>
      <c r="L103" s="1294">
        <v>95653360723</v>
      </c>
    </row>
    <row r="104" spans="2:13" ht="18" customHeight="1">
      <c r="D104" s="1291" t="s">
        <v>1412</v>
      </c>
      <c r="E104" s="1318" t="s">
        <v>1412</v>
      </c>
      <c r="F104" s="1293">
        <f>'CF.1'!U345</f>
        <v>1334300764</v>
      </c>
      <c r="G104" s="1293">
        <v>1096850708</v>
      </c>
      <c r="H104" s="1293">
        <v>1995338151</v>
      </c>
      <c r="I104" s="1293">
        <v>927376871</v>
      </c>
      <c r="J104" s="1293">
        <v>1078713447</v>
      </c>
      <c r="K104" s="1293">
        <v>-2053197267</v>
      </c>
      <c r="L104" s="1294">
        <v>197126402</v>
      </c>
    </row>
    <row r="105" spans="2:13" ht="18" customHeight="1" thickBot="1">
      <c r="D105" s="1319" t="s">
        <v>1413</v>
      </c>
      <c r="E105" s="1320" t="s">
        <v>1413</v>
      </c>
      <c r="F105" s="1321">
        <f t="shared" ref="F105:L105" si="10">SUM(F102:F104)</f>
        <v>139848960296</v>
      </c>
      <c r="G105" s="1321">
        <f t="shared" si="10"/>
        <v>132018644520</v>
      </c>
      <c r="H105" s="1321">
        <f t="shared" si="10"/>
        <v>142919132651</v>
      </c>
      <c r="I105" s="1321">
        <f t="shared" si="10"/>
        <v>157709399441</v>
      </c>
      <c r="J105" s="1321">
        <f t="shared" si="10"/>
        <v>75910156432</v>
      </c>
      <c r="K105" s="1321">
        <f t="shared" si="10"/>
        <v>97271207132</v>
      </c>
      <c r="L105" s="1322">
        <f t="shared" si="10"/>
        <v>88901392676</v>
      </c>
    </row>
    <row r="106" spans="2:13" ht="18" customHeight="1">
      <c r="F106" s="840" t="b">
        <f>'CF.1'!U355=F105</f>
        <v>0</v>
      </c>
      <c r="G106" s="540"/>
    </row>
    <row r="107" spans="2:13" ht="18" customHeight="1">
      <c r="F107" s="840" t="b">
        <f>F105=T_BS!X8</f>
        <v>0</v>
      </c>
      <c r="G107" s="540" t="b">
        <f>G105=T_BS!AI8</f>
        <v>1</v>
      </c>
      <c r="H107" s="540" t="b">
        <f>H105=T_BS!AK8</f>
        <v>1</v>
      </c>
      <c r="I107" s="540" t="b">
        <f>I105=T_BS!AL8</f>
        <v>1</v>
      </c>
      <c r="J107" s="540" t="b">
        <f>J105=T_BS!AM8</f>
        <v>1</v>
      </c>
    </row>
    <row r="109" spans="2:13" ht="18" customHeight="1">
      <c r="F109" s="509">
        <f>'CF.1'!U355-F105</f>
        <v>5488882859</v>
      </c>
    </row>
  </sheetData>
  <autoFilter ref="D4:L107" xr:uid="{00000000-0009-0000-0000-00000E000000}"/>
  <phoneticPr fontId="22" type="noConversion"/>
  <pageMargins left="0.7" right="0.7" top="0.75" bottom="0.75" header="0.3" footer="0.3"/>
  <pageSetup paperSize="9" orientation="portrait" r:id="rId1"/>
  <ignoredErrors>
    <ignoredError sqref="K5:L7 G50:H50 I50:J50 I5:J5 K9:L10 K72:L76 K12:L14 K50:L64 G5:H5 K66:L70 G93:K103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0">
    <tabColor theme="5" tint="0.39997558519241921"/>
  </sheetPr>
  <dimension ref="D3:J86"/>
  <sheetViews>
    <sheetView showGridLines="0" zoomScale="85" zoomScaleNormal="85" workbookViewId="0">
      <pane xSplit="4" ySplit="4" topLeftCell="E5" activePane="bottomRight" state="frozen"/>
      <selection activeCell="J21" sqref="J21"/>
      <selection pane="topRight" activeCell="J21" sqref="J21"/>
      <selection pane="bottomLeft" activeCell="J21" sqref="J21"/>
      <selection pane="bottomRight" activeCell="K18" sqref="K18"/>
    </sheetView>
  </sheetViews>
  <sheetFormatPr defaultColWidth="8.75" defaultRowHeight="18" customHeight="1"/>
  <cols>
    <col min="1" max="3" width="2.375" style="3" customWidth="1"/>
    <col min="4" max="4" width="35.875" style="3" bestFit="1" customWidth="1"/>
    <col min="5" max="5" width="35.875" style="3" customWidth="1"/>
    <col min="6" max="9" width="22.25" style="5" customWidth="1"/>
    <col min="10" max="10" width="15.625" style="3" bestFit="1" customWidth="1"/>
    <col min="11" max="12" width="14.375" style="3" customWidth="1"/>
    <col min="13" max="16384" width="8.75" style="3"/>
  </cols>
  <sheetData>
    <row r="3" spans="4:10" s="2" customFormat="1" ht="18" customHeight="1" thickBot="1">
      <c r="F3" s="4"/>
      <c r="G3" s="145" t="e">
        <f>'BS(공)'!G8=G84</f>
        <v>#REF!</v>
      </c>
      <c r="H3" s="4"/>
      <c r="I3" s="4"/>
    </row>
    <row r="4" spans="4:10" ht="18" customHeight="1">
      <c r="D4" s="146" t="s">
        <v>1476</v>
      </c>
      <c r="E4" s="147" t="s">
        <v>17</v>
      </c>
      <c r="F4" s="2141" t="s">
        <v>1884</v>
      </c>
      <c r="G4" s="2142"/>
      <c r="H4" s="2141" t="s">
        <v>1769</v>
      </c>
      <c r="I4" s="2143"/>
    </row>
    <row r="5" spans="4:10" s="2" customFormat="1" ht="18" customHeight="1">
      <c r="D5" s="148" t="s">
        <v>1391</v>
      </c>
      <c r="E5" s="149"/>
      <c r="F5" s="150"/>
      <c r="G5" s="150" t="e">
        <f>SUM(F6,F50:F52)</f>
        <v>#REF!</v>
      </c>
      <c r="H5" s="150"/>
      <c r="I5" s="151">
        <f>SUM(H6,H50:H52)</f>
        <v>13641616776</v>
      </c>
      <c r="J5" s="4"/>
    </row>
    <row r="6" spans="4:10" s="2" customFormat="1" ht="18" customHeight="1">
      <c r="D6" s="152" t="s">
        <v>1392</v>
      </c>
      <c r="E6" s="153"/>
      <c r="F6" s="154">
        <f>SUM(F7:F8,F39)</f>
        <v>55245306020</v>
      </c>
      <c r="G6" s="154"/>
      <c r="H6" s="154">
        <f>SUM(H7:H8,H39)</f>
        <v>13994440937</v>
      </c>
      <c r="I6" s="155"/>
    </row>
    <row r="7" spans="4:10" s="2" customFormat="1" ht="18" customHeight="1">
      <c r="D7" s="156" t="s">
        <v>1770</v>
      </c>
      <c r="E7" s="157"/>
      <c r="F7" s="158">
        <f>'CF(공)_1.0'!F7</f>
        <v>45209287556</v>
      </c>
      <c r="G7" s="158"/>
      <c r="H7" s="158">
        <v>-21314253571</v>
      </c>
      <c r="I7" s="159"/>
      <c r="J7" s="2" t="b">
        <f>'IS(공)'!H19=F7</f>
        <v>0</v>
      </c>
    </row>
    <row r="8" spans="4:10" s="2" customFormat="1" ht="18" customHeight="1">
      <c r="D8" s="156" t="s">
        <v>1477</v>
      </c>
      <c r="E8" s="157"/>
      <c r="F8" s="158">
        <f>SUM(F9:F38)</f>
        <v>3750254867</v>
      </c>
      <c r="G8" s="158"/>
      <c r="H8" s="158">
        <f>SUM(H9:H38)</f>
        <v>30137381117</v>
      </c>
      <c r="I8" s="159"/>
      <c r="J8" s="4">
        <f>F8-'CF(공)_1.0'!F8</f>
        <v>41465872642</v>
      </c>
    </row>
    <row r="9" spans="4:10" ht="18" customHeight="1">
      <c r="D9" s="160" t="s">
        <v>380</v>
      </c>
      <c r="E9" s="161" t="s">
        <v>380</v>
      </c>
      <c r="F9" s="162">
        <f>ROUND(SUMIF('CF(공)_1.0'!$E:$E,'CF(공)_2.0'!E9,'CF(공)_1.0'!$F:$F),0)</f>
        <v>315254908</v>
      </c>
      <c r="G9" s="162"/>
      <c r="H9" s="162">
        <v>727208752</v>
      </c>
      <c r="I9" s="163"/>
    </row>
    <row r="10" spans="4:10" ht="18" customHeight="1">
      <c r="D10" s="160" t="s">
        <v>262</v>
      </c>
      <c r="E10" s="161" t="s">
        <v>262</v>
      </c>
      <c r="F10" s="162">
        <f>ROUND(SUMIF('CF(공)_1.0'!$E:$E,'CF(공)_2.0'!E10,'CF(공)_1.0'!$F:$F),0)</f>
        <v>1438114849</v>
      </c>
      <c r="G10" s="162"/>
      <c r="H10" s="162">
        <v>903714587</v>
      </c>
      <c r="I10" s="163"/>
    </row>
    <row r="11" spans="4:10" ht="18" customHeight="1">
      <c r="D11" s="160" t="s">
        <v>488</v>
      </c>
      <c r="E11" s="161" t="s">
        <v>488</v>
      </c>
      <c r="F11" s="162">
        <f>ROUND(SUMIF('CF(공)_1.0'!$E:$E,'CF(공)_2.0'!E11,'CF(공)_1.0'!$F:$F),0)</f>
        <v>3181367765</v>
      </c>
      <c r="G11" s="162"/>
      <c r="H11" s="162">
        <v>968110787</v>
      </c>
      <c r="I11" s="163"/>
    </row>
    <row r="12" spans="4:10" ht="18" customHeight="1">
      <c r="D12" s="160" t="s">
        <v>386</v>
      </c>
      <c r="E12" s="161" t="s">
        <v>386</v>
      </c>
      <c r="F12" s="162">
        <f>ROUND(SUMIF('CF(공)_1.0'!$E:$E,'CF(공)_2.0'!E12,'CF(공)_1.0'!$F:$F),0)</f>
        <v>2714238500</v>
      </c>
      <c r="G12" s="162"/>
      <c r="H12" s="162">
        <v>6624197748</v>
      </c>
      <c r="I12" s="163"/>
    </row>
    <row r="13" spans="4:10" ht="18" customHeight="1">
      <c r="D13" s="160" t="s">
        <v>758</v>
      </c>
      <c r="E13" s="161" t="s">
        <v>758</v>
      </c>
      <c r="F13" s="162">
        <f>ROUND(SUMIF('CF(공)_1.0'!$E:$E,'CF(공)_2.0'!E13,'CF(공)_1.0'!$F:$F),0)</f>
        <v>-56133700</v>
      </c>
      <c r="G13" s="162"/>
      <c r="H13" s="162">
        <v>0</v>
      </c>
      <c r="I13" s="163"/>
    </row>
    <row r="14" spans="4:10" ht="18" customHeight="1">
      <c r="D14" s="160" t="s">
        <v>1416</v>
      </c>
      <c r="E14" s="161" t="s">
        <v>1416</v>
      </c>
      <c r="F14" s="162">
        <f>ROUND(SUMIF('CF(공)_1.0'!$E:$E,'CF(공)_2.0'!E14,'CF(공)_1.0'!$F:$F),0)</f>
        <v>11147782</v>
      </c>
      <c r="G14" s="162"/>
      <c r="H14" s="162">
        <v>650257159</v>
      </c>
      <c r="I14" s="163"/>
    </row>
    <row r="15" spans="4:10" ht="18" customHeight="1">
      <c r="D15" s="160" t="s">
        <v>1768</v>
      </c>
      <c r="E15" s="161" t="s">
        <v>1768</v>
      </c>
      <c r="F15" s="162">
        <f>ROUND(SUMIF('CF(공)_1.0'!$E:$E,'CF(공)_2.0'!E15,'CF(공)_1.0'!$F:$F),0)</f>
        <v>0</v>
      </c>
      <c r="G15" s="162"/>
      <c r="H15" s="162">
        <v>0</v>
      </c>
      <c r="I15" s="163"/>
    </row>
    <row r="16" spans="4:10" ht="18" customHeight="1">
      <c r="D16" s="160" t="s">
        <v>1414</v>
      </c>
      <c r="E16" s="161" t="s">
        <v>1414</v>
      </c>
      <c r="F16" s="162">
        <f>ROUND(SUMIF('CF(공)_1.0'!$E:$E,'CF(공)_2.0'!E16,'CF(공)_1.0'!$F:$F),0)</f>
        <v>0</v>
      </c>
      <c r="G16" s="162"/>
      <c r="H16" s="162">
        <v>0</v>
      </c>
      <c r="I16" s="163"/>
    </row>
    <row r="17" spans="4:9" ht="18" customHeight="1">
      <c r="D17" s="160" t="s">
        <v>1415</v>
      </c>
      <c r="E17" s="161" t="s">
        <v>1415</v>
      </c>
      <c r="F17" s="162">
        <f>ROUND(SUMIF('CF(공)_1.0'!$E:$E,'CF(공)_2.0'!E17,'CF(공)_1.0'!$F:$F),0)</f>
        <v>0</v>
      </c>
      <c r="G17" s="162"/>
      <c r="H17" s="162">
        <v>0</v>
      </c>
      <c r="I17" s="163"/>
    </row>
    <row r="18" spans="4:9" ht="18" customHeight="1">
      <c r="D18" s="160" t="s">
        <v>1417</v>
      </c>
      <c r="E18" s="161" t="s">
        <v>1417</v>
      </c>
      <c r="F18" s="162">
        <f>ROUND(SUMIF('CF(공)_1.0'!$E:$E,'CF(공)_2.0'!E18,'CF(공)_1.0'!$F:$F),0)</f>
        <v>7476589</v>
      </c>
      <c r="G18" s="162"/>
      <c r="H18" s="162">
        <v>7832710</v>
      </c>
      <c r="I18" s="163"/>
    </row>
    <row r="19" spans="4:9" ht="18" customHeight="1">
      <c r="D19" s="160" t="s">
        <v>1733</v>
      </c>
      <c r="E19" s="161" t="s">
        <v>1733</v>
      </c>
      <c r="F19" s="162">
        <f>ROUND(SUMIF('CF(공)_1.0'!$E:$E,'CF(공)_2.0'!E19,'CF(공)_1.0'!$F:$F),0)</f>
        <v>0</v>
      </c>
      <c r="G19" s="162"/>
      <c r="H19" s="162">
        <v>0</v>
      </c>
      <c r="I19" s="163"/>
    </row>
    <row r="20" spans="4:9" ht="18" customHeight="1">
      <c r="D20" s="160" t="s">
        <v>738</v>
      </c>
      <c r="E20" s="161" t="s">
        <v>738</v>
      </c>
      <c r="F20" s="162">
        <f>ROUND(SUMIF('CF(공)_1.0'!$E:$E,'CF(공)_2.0'!E20,'CF(공)_1.0'!$F:$F),0)</f>
        <v>0</v>
      </c>
      <c r="G20" s="162"/>
      <c r="H20" s="162">
        <v>3018808147</v>
      </c>
      <c r="I20" s="163"/>
    </row>
    <row r="21" spans="4:9" ht="18" customHeight="1">
      <c r="D21" s="160" t="s">
        <v>681</v>
      </c>
      <c r="E21" s="161" t="s">
        <v>681</v>
      </c>
      <c r="F21" s="162">
        <f>ROUND(SUMIF('CF(공)_1.0'!$E:$E,'CF(공)_2.0'!E21,'CF(공)_1.0'!$F:$F),0)</f>
        <v>195958275</v>
      </c>
      <c r="G21" s="162"/>
      <c r="H21" s="162">
        <v>421425170</v>
      </c>
      <c r="I21" s="163"/>
    </row>
    <row r="22" spans="4:9" ht="18" customHeight="1">
      <c r="D22" s="160" t="s">
        <v>683</v>
      </c>
      <c r="E22" s="161" t="s">
        <v>683</v>
      </c>
      <c r="F22" s="162">
        <f>ROUND(SUMIF('CF(공)_1.0'!$E:$E,'CF(공)_2.0'!E22,'CF(공)_1.0'!$F:$F),0)</f>
        <v>103356804</v>
      </c>
      <c r="G22" s="162"/>
      <c r="H22" s="162">
        <v>120370359</v>
      </c>
      <c r="I22" s="163"/>
    </row>
    <row r="23" spans="4:9" ht="18" customHeight="1">
      <c r="D23" s="160" t="s">
        <v>732</v>
      </c>
      <c r="E23" s="161" t="s">
        <v>732</v>
      </c>
      <c r="F23" s="162">
        <f>ROUND(SUMIF('CF(공)_1.0'!$E:$E,'CF(공)_2.0'!E23,'CF(공)_1.0'!$F:$F),0)</f>
        <v>62881122</v>
      </c>
      <c r="G23" s="162"/>
      <c r="H23" s="162">
        <v>0</v>
      </c>
      <c r="I23" s="163"/>
    </row>
    <row r="24" spans="4:9" ht="18" customHeight="1">
      <c r="D24" s="160" t="s">
        <v>734</v>
      </c>
      <c r="E24" s="161" t="s">
        <v>734</v>
      </c>
      <c r="F24" s="162">
        <f>ROUND(SUMIF('CF(공)_1.0'!$E:$E,'CF(공)_2.0'!E24,'CF(공)_1.0'!$F:$F),0)</f>
        <v>216671</v>
      </c>
      <c r="G24" s="162"/>
      <c r="H24" s="162">
        <v>0</v>
      </c>
      <c r="I24" s="163"/>
    </row>
    <row r="25" spans="4:9" ht="18" customHeight="1">
      <c r="D25" s="160" t="s">
        <v>686</v>
      </c>
      <c r="E25" s="161" t="s">
        <v>686</v>
      </c>
      <c r="F25" s="162">
        <f>ROUND(SUMIF('CF(공)_1.0'!$E:$E,'CF(공)_2.0'!E25,'CF(공)_1.0'!$F:$F),0)</f>
        <v>242686686</v>
      </c>
      <c r="G25" s="162"/>
      <c r="H25" s="162">
        <v>18961996554</v>
      </c>
      <c r="I25" s="163"/>
    </row>
    <row r="26" spans="4:9" ht="18" customHeight="1">
      <c r="D26" s="160" t="s">
        <v>481</v>
      </c>
      <c r="E26" s="161" t="s">
        <v>481</v>
      </c>
      <c r="F26" s="162">
        <f>ROUND(SUMIF('CF(공)_1.0'!$E:$E,'CF(공)_2.0'!E26,'CF(공)_1.0'!$F:$F),0)</f>
        <v>0</v>
      </c>
      <c r="G26" s="162"/>
      <c r="H26" s="162">
        <v>27763957</v>
      </c>
      <c r="I26" s="163"/>
    </row>
    <row r="27" spans="4:9" ht="18" customHeight="1">
      <c r="D27" s="160" t="s">
        <v>687</v>
      </c>
      <c r="E27" s="161" t="s">
        <v>687</v>
      </c>
      <c r="F27" s="162">
        <f>ROUND(SUMIF('CF(공)_1.0'!$E:$E,'CF(공)_2.0'!E27,'CF(공)_1.0'!$F:$F),0)</f>
        <v>0</v>
      </c>
      <c r="G27" s="162"/>
      <c r="H27" s="162">
        <v>8137014</v>
      </c>
      <c r="I27" s="163"/>
    </row>
    <row r="28" spans="4:9" ht="18" customHeight="1">
      <c r="D28" s="160" t="s">
        <v>673</v>
      </c>
      <c r="E28" s="161" t="s">
        <v>673</v>
      </c>
      <c r="F28" s="162">
        <f>ROUND(SUMIF('CF(공)_1.0'!$E:$E,'CF(공)_2.0'!E28,'CF(공)_1.0'!$F:$F),0)</f>
        <v>-1666986895</v>
      </c>
      <c r="G28" s="162"/>
      <c r="H28" s="162">
        <v>-924728239</v>
      </c>
      <c r="I28" s="163"/>
    </row>
    <row r="29" spans="4:9" ht="18" customHeight="1">
      <c r="D29" s="160" t="s">
        <v>675</v>
      </c>
      <c r="E29" s="161" t="s">
        <v>675</v>
      </c>
      <c r="F29" s="162">
        <f>ROUND(SUMIF('CF(공)_1.0'!$E:$E,'CF(공)_2.0'!E29,'CF(공)_1.0'!$F:$F),0)</f>
        <v>-1557307639</v>
      </c>
      <c r="G29" s="162"/>
      <c r="H29" s="162">
        <v>-336870792</v>
      </c>
      <c r="I29" s="163"/>
    </row>
    <row r="30" spans="4:9" ht="18" customHeight="1">
      <c r="D30" s="160" t="s">
        <v>881</v>
      </c>
      <c r="E30" s="161" t="s">
        <v>881</v>
      </c>
      <c r="F30" s="162">
        <f>ROUND(SUMIF('CF(공)_1.0'!$E:$E,'CF(공)_2.0'!E30,'CF(공)_1.0'!$F:$F),0)</f>
        <v>0</v>
      </c>
      <c r="G30" s="162"/>
      <c r="H30" s="162">
        <v>0</v>
      </c>
      <c r="I30" s="163"/>
    </row>
    <row r="31" spans="4:9" ht="18" customHeight="1">
      <c r="D31" s="160" t="s">
        <v>1418</v>
      </c>
      <c r="E31" s="161" t="s">
        <v>1418</v>
      </c>
      <c r="F31" s="162">
        <f>ROUND(SUMIF('CF(공)_1.0'!$E:$E,'CF(공)_2.0'!E31,'CF(공)_1.0'!$F:$F),0)</f>
        <v>0</v>
      </c>
      <c r="G31" s="162"/>
      <c r="H31" s="162">
        <v>-46435516</v>
      </c>
      <c r="I31" s="163"/>
    </row>
    <row r="32" spans="4:9" ht="18" customHeight="1">
      <c r="D32" s="160" t="s">
        <v>1419</v>
      </c>
      <c r="E32" s="161" t="s">
        <v>1419</v>
      </c>
      <c r="F32" s="162">
        <f>ROUND(SUMIF('CF(공)_1.0'!$E:$E,'CF(공)_2.0'!E32,'CF(공)_1.0'!$F:$F),0)</f>
        <v>-3510625687</v>
      </c>
      <c r="G32" s="162"/>
      <c r="H32" s="162">
        <v>-3474243</v>
      </c>
      <c r="I32" s="163"/>
    </row>
    <row r="33" spans="4:9" ht="18" customHeight="1">
      <c r="D33" s="160" t="s">
        <v>1420</v>
      </c>
      <c r="E33" s="161" t="s">
        <v>1420</v>
      </c>
      <c r="F33" s="162">
        <f>ROUND(SUMIF('CF(공)_1.0'!$E:$E,'CF(공)_2.0'!E33,'CF(공)_1.0'!$F:$F),0)</f>
        <v>2394018200</v>
      </c>
      <c r="G33" s="162"/>
      <c r="H33" s="162">
        <v>21976536</v>
      </c>
      <c r="I33" s="163"/>
    </row>
    <row r="34" spans="4:9" ht="18" customHeight="1">
      <c r="D34" s="160" t="s">
        <v>678</v>
      </c>
      <c r="E34" s="161" t="s">
        <v>678</v>
      </c>
      <c r="F34" s="162">
        <f>ROUND(SUMIF('CF(공)_1.0'!$E:$E,'CF(공)_2.0'!E34,'CF(공)_1.0'!$F:$F),0)</f>
        <v>-63636363</v>
      </c>
      <c r="G34" s="162"/>
      <c r="H34" s="162">
        <v>-6012061</v>
      </c>
      <c r="I34" s="163"/>
    </row>
    <row r="35" spans="4:9" ht="18" customHeight="1">
      <c r="D35" s="160" t="s">
        <v>679</v>
      </c>
      <c r="E35" s="161" t="s">
        <v>679</v>
      </c>
      <c r="F35" s="162">
        <f>ROUND(SUMIF('CF(공)_1.0'!$E:$E,'CF(공)_2.0'!E35,'CF(공)_1.0'!$F:$F),0)</f>
        <v>0</v>
      </c>
      <c r="G35" s="162"/>
      <c r="H35" s="162">
        <v>-6897512</v>
      </c>
      <c r="I35" s="163"/>
    </row>
    <row r="36" spans="4:9" ht="18" customHeight="1">
      <c r="D36" s="160" t="s">
        <v>1731</v>
      </c>
      <c r="E36" s="161" t="s">
        <v>1731</v>
      </c>
      <c r="F36" s="162">
        <f>ROUND(SUMIF('CF(공)_1.0'!$E:$E,'CF(공)_2.0'!E36,'CF(공)_1.0'!$F:$F),0)</f>
        <v>0</v>
      </c>
      <c r="G36" s="162"/>
      <c r="H36" s="162">
        <v>0</v>
      </c>
      <c r="I36" s="163"/>
    </row>
    <row r="37" spans="4:9" ht="18" customHeight="1">
      <c r="D37" s="160" t="s">
        <v>1471</v>
      </c>
      <c r="E37" s="161" t="s">
        <v>1471</v>
      </c>
      <c r="F37" s="162">
        <f>ROUND(SUMIF('CF(공)_1.0'!$E:$E,'CF(공)_2.0'!E37,'CF(공)_1.0'!$F:$F),0)</f>
        <v>0</v>
      </c>
      <c r="G37" s="162"/>
      <c r="H37" s="162">
        <v>0</v>
      </c>
      <c r="I37" s="163"/>
    </row>
    <row r="38" spans="4:9" ht="18" customHeight="1">
      <c r="D38" s="160" t="s">
        <v>1883</v>
      </c>
      <c r="E38" s="161" t="s">
        <v>901</v>
      </c>
      <c r="F38" s="162">
        <f>ROUND(SUMIF('CF(공)_1.0'!$E:$E,'CF(공)_2.0'!E38,'CF(공)_1.0'!$F:$F),0)</f>
        <v>-61773000</v>
      </c>
      <c r="G38" s="162"/>
      <c r="H38" s="162">
        <v>-1000000000</v>
      </c>
      <c r="I38" s="163"/>
    </row>
    <row r="39" spans="4:9" s="2" customFormat="1" ht="18" customHeight="1">
      <c r="D39" s="156" t="s">
        <v>1421</v>
      </c>
      <c r="E39" s="157"/>
      <c r="F39" s="158">
        <f>SUM(F40:F49)</f>
        <v>6285763597</v>
      </c>
      <c r="G39" s="158"/>
      <c r="H39" s="158">
        <f>SUM(H40:H49)</f>
        <v>5171313391</v>
      </c>
      <c r="I39" s="159"/>
    </row>
    <row r="40" spans="4:9" ht="18" customHeight="1">
      <c r="D40" s="160" t="s">
        <v>1422</v>
      </c>
      <c r="E40" s="161" t="s">
        <v>1422</v>
      </c>
      <c r="F40" s="162">
        <f>ROUND(SUMIF('CF(공)_1.0'!$E:$E,'CF(공)_2.0'!E40,'CF(공)_1.0'!$F:$F),0)</f>
        <v>0</v>
      </c>
      <c r="G40" s="162"/>
      <c r="H40" s="162">
        <v>-9662593697</v>
      </c>
      <c r="I40" s="163"/>
    </row>
    <row r="41" spans="4:9" ht="18" customHeight="1">
      <c r="D41" s="160" t="s">
        <v>1423</v>
      </c>
      <c r="E41" s="161" t="s">
        <v>1423</v>
      </c>
      <c r="F41" s="162">
        <f>ROUND(SUMIF('CF(공)_1.0'!$E:$E,'CF(공)_2.0'!E41,'CF(공)_1.0'!$F:$F),0)</f>
        <v>1082082760</v>
      </c>
      <c r="G41" s="162"/>
      <c r="H41" s="162">
        <v>-4567827388</v>
      </c>
      <c r="I41" s="163"/>
    </row>
    <row r="42" spans="4:9" ht="18" customHeight="1">
      <c r="D42" s="160" t="s">
        <v>1424</v>
      </c>
      <c r="E42" s="161" t="s">
        <v>1424</v>
      </c>
      <c r="F42" s="162">
        <f>ROUND(SUMIF('CF(공)_1.0'!$E:$E,'CF(공)_2.0'!E42,'CF(공)_1.0'!$F:$F),0)</f>
        <v>8525697131</v>
      </c>
      <c r="G42" s="162"/>
      <c r="H42" s="162">
        <v>120496256</v>
      </c>
      <c r="I42" s="163"/>
    </row>
    <row r="43" spans="4:9" ht="18" customHeight="1">
      <c r="D43" s="160" t="s">
        <v>1425</v>
      </c>
      <c r="E43" s="161" t="s">
        <v>1425</v>
      </c>
      <c r="F43" s="162">
        <f>ROUND(SUMIF('CF(공)_1.0'!$E:$E,'CF(공)_2.0'!E43,'CF(공)_1.0'!$F:$F),0)</f>
        <v>0</v>
      </c>
      <c r="G43" s="162"/>
      <c r="H43" s="162">
        <v>-4423441156</v>
      </c>
      <c r="I43" s="163"/>
    </row>
    <row r="44" spans="4:9" ht="18" customHeight="1">
      <c r="D44" s="160" t="s">
        <v>1779</v>
      </c>
      <c r="E44" s="161" t="s">
        <v>1779</v>
      </c>
      <c r="F44" s="162">
        <f>ROUND(SUMIF('CF(공)_1.0'!$E:$E,'CF(공)_2.0'!E44,'CF(공)_1.0'!$F:$F),0)</f>
        <v>0</v>
      </c>
      <c r="G44" s="162"/>
      <c r="H44" s="162"/>
      <c r="I44" s="163"/>
    </row>
    <row r="45" spans="4:9" ht="18" customHeight="1">
      <c r="D45" s="160" t="s">
        <v>1676</v>
      </c>
      <c r="E45" s="161" t="s">
        <v>1676</v>
      </c>
      <c r="F45" s="162">
        <f>ROUND(SUMIF('CF(공)_1.0'!$E:$E,'CF(공)_2.0'!E45,'CF(공)_1.0'!$F:$F),0)</f>
        <v>0</v>
      </c>
      <c r="G45" s="162"/>
      <c r="H45" s="162" t="s">
        <v>611</v>
      </c>
      <c r="I45" s="163"/>
    </row>
    <row r="46" spans="4:9" ht="18" customHeight="1">
      <c r="D46" s="160" t="s">
        <v>1426</v>
      </c>
      <c r="E46" s="161" t="s">
        <v>1426</v>
      </c>
      <c r="F46" s="162">
        <f>ROUND(SUMIF('CF(공)_1.0'!$E:$E,'CF(공)_2.0'!E46,'CF(공)_1.0'!$F:$F),0)</f>
        <v>0</v>
      </c>
      <c r="G46" s="162"/>
      <c r="H46" s="162">
        <v>10560214059</v>
      </c>
      <c r="I46" s="163"/>
    </row>
    <row r="47" spans="4:9" ht="18" customHeight="1">
      <c r="D47" s="160" t="s">
        <v>1427</v>
      </c>
      <c r="E47" s="161" t="s">
        <v>1427</v>
      </c>
      <c r="F47" s="162">
        <f>ROUND(SUMIF('CF(공)_1.0'!$E:$E,'CF(공)_2.0'!E47,'CF(공)_1.0'!$F:$F),0)</f>
        <v>0</v>
      </c>
      <c r="G47" s="162"/>
      <c r="H47" s="162">
        <v>2463385876</v>
      </c>
      <c r="I47" s="163"/>
    </row>
    <row r="48" spans="4:9" ht="18" customHeight="1">
      <c r="D48" s="160" t="s">
        <v>1428</v>
      </c>
      <c r="E48" s="161" t="s">
        <v>1428</v>
      </c>
      <c r="F48" s="162">
        <f>ROUND(SUMIF('CF(공)_1.0'!$E:$E,'CF(공)_2.0'!E48,'CF(공)_1.0'!$F:$F),0)</f>
        <v>-3322016294</v>
      </c>
      <c r="G48" s="162"/>
      <c r="H48" s="162">
        <v>12005959229</v>
      </c>
      <c r="I48" s="163"/>
    </row>
    <row r="49" spans="4:10" ht="18" customHeight="1">
      <c r="D49" s="160" t="s">
        <v>1430</v>
      </c>
      <c r="E49" s="161" t="s">
        <v>1430</v>
      </c>
      <c r="F49" s="162">
        <f>ROUND(SUMIF('CF(공)_1.0'!$E:$E,'CF(공)_2.0'!E49,'CF(공)_1.0'!$F:$F),0)</f>
        <v>0</v>
      </c>
      <c r="G49" s="162"/>
      <c r="H49" s="162">
        <v>-1324879788</v>
      </c>
      <c r="I49" s="163"/>
    </row>
    <row r="50" spans="4:10" ht="18" customHeight="1">
      <c r="D50" s="152" t="s">
        <v>1399</v>
      </c>
      <c r="E50" s="153" t="s">
        <v>1007</v>
      </c>
      <c r="F50" s="154" t="e">
        <f>'CF(공)_1.0'!#REF!</f>
        <v>#REF!</v>
      </c>
      <c r="G50" s="154"/>
      <c r="H50" s="154">
        <v>768265231</v>
      </c>
      <c r="I50" s="155"/>
    </row>
    <row r="51" spans="4:10" ht="18" customHeight="1">
      <c r="D51" s="152" t="s">
        <v>1400</v>
      </c>
      <c r="E51" s="153" t="s">
        <v>1009</v>
      </c>
      <c r="F51" s="154" t="e">
        <f>'CF(공)_1.0'!#REF!</f>
        <v>#REF!</v>
      </c>
      <c r="G51" s="154"/>
      <c r="H51" s="154">
        <v>-75990852</v>
      </c>
      <c r="I51" s="155"/>
    </row>
    <row r="52" spans="4:10" ht="18" customHeight="1">
      <c r="D52" s="152" t="s">
        <v>1401</v>
      </c>
      <c r="E52" s="153" t="s">
        <v>1011</v>
      </c>
      <c r="F52" s="154" t="e">
        <f>'CF(공)_1.0'!#REF!</f>
        <v>#REF!</v>
      </c>
      <c r="G52" s="154"/>
      <c r="H52" s="154">
        <v>-1045098540</v>
      </c>
      <c r="I52" s="155"/>
    </row>
    <row r="53" spans="4:10" s="2" customFormat="1" ht="18" customHeight="1">
      <c r="D53" s="148" t="s">
        <v>1402</v>
      </c>
      <c r="E53" s="149"/>
      <c r="F53" s="150"/>
      <c r="G53" s="150">
        <f>SUM(F54,F60)</f>
        <v>-2951755164</v>
      </c>
      <c r="H53" s="150"/>
      <c r="I53" s="151">
        <f>SUM(H54,H60)</f>
        <v>-10169433987</v>
      </c>
      <c r="J53" s="4" t="b">
        <f>G53-'CF(공)_1.0'!F66=0</f>
        <v>0</v>
      </c>
    </row>
    <row r="54" spans="4:10" s="2" customFormat="1" ht="18" customHeight="1">
      <c r="D54" s="156" t="s">
        <v>1431</v>
      </c>
      <c r="E54" s="157"/>
      <c r="F54" s="158">
        <f>SUM(F55:F59)</f>
        <v>560942363</v>
      </c>
      <c r="G54" s="158"/>
      <c r="H54" s="158">
        <f>SUM(H55:H59)</f>
        <v>61819543667</v>
      </c>
      <c r="I54" s="159"/>
    </row>
    <row r="55" spans="4:10" ht="18" customHeight="1">
      <c r="D55" s="160" t="s">
        <v>1373</v>
      </c>
      <c r="E55" s="161" t="s">
        <v>1373</v>
      </c>
      <c r="F55" s="162">
        <f>ROUND(SUMIF('CF(공)_1.0'!$E:$E,'CF(공)_2.0'!E55,'CF(공)_1.0'!$F:$F),0)</f>
        <v>200000000</v>
      </c>
      <c r="G55" s="162"/>
      <c r="H55" s="162">
        <v>196574806</v>
      </c>
      <c r="I55" s="163"/>
    </row>
    <row r="56" spans="4:10" ht="18" customHeight="1">
      <c r="D56" s="160" t="s">
        <v>1376</v>
      </c>
      <c r="E56" s="161" t="s">
        <v>1376</v>
      </c>
      <c r="F56" s="162">
        <f>ROUND(SUMIF('CF(공)_1.0'!$E:$E,'CF(공)_2.0'!E56,'CF(공)_1.0'!$F:$F),0)</f>
        <v>0</v>
      </c>
      <c r="G56" s="162"/>
      <c r="H56" s="162">
        <v>18000000</v>
      </c>
      <c r="I56" s="163"/>
    </row>
    <row r="57" spans="4:10" ht="18" customHeight="1">
      <c r="D57" s="160" t="s">
        <v>1433</v>
      </c>
      <c r="E57" s="161" t="s">
        <v>1433</v>
      </c>
      <c r="F57" s="162">
        <f>ROUND(SUMIF('CF(공)_1.0'!$E:$E,'CF(공)_2.0'!E57,'CF(공)_1.0'!$F:$F),0)</f>
        <v>297306000</v>
      </c>
      <c r="G57" s="162"/>
      <c r="H57" s="162">
        <v>61586457593</v>
      </c>
      <c r="I57" s="163"/>
    </row>
    <row r="58" spans="4:10" ht="18" customHeight="1">
      <c r="D58" s="160" t="s">
        <v>1434</v>
      </c>
      <c r="E58" s="161" t="s">
        <v>1434</v>
      </c>
      <c r="F58" s="162">
        <f>ROUND(SUMIF('CF(공)_1.0'!$E:$E,'CF(공)_2.0'!E58,'CF(공)_1.0'!$F:$F),0)</f>
        <v>63636363</v>
      </c>
      <c r="G58" s="162"/>
      <c r="H58" s="162">
        <v>9545268</v>
      </c>
      <c r="I58" s="163"/>
    </row>
    <row r="59" spans="4:10" ht="18" customHeight="1">
      <c r="D59" s="160" t="s">
        <v>1435</v>
      </c>
      <c r="E59" s="161" t="s">
        <v>1435</v>
      </c>
      <c r="F59" s="162">
        <v>0</v>
      </c>
      <c r="G59" s="162"/>
      <c r="H59" s="162">
        <v>8966000</v>
      </c>
      <c r="I59" s="163"/>
    </row>
    <row r="60" spans="4:10" s="2" customFormat="1" ht="18" customHeight="1">
      <c r="D60" s="156" t="s">
        <v>1437</v>
      </c>
      <c r="E60" s="157"/>
      <c r="F60" s="158">
        <f>-SUM(F61:F72)</f>
        <v>-3512697527</v>
      </c>
      <c r="G60" s="158"/>
      <c r="H60" s="158">
        <f>-SUM(H61:H72)</f>
        <v>-71988977654</v>
      </c>
      <c r="I60" s="159"/>
    </row>
    <row r="61" spans="4:10" ht="18" customHeight="1">
      <c r="D61" s="160" t="s">
        <v>1372</v>
      </c>
      <c r="E61" s="161" t="s">
        <v>1372</v>
      </c>
      <c r="F61" s="162">
        <f>-ROUND(SUMIF('CF(공)_1.0'!$E:$E,'CF(공)_2.0'!E61,'CF(공)_1.0'!$F:$F),0)</f>
        <v>609216486</v>
      </c>
      <c r="G61" s="162"/>
      <c r="H61" s="162">
        <v>20379757</v>
      </c>
      <c r="I61" s="163"/>
    </row>
    <row r="62" spans="4:10" ht="18" customHeight="1">
      <c r="D62" s="160" t="s">
        <v>1472</v>
      </c>
      <c r="E62" s="161" t="s">
        <v>1472</v>
      </c>
      <c r="F62" s="162">
        <f>-ROUND(SUMIF('CF(공)_1.0'!$E:$E,'CF(공)_2.0'!E62,'CF(공)_1.0'!$F:$F),0)</f>
        <v>500000</v>
      </c>
      <c r="G62" s="162"/>
      <c r="H62" s="162"/>
      <c r="I62" s="163"/>
    </row>
    <row r="63" spans="4:10" ht="18" customHeight="1">
      <c r="D63" s="160" t="s">
        <v>1136</v>
      </c>
      <c r="E63" s="161" t="s">
        <v>1136</v>
      </c>
      <c r="F63" s="162">
        <f>-ROUND(SUMIF('CF(공)_1.0'!$E:$E,'CF(공)_2.0'!E63,'CF(공)_1.0'!$F:$F),0)</f>
        <v>0</v>
      </c>
      <c r="G63" s="162"/>
      <c r="H63" s="162"/>
      <c r="I63" s="163"/>
    </row>
    <row r="64" spans="4:10" ht="18" customHeight="1">
      <c r="D64" s="160" t="s">
        <v>1684</v>
      </c>
      <c r="E64" s="161" t="s">
        <v>1684</v>
      </c>
      <c r="F64" s="162">
        <f>-ROUND(SUMIF('CF(공)_1.0'!$E:$E,'CF(공)_2.0'!E64,'CF(공)_1.0'!$F:$F),0)</f>
        <v>0</v>
      </c>
      <c r="G64" s="162"/>
      <c r="H64" s="162"/>
      <c r="I64" s="163"/>
    </row>
    <row r="65" spans="4:10" ht="18" customHeight="1">
      <c r="D65" s="160" t="s">
        <v>1682</v>
      </c>
      <c r="E65" s="161" t="s">
        <v>1682</v>
      </c>
      <c r="F65" s="162">
        <f>-ROUND(SUMIF('CF(공)_1.0'!$E:$E,'CF(공)_2.0'!E65,'CF(공)_1.0'!$F:$F),0)</f>
        <v>0</v>
      </c>
      <c r="G65" s="162"/>
      <c r="H65" s="162"/>
      <c r="I65" s="163"/>
    </row>
    <row r="66" spans="4:10" ht="18" customHeight="1">
      <c r="D66" s="160" t="s">
        <v>1439</v>
      </c>
      <c r="E66" s="161" t="s">
        <v>1439</v>
      </c>
      <c r="F66" s="162">
        <f>-ROUND(SUMIF('CF(공)_1.0'!$E:$E,'CF(공)_2.0'!E66,'CF(공)_1.0'!$F:$F),0)</f>
        <v>0</v>
      </c>
      <c r="G66" s="162"/>
      <c r="H66" s="162">
        <v>47900002834</v>
      </c>
      <c r="I66" s="163"/>
    </row>
    <row r="67" spans="4:10" ht="18" customHeight="1">
      <c r="D67" s="160" t="s">
        <v>1474</v>
      </c>
      <c r="E67" s="161" t="s">
        <v>1474</v>
      </c>
      <c r="F67" s="162">
        <f>-ROUND(SUMIF('CF(공)_1.0'!$E:$E,'CF(공)_2.0'!E67,'CF(공)_1.0'!$F:$F),0)</f>
        <v>0</v>
      </c>
      <c r="G67" s="162"/>
      <c r="H67" s="162">
        <v>1211867769</v>
      </c>
      <c r="I67" s="163"/>
    </row>
    <row r="68" spans="4:10" ht="18" customHeight="1">
      <c r="D68" s="160" t="s">
        <v>1729</v>
      </c>
      <c r="E68" s="161" t="s">
        <v>1729</v>
      </c>
      <c r="F68" s="162">
        <f>-ROUND(SUMIF('CF(공)_1.0'!$E:$E,'CF(공)_2.0'!E68,'CF(공)_1.0'!$F:$F),0)</f>
        <v>0</v>
      </c>
      <c r="G68" s="162"/>
      <c r="H68" s="162"/>
      <c r="I68" s="163"/>
    </row>
    <row r="69" spans="4:10" ht="18" customHeight="1">
      <c r="D69" s="160" t="s">
        <v>1440</v>
      </c>
      <c r="E69" s="161" t="s">
        <v>1440</v>
      </c>
      <c r="F69" s="162">
        <f>-ROUND(SUMIF('CF(공)_1.0'!$E:$E,'CF(공)_2.0'!E69,'CF(공)_1.0'!$F:$F),0)</f>
        <v>645296381</v>
      </c>
      <c r="G69" s="162"/>
      <c r="H69" s="162">
        <v>1999782244</v>
      </c>
      <c r="I69" s="163"/>
    </row>
    <row r="70" spans="4:10" ht="18" customHeight="1">
      <c r="D70" s="160" t="s">
        <v>1441</v>
      </c>
      <c r="E70" s="161" t="s">
        <v>1441</v>
      </c>
      <c r="F70" s="162">
        <f>-ROUND(SUMIF('CF(공)_1.0'!$E:$E,'CF(공)_2.0'!E70,'CF(공)_1.0'!$F:$F),0)</f>
        <v>2257684660</v>
      </c>
      <c r="G70" s="162"/>
      <c r="H70" s="162">
        <v>17536945050</v>
      </c>
      <c r="I70" s="163"/>
    </row>
    <row r="71" spans="4:10" ht="18" customHeight="1">
      <c r="D71" s="160" t="s">
        <v>1473</v>
      </c>
      <c r="E71" s="161" t="s">
        <v>1473</v>
      </c>
      <c r="F71" s="162">
        <f>-ROUND(SUMIF('CF(공)_1.0'!$E:$E,'CF(공)_2.0'!E71,'CF(공)_1.0'!$F:$F),0)</f>
        <v>0</v>
      </c>
      <c r="G71" s="162"/>
      <c r="H71" s="162">
        <v>3320000000</v>
      </c>
      <c r="I71" s="163"/>
    </row>
    <row r="72" spans="4:10" ht="18" customHeight="1">
      <c r="D72" s="160" t="s">
        <v>1734</v>
      </c>
      <c r="E72" s="161" t="s">
        <v>1734</v>
      </c>
      <c r="F72" s="162">
        <v>0</v>
      </c>
      <c r="G72" s="162"/>
      <c r="H72" s="162"/>
      <c r="I72" s="163"/>
    </row>
    <row r="73" spans="4:10" s="2" customFormat="1" ht="18" customHeight="1">
      <c r="D73" s="148" t="s">
        <v>1405</v>
      </c>
      <c r="E73" s="149"/>
      <c r="F73" s="150"/>
      <c r="G73" s="150">
        <f>SUM(F74,F76)</f>
        <v>0</v>
      </c>
      <c r="H73" s="150"/>
      <c r="I73" s="151">
        <f>SUM(H74,H76)</f>
        <v>68471782850</v>
      </c>
      <c r="J73" s="2" t="b">
        <f>'CF(공)_1.0'!F91=G73</f>
        <v>0</v>
      </c>
    </row>
    <row r="74" spans="4:10" s="2" customFormat="1" ht="18" customHeight="1">
      <c r="D74" s="156" t="s">
        <v>1442</v>
      </c>
      <c r="E74" s="157"/>
      <c r="F74" s="158">
        <f>F75</f>
        <v>0</v>
      </c>
      <c r="G74" s="158"/>
      <c r="H74" s="158">
        <f>H75</f>
        <v>69971782850</v>
      </c>
      <c r="I74" s="159"/>
    </row>
    <row r="75" spans="4:10" ht="18" customHeight="1">
      <c r="D75" s="160" t="s">
        <v>532</v>
      </c>
      <c r="E75" s="161" t="s">
        <v>532</v>
      </c>
      <c r="F75" s="162">
        <f>ROUND(SUMIF('CF(공)_1.0'!$E:$E,'CF(공)_2.0'!E75,'CF(공)_1.0'!$F:$F),0)</f>
        <v>0</v>
      </c>
      <c r="G75" s="162"/>
      <c r="H75" s="162">
        <v>69971782850</v>
      </c>
      <c r="I75" s="163"/>
    </row>
    <row r="76" spans="4:10" s="2" customFormat="1" ht="18" customHeight="1">
      <c r="D76" s="156" t="s">
        <v>1443</v>
      </c>
      <c r="E76" s="157"/>
      <c r="F76" s="158">
        <f>-SUM(F77:F80)</f>
        <v>0</v>
      </c>
      <c r="G76" s="158"/>
      <c r="H76" s="158">
        <f>-SUM(H77:H80)</f>
        <v>-1500000000</v>
      </c>
      <c r="I76" s="159"/>
    </row>
    <row r="77" spans="4:10" ht="18" customHeight="1">
      <c r="D77" s="160" t="s">
        <v>1295</v>
      </c>
      <c r="E77" s="161" t="s">
        <v>1295</v>
      </c>
      <c r="F77" s="162">
        <f>-ROUND(SUMIF('CF(공)_1.0'!$E:$E,'CF(공)_2.0'!E77,'CF(공)_1.0'!$F:$F),0)</f>
        <v>0</v>
      </c>
      <c r="G77" s="162"/>
      <c r="H77" s="162"/>
      <c r="I77" s="163"/>
    </row>
    <row r="78" spans="4:10" ht="18" customHeight="1">
      <c r="D78" s="160" t="s">
        <v>1281</v>
      </c>
      <c r="E78" s="161" t="s">
        <v>1281</v>
      </c>
      <c r="F78" s="162">
        <f>-ROUND(SUMIF('CF(공)_1.0'!$E:$E,'CF(공)_2.0'!E78,'CF(공)_1.0'!$F:$F),0)</f>
        <v>0</v>
      </c>
      <c r="G78" s="162"/>
      <c r="H78" s="162">
        <v>1500000000</v>
      </c>
      <c r="I78" s="163"/>
    </row>
    <row r="79" spans="4:10" ht="18" customHeight="1">
      <c r="D79" s="160" t="s">
        <v>1680</v>
      </c>
      <c r="E79" s="161" t="s">
        <v>1680</v>
      </c>
      <c r="F79" s="162">
        <f>-ROUND(SUMIF('CF(공)_1.0'!$E:$E,'CF(공)_2.0'!E79,'CF(공)_1.0'!$F:$F),0)</f>
        <v>0</v>
      </c>
      <c r="G79" s="162"/>
      <c r="H79" s="162"/>
      <c r="I79" s="163"/>
    </row>
    <row r="80" spans="4:10" ht="18" customHeight="1">
      <c r="D80" s="160" t="s">
        <v>1313</v>
      </c>
      <c r="E80" s="161" t="s">
        <v>1313</v>
      </c>
      <c r="F80" s="162">
        <f>-ROUND(SUMIF('CF(공)_1.0'!$E:$E,'CF(공)_2.0'!E80,'CF(공)_1.0'!$F:$F),0)</f>
        <v>0</v>
      </c>
      <c r="G80" s="162"/>
      <c r="H80" s="162"/>
      <c r="I80" s="163"/>
    </row>
    <row r="81" spans="4:9" s="2" customFormat="1" ht="18" customHeight="1">
      <c r="D81" s="148" t="s">
        <v>1410</v>
      </c>
      <c r="E81" s="149"/>
      <c r="F81" s="150"/>
      <c r="G81" s="150" t="e">
        <f>SUM(G73,G53,G5)</f>
        <v>#REF!</v>
      </c>
      <c r="H81" s="150"/>
      <c r="I81" s="151">
        <f>SUM(I73,I53,I5)</f>
        <v>71943965639</v>
      </c>
    </row>
    <row r="82" spans="4:9" s="2" customFormat="1" ht="18" customHeight="1">
      <c r="D82" s="148" t="s">
        <v>1411</v>
      </c>
      <c r="E82" s="149"/>
      <c r="F82" s="150"/>
      <c r="G82" s="150">
        <f>'BS(공)'!M8</f>
        <v>88901392676</v>
      </c>
      <c r="H82" s="150"/>
      <c r="I82" s="151">
        <v>22920303979</v>
      </c>
    </row>
    <row r="83" spans="4:9" s="2" customFormat="1" ht="18" customHeight="1">
      <c r="D83" s="148" t="s">
        <v>1412</v>
      </c>
      <c r="E83" s="149"/>
      <c r="F83" s="150"/>
      <c r="G83" s="150">
        <f>'CF(공)_1.0'!F104</f>
        <v>1334300764</v>
      </c>
      <c r="H83" s="150"/>
      <c r="I83" s="151">
        <v>789091105</v>
      </c>
    </row>
    <row r="84" spans="4:9" s="2" customFormat="1" ht="18" customHeight="1" thickBot="1">
      <c r="D84" s="164" t="s">
        <v>1413</v>
      </c>
      <c r="E84" s="165"/>
      <c r="F84" s="166"/>
      <c r="G84" s="166" t="e">
        <f>SUM(G81:G83)</f>
        <v>#REF!</v>
      </c>
      <c r="H84" s="166"/>
      <c r="I84" s="167">
        <f>SUM(I81:I83)</f>
        <v>95653360723</v>
      </c>
    </row>
    <row r="85" spans="4:9" ht="18" customHeight="1">
      <c r="G85" s="5">
        <f>'BS(공)'!G8</f>
        <v>145092190441</v>
      </c>
    </row>
    <row r="86" spans="4:9" ht="18" customHeight="1">
      <c r="G86" s="5" t="e">
        <f>G85-G84=0</f>
        <v>#REF!</v>
      </c>
    </row>
  </sheetData>
  <mergeCells count="2">
    <mergeCell ref="F4:G4"/>
    <mergeCell ref="H4:I4"/>
  </mergeCells>
  <phoneticPr fontId="2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N157"/>
  <sheetViews>
    <sheetView zoomScale="80" zoomScaleNormal="80" workbookViewId="0">
      <selection activeCell="R22" sqref="R22"/>
    </sheetView>
  </sheetViews>
  <sheetFormatPr defaultColWidth="9" defaultRowHeight="13.5"/>
  <cols>
    <col min="1" max="1" width="11.375" style="364" bestFit="1" customWidth="1"/>
    <col min="2" max="2" width="9" style="364" bestFit="1" customWidth="1"/>
    <col min="3" max="3" width="29.375" style="364" bestFit="1" customWidth="1"/>
    <col min="4" max="4" width="8.375" style="364" bestFit="1" customWidth="1"/>
    <col min="5" max="5" width="8" style="364" bestFit="1" customWidth="1"/>
    <col min="6" max="6" width="11.375" style="364" bestFit="1" customWidth="1"/>
    <col min="7" max="7" width="13.875" style="366" bestFit="1" customWidth="1"/>
    <col min="8" max="8" width="11.375" style="364" bestFit="1" customWidth="1"/>
    <col min="9" max="9" width="13.875" style="366" bestFit="1" customWidth="1"/>
    <col min="10" max="11" width="9" style="364"/>
    <col min="12" max="12" width="14.875" style="364" bestFit="1" customWidth="1"/>
    <col min="13" max="13" width="10.25" style="364" bestFit="1" customWidth="1"/>
    <col min="14" max="16384" width="9" style="364"/>
  </cols>
  <sheetData>
    <row r="1" spans="1:13">
      <c r="A1" s="361" t="s">
        <v>626</v>
      </c>
      <c r="B1" s="361" t="s">
        <v>627</v>
      </c>
      <c r="C1" s="362" t="s">
        <v>628</v>
      </c>
      <c r="D1" s="362" t="s">
        <v>629</v>
      </c>
      <c r="E1" s="362" t="s">
        <v>630</v>
      </c>
      <c r="F1" s="362" t="s">
        <v>631</v>
      </c>
      <c r="G1" s="363" t="s">
        <v>1919</v>
      </c>
      <c r="H1" s="361" t="s">
        <v>1920</v>
      </c>
      <c r="I1" s="363" t="s">
        <v>1921</v>
      </c>
      <c r="J1" s="361" t="s">
        <v>1922</v>
      </c>
      <c r="L1" s="364" t="s">
        <v>1924</v>
      </c>
      <c r="M1" s="364" t="s">
        <v>1925</v>
      </c>
    </row>
    <row r="2" spans="1:13">
      <c r="A2" s="365" t="s">
        <v>632</v>
      </c>
      <c r="B2" s="353">
        <v>1101</v>
      </c>
      <c r="C2" s="321" t="s">
        <v>633</v>
      </c>
      <c r="D2" s="250">
        <v>1000</v>
      </c>
      <c r="E2" s="250"/>
      <c r="F2" s="250" t="s">
        <v>473</v>
      </c>
      <c r="G2" s="7">
        <v>38081</v>
      </c>
      <c r="H2" s="250" t="s">
        <v>473</v>
      </c>
      <c r="I2" s="322">
        <v>38081</v>
      </c>
      <c r="J2" s="362"/>
      <c r="L2" s="366">
        <f>SUMIF(T198_TB!$E:$E,TB!B2,T198_TB!$L:$L)</f>
        <v>0</v>
      </c>
      <c r="M2" s="364">
        <f>IF(I2=L2,"TRUE",I2-L2)</f>
        <v>38081</v>
      </c>
    </row>
    <row r="3" spans="1:13">
      <c r="A3" s="365" t="s">
        <v>632</v>
      </c>
      <c r="B3" s="353">
        <v>1102</v>
      </c>
      <c r="C3" s="321" t="s">
        <v>634</v>
      </c>
      <c r="D3" s="250">
        <v>1000</v>
      </c>
      <c r="E3" s="250"/>
      <c r="F3" s="250" t="s">
        <v>473</v>
      </c>
      <c r="G3" s="7">
        <v>85261921661</v>
      </c>
      <c r="H3" s="250" t="s">
        <v>473</v>
      </c>
      <c r="I3" s="322">
        <v>85261921661</v>
      </c>
      <c r="J3" s="362"/>
      <c r="L3" s="366">
        <f>SUMIF(T198_TB!$E:$E,TB!B3,T198_TB!$L:$L)</f>
        <v>145092190441</v>
      </c>
      <c r="M3" s="364">
        <f t="shared" ref="M3:M66" si="0">IF(I3=L3,"TRUE",I3-L3)</f>
        <v>-59830268780</v>
      </c>
    </row>
    <row r="4" spans="1:13">
      <c r="A4" s="365" t="s">
        <v>632</v>
      </c>
      <c r="B4" s="353">
        <v>1501</v>
      </c>
      <c r="C4" s="321" t="s">
        <v>635</v>
      </c>
      <c r="D4" s="250">
        <v>1000</v>
      </c>
      <c r="E4" s="250"/>
      <c r="F4" s="250" t="s">
        <v>473</v>
      </c>
      <c r="G4" s="7">
        <v>0</v>
      </c>
      <c r="H4" s="250" t="s">
        <v>473</v>
      </c>
      <c r="I4" s="322">
        <v>0</v>
      </c>
      <c r="J4" s="362"/>
      <c r="L4" s="366">
        <f>SUMIF(T198_TB!$E:$E,TB!B4,T198_TB!$L:$L)</f>
        <v>0</v>
      </c>
      <c r="M4" s="364" t="str">
        <f t="shared" si="0"/>
        <v>TRUE</v>
      </c>
    </row>
    <row r="5" spans="1:13">
      <c r="A5" s="365" t="s">
        <v>632</v>
      </c>
      <c r="B5" s="354">
        <v>1201</v>
      </c>
      <c r="C5" s="323" t="s">
        <v>636</v>
      </c>
      <c r="D5" s="251">
        <v>1000</v>
      </c>
      <c r="E5" s="251"/>
      <c r="F5" s="251" t="s">
        <v>473</v>
      </c>
      <c r="G5" s="169">
        <v>20307700404</v>
      </c>
      <c r="H5" s="251" t="s">
        <v>473</v>
      </c>
      <c r="I5" s="324">
        <v>20307700404</v>
      </c>
      <c r="J5" s="362"/>
      <c r="L5" s="366">
        <f>SUMIF(T198_TB!$E:$E,TB!B5,T198_TB!$L:$L)</f>
        <v>23030221350</v>
      </c>
      <c r="M5" s="364">
        <f t="shared" si="0"/>
        <v>-2722520946</v>
      </c>
    </row>
    <row r="6" spans="1:13">
      <c r="A6" s="365" t="s">
        <v>632</v>
      </c>
      <c r="B6" s="354">
        <v>1202</v>
      </c>
      <c r="C6" s="323" t="s">
        <v>637</v>
      </c>
      <c r="D6" s="251">
        <v>1000</v>
      </c>
      <c r="E6" s="251"/>
      <c r="F6" s="251" t="s">
        <v>473</v>
      </c>
      <c r="G6" s="169">
        <v>-2063837928</v>
      </c>
      <c r="H6" s="251" t="s">
        <v>473</v>
      </c>
      <c r="I6" s="324">
        <v>-2063837928</v>
      </c>
      <c r="J6" s="362"/>
      <c r="L6" s="366">
        <f>SUMIF(T198_TB!$E:$E,TB!B6,T198_TB!$L:$L)</f>
        <v>-1008283464</v>
      </c>
      <c r="M6" s="364">
        <f t="shared" si="0"/>
        <v>-1055554464</v>
      </c>
    </row>
    <row r="7" spans="1:13">
      <c r="A7" s="365" t="s">
        <v>632</v>
      </c>
      <c r="B7" s="354">
        <v>1203</v>
      </c>
      <c r="C7" s="323" t="s">
        <v>638</v>
      </c>
      <c r="D7" s="251">
        <v>1000</v>
      </c>
      <c r="E7" s="251"/>
      <c r="F7" s="251" t="s">
        <v>473</v>
      </c>
      <c r="G7" s="169">
        <v>5519317523</v>
      </c>
      <c r="H7" s="251" t="s">
        <v>473</v>
      </c>
      <c r="I7" s="324">
        <v>5519317523</v>
      </c>
      <c r="J7" s="362"/>
      <c r="L7" s="366">
        <f>SUMIF(T198_TB!$E:$E,TB!B7,T198_TB!$L:$L)</f>
        <v>1943468131</v>
      </c>
      <c r="M7" s="364">
        <f t="shared" si="0"/>
        <v>3575849392</v>
      </c>
    </row>
    <row r="8" spans="1:13">
      <c r="A8" s="365" t="s">
        <v>632</v>
      </c>
      <c r="B8" s="354">
        <v>2322</v>
      </c>
      <c r="C8" s="323" t="s">
        <v>1705</v>
      </c>
      <c r="D8" s="251">
        <v>1000</v>
      </c>
      <c r="E8" s="251"/>
      <c r="F8" s="251" t="s">
        <v>473</v>
      </c>
      <c r="G8" s="169">
        <v>0</v>
      </c>
      <c r="H8" s="251" t="s">
        <v>473</v>
      </c>
      <c r="I8" s="324">
        <v>0</v>
      </c>
      <c r="J8" s="362"/>
      <c r="L8" s="366">
        <f>SUMIF(T198_TB!$E:$E,TB!B8,T198_TB!$L:$L)</f>
        <v>0</v>
      </c>
      <c r="M8" s="364" t="str">
        <f t="shared" si="0"/>
        <v>TRUE</v>
      </c>
    </row>
    <row r="9" spans="1:13">
      <c r="A9" s="365" t="s">
        <v>632</v>
      </c>
      <c r="B9" s="354">
        <v>2321</v>
      </c>
      <c r="C9" s="323" t="s">
        <v>1704</v>
      </c>
      <c r="D9" s="251">
        <v>1000</v>
      </c>
      <c r="E9" s="251"/>
      <c r="F9" s="251" t="s">
        <v>473</v>
      </c>
      <c r="G9" s="169">
        <v>0</v>
      </c>
      <c r="H9" s="251" t="s">
        <v>473</v>
      </c>
      <c r="I9" s="324">
        <v>0</v>
      </c>
      <c r="J9" s="362"/>
      <c r="L9" s="366">
        <f>SUMIF(T198_TB!$E:$E,TB!B9,T198_TB!$L:$L)</f>
        <v>0</v>
      </c>
      <c r="M9" s="364" t="str">
        <f t="shared" si="0"/>
        <v>TRUE</v>
      </c>
    </row>
    <row r="10" spans="1:13">
      <c r="A10" s="365" t="s">
        <v>632</v>
      </c>
      <c r="B10" s="354">
        <v>1221</v>
      </c>
      <c r="C10" s="323" t="s">
        <v>1877</v>
      </c>
      <c r="D10" s="251">
        <v>1000</v>
      </c>
      <c r="E10" s="251"/>
      <c r="F10" s="251" t="s">
        <v>473</v>
      </c>
      <c r="G10" s="169">
        <v>352050000</v>
      </c>
      <c r="H10" s="251" t="s">
        <v>473</v>
      </c>
      <c r="I10" s="324">
        <v>352050000</v>
      </c>
      <c r="J10" s="362"/>
      <c r="L10" s="366">
        <f>SUMIF(T198_TB!$E:$E,TB!B10,T198_TB!$L:$L)</f>
        <v>0</v>
      </c>
      <c r="M10" s="364">
        <f t="shared" si="0"/>
        <v>352050000</v>
      </c>
    </row>
    <row r="11" spans="1:13">
      <c r="A11" s="365" t="s">
        <v>632</v>
      </c>
      <c r="B11" s="354">
        <v>2311</v>
      </c>
      <c r="C11" s="323" t="s">
        <v>1694</v>
      </c>
      <c r="D11" s="251">
        <v>1000</v>
      </c>
      <c r="E11" s="251"/>
      <c r="F11" s="251" t="s">
        <v>473</v>
      </c>
      <c r="G11" s="169">
        <v>0</v>
      </c>
      <c r="H11" s="251" t="s">
        <v>473</v>
      </c>
      <c r="I11" s="324">
        <v>0</v>
      </c>
      <c r="J11" s="362"/>
      <c r="L11" s="366">
        <f>SUMIF(T198_TB!$E:$E,TB!B11,T198_TB!$L:$L)</f>
        <v>0</v>
      </c>
      <c r="M11" s="364" t="str">
        <f t="shared" si="0"/>
        <v>TRUE</v>
      </c>
    </row>
    <row r="12" spans="1:13">
      <c r="A12" s="365" t="s">
        <v>632</v>
      </c>
      <c r="B12" s="354">
        <v>4104</v>
      </c>
      <c r="C12" s="325" t="s">
        <v>1695</v>
      </c>
      <c r="D12" s="251">
        <v>1000</v>
      </c>
      <c r="E12" s="251"/>
      <c r="F12" s="251" t="s">
        <v>473</v>
      </c>
      <c r="G12" s="169">
        <v>-106915200</v>
      </c>
      <c r="H12" s="251" t="s">
        <v>473</v>
      </c>
      <c r="I12" s="324">
        <v>-106915200</v>
      </c>
      <c r="J12" s="362"/>
      <c r="L12" s="366">
        <f>SUMIF(T198_TB!$E:$E,TB!B12,T198_TB!$L:$L)</f>
        <v>0</v>
      </c>
      <c r="M12" s="364">
        <f t="shared" si="0"/>
        <v>-106915200</v>
      </c>
    </row>
    <row r="13" spans="1:13">
      <c r="A13" s="365" t="s">
        <v>632</v>
      </c>
      <c r="B13" s="354">
        <v>1208</v>
      </c>
      <c r="C13" s="323" t="s">
        <v>639</v>
      </c>
      <c r="D13" s="251">
        <v>1000</v>
      </c>
      <c r="E13" s="251"/>
      <c r="F13" s="251" t="s">
        <v>473</v>
      </c>
      <c r="G13" s="169">
        <v>21382321396</v>
      </c>
      <c r="H13" s="251" t="s">
        <v>473</v>
      </c>
      <c r="I13" s="324">
        <v>21382321396</v>
      </c>
      <c r="J13" s="362"/>
      <c r="L13" s="366">
        <f>SUMIF(T198_TB!$E:$E,TB!B13,T198_TB!$L:$L)</f>
        <v>29865105638</v>
      </c>
      <c r="M13" s="364">
        <f t="shared" si="0"/>
        <v>-8482784242</v>
      </c>
    </row>
    <row r="14" spans="1:13">
      <c r="A14" s="365" t="s">
        <v>632</v>
      </c>
      <c r="B14" s="354">
        <v>1209</v>
      </c>
      <c r="C14" s="323" t="s">
        <v>1782</v>
      </c>
      <c r="D14" s="251">
        <v>1000</v>
      </c>
      <c r="E14" s="251"/>
      <c r="F14" s="251" t="s">
        <v>473</v>
      </c>
      <c r="G14" s="169">
        <v>0</v>
      </c>
      <c r="H14" s="251" t="s">
        <v>473</v>
      </c>
      <c r="I14" s="324">
        <v>0</v>
      </c>
      <c r="J14" s="362"/>
      <c r="L14" s="366">
        <f>SUMIF(T198_TB!$E:$E,TB!B14,T198_TB!$L:$L)</f>
        <v>-4373517551</v>
      </c>
      <c r="M14" s="364">
        <f t="shared" si="0"/>
        <v>4373517551</v>
      </c>
    </row>
    <row r="15" spans="1:13">
      <c r="A15" s="365" t="s">
        <v>632</v>
      </c>
      <c r="B15" s="354">
        <v>2650</v>
      </c>
      <c r="C15" s="323" t="s">
        <v>1778</v>
      </c>
      <c r="D15" s="251">
        <v>1000</v>
      </c>
      <c r="E15" s="251"/>
      <c r="F15" s="251" t="s">
        <v>473</v>
      </c>
      <c r="G15" s="169">
        <v>55315563</v>
      </c>
      <c r="H15" s="251" t="s">
        <v>473</v>
      </c>
      <c r="I15" s="324">
        <v>55315563</v>
      </c>
      <c r="J15" s="362"/>
      <c r="L15" s="366">
        <f>SUMIF(T198_TB!$E:$E,TB!B15,T198_TB!$L:$L)</f>
        <v>0</v>
      </c>
      <c r="M15" s="364">
        <f t="shared" si="0"/>
        <v>55315563</v>
      </c>
    </row>
    <row r="16" spans="1:13">
      <c r="A16" s="365" t="s">
        <v>632</v>
      </c>
      <c r="B16" s="354">
        <v>1212</v>
      </c>
      <c r="C16" s="323" t="s">
        <v>36</v>
      </c>
      <c r="D16" s="251">
        <v>1000</v>
      </c>
      <c r="E16" s="251"/>
      <c r="F16" s="251" t="s">
        <v>473</v>
      </c>
      <c r="G16" s="169">
        <v>27066208</v>
      </c>
      <c r="H16" s="251" t="s">
        <v>473</v>
      </c>
      <c r="I16" s="324">
        <v>27066208</v>
      </c>
      <c r="J16" s="362"/>
      <c r="L16" s="366">
        <f>SUMIF(T198_TB!$E:$E,TB!B16,T198_TB!$L:$L)</f>
        <v>458253688</v>
      </c>
      <c r="M16" s="364">
        <f t="shared" si="0"/>
        <v>-431187480</v>
      </c>
    </row>
    <row r="17" spans="1:13">
      <c r="A17" s="365" t="s">
        <v>632</v>
      </c>
      <c r="B17" s="354">
        <v>1601</v>
      </c>
      <c r="C17" s="323" t="s">
        <v>640</v>
      </c>
      <c r="D17" s="251">
        <v>1000</v>
      </c>
      <c r="E17" s="251"/>
      <c r="F17" s="251" t="s">
        <v>473</v>
      </c>
      <c r="G17" s="169">
        <v>3100479529</v>
      </c>
      <c r="H17" s="251" t="s">
        <v>473</v>
      </c>
      <c r="I17" s="324">
        <v>3100479529</v>
      </c>
      <c r="J17" s="362"/>
      <c r="L17" s="366">
        <f>SUMIF(T198_TB!$E:$E,TB!B17,T198_TB!$L:$L)</f>
        <v>3652634586</v>
      </c>
      <c r="M17" s="364">
        <f t="shared" si="0"/>
        <v>-552155057</v>
      </c>
    </row>
    <row r="18" spans="1:13">
      <c r="A18" s="365" t="s">
        <v>632</v>
      </c>
      <c r="B18" s="354">
        <v>1605</v>
      </c>
      <c r="C18" s="323" t="s">
        <v>641</v>
      </c>
      <c r="D18" s="251">
        <v>1000</v>
      </c>
      <c r="E18" s="251"/>
      <c r="F18" s="251" t="s">
        <v>473</v>
      </c>
      <c r="G18" s="169">
        <v>2109855131</v>
      </c>
      <c r="H18" s="251" t="s">
        <v>473</v>
      </c>
      <c r="I18" s="324">
        <v>2109855131</v>
      </c>
      <c r="J18" s="362"/>
      <c r="L18" s="366">
        <f>SUMIF(T198_TB!$E:$E,TB!B18,T198_TB!$L:$L)</f>
        <v>1804231412</v>
      </c>
      <c r="M18" s="364">
        <f t="shared" si="0"/>
        <v>305623719</v>
      </c>
    </row>
    <row r="19" spans="1:13">
      <c r="A19" s="365" t="s">
        <v>632</v>
      </c>
      <c r="B19" s="354">
        <v>1401</v>
      </c>
      <c r="C19" s="323" t="s">
        <v>54</v>
      </c>
      <c r="D19" s="251">
        <v>1000</v>
      </c>
      <c r="E19" s="251"/>
      <c r="F19" s="251" t="s">
        <v>473</v>
      </c>
      <c r="G19" s="169">
        <v>232596928</v>
      </c>
      <c r="H19" s="251" t="s">
        <v>473</v>
      </c>
      <c r="I19" s="324">
        <v>232596928</v>
      </c>
      <c r="J19" s="362"/>
      <c r="L19" s="366">
        <f>SUMIF(T198_TB!$E:$E,TB!B19,T198_TB!$L:$L)</f>
        <v>365160691</v>
      </c>
      <c r="M19" s="364">
        <f t="shared" si="0"/>
        <v>-132563763</v>
      </c>
    </row>
    <row r="20" spans="1:13">
      <c r="A20" s="365" t="s">
        <v>632</v>
      </c>
      <c r="B20" s="354">
        <v>1301</v>
      </c>
      <c r="C20" s="323" t="s">
        <v>43</v>
      </c>
      <c r="D20" s="251">
        <v>1000</v>
      </c>
      <c r="E20" s="251"/>
      <c r="F20" s="251" t="s">
        <v>473</v>
      </c>
      <c r="G20" s="169">
        <v>10226309654</v>
      </c>
      <c r="H20" s="251" t="s">
        <v>473</v>
      </c>
      <c r="I20" s="324">
        <v>10226309654</v>
      </c>
      <c r="J20" s="362"/>
      <c r="L20" s="366">
        <f>SUMIF(T198_TB!$E:$E,TB!B20,T198_TB!$L:$L)</f>
        <v>9807120155</v>
      </c>
      <c r="M20" s="364">
        <f t="shared" si="0"/>
        <v>419189499</v>
      </c>
    </row>
    <row r="21" spans="1:13">
      <c r="A21" s="365" t="s">
        <v>632</v>
      </c>
      <c r="B21" s="354">
        <v>1302</v>
      </c>
      <c r="C21" s="323" t="s">
        <v>44</v>
      </c>
      <c r="D21" s="251">
        <v>1000</v>
      </c>
      <c r="E21" s="251"/>
      <c r="F21" s="251" t="s">
        <v>473</v>
      </c>
      <c r="G21" s="169">
        <v>-7390353471</v>
      </c>
      <c r="H21" s="251" t="s">
        <v>473</v>
      </c>
      <c r="I21" s="324">
        <v>-7390353471</v>
      </c>
      <c r="J21" s="362"/>
      <c r="L21" s="366">
        <f>SUMIF(T198_TB!$E:$E,TB!B21,T198_TB!$L:$L)</f>
        <v>-5535764881</v>
      </c>
      <c r="M21" s="364">
        <f t="shared" si="0"/>
        <v>-1854588590</v>
      </c>
    </row>
    <row r="22" spans="1:13">
      <c r="A22" s="365" t="s">
        <v>632</v>
      </c>
      <c r="B22" s="354">
        <v>1303</v>
      </c>
      <c r="C22" s="323" t="s">
        <v>45</v>
      </c>
      <c r="D22" s="251">
        <v>1000</v>
      </c>
      <c r="E22" s="251"/>
      <c r="F22" s="251" t="s">
        <v>473</v>
      </c>
      <c r="G22" s="169">
        <v>3674363853</v>
      </c>
      <c r="H22" s="251" t="s">
        <v>473</v>
      </c>
      <c r="I22" s="324">
        <v>3674363853</v>
      </c>
      <c r="J22" s="362"/>
      <c r="L22" s="366">
        <f>SUMIF(T198_TB!$E:$E,TB!B22,T198_TB!$L:$L)</f>
        <v>4905559095</v>
      </c>
      <c r="M22" s="364">
        <f t="shared" si="0"/>
        <v>-1231195242</v>
      </c>
    </row>
    <row r="23" spans="1:13">
      <c r="A23" s="365" t="s">
        <v>632</v>
      </c>
      <c r="B23" s="354">
        <v>1304</v>
      </c>
      <c r="C23" s="323" t="s">
        <v>46</v>
      </c>
      <c r="D23" s="251">
        <v>1000</v>
      </c>
      <c r="E23" s="251"/>
      <c r="F23" s="251" t="s">
        <v>473</v>
      </c>
      <c r="G23" s="169">
        <v>-1778908795</v>
      </c>
      <c r="H23" s="251" t="s">
        <v>473</v>
      </c>
      <c r="I23" s="324">
        <v>-1778908795</v>
      </c>
      <c r="J23" s="362"/>
      <c r="L23" s="366">
        <f>SUMIF(T198_TB!$E:$E,TB!B23,T198_TB!$L:$L)</f>
        <v>-1363326587</v>
      </c>
      <c r="M23" s="364">
        <f t="shared" si="0"/>
        <v>-415582208</v>
      </c>
    </row>
    <row r="24" spans="1:13">
      <c r="A24" s="365" t="s">
        <v>632</v>
      </c>
      <c r="B24" s="354">
        <v>1305</v>
      </c>
      <c r="C24" s="323" t="s">
        <v>47</v>
      </c>
      <c r="D24" s="251">
        <v>1000</v>
      </c>
      <c r="E24" s="251"/>
      <c r="F24" s="251" t="s">
        <v>473</v>
      </c>
      <c r="G24" s="169">
        <v>943669616</v>
      </c>
      <c r="H24" s="251" t="s">
        <v>473</v>
      </c>
      <c r="I24" s="324">
        <v>943669616</v>
      </c>
      <c r="J24" s="362"/>
      <c r="L24" s="366">
        <f>SUMIF(T198_TB!$E:$E,TB!B24,T198_TB!$L:$L)</f>
        <v>1856703638</v>
      </c>
      <c r="M24" s="364">
        <f t="shared" si="0"/>
        <v>-913034022</v>
      </c>
    </row>
    <row r="25" spans="1:13">
      <c r="A25" s="365" t="s">
        <v>632</v>
      </c>
      <c r="B25" s="354">
        <v>1306</v>
      </c>
      <c r="C25" s="323" t="s">
        <v>48</v>
      </c>
      <c r="D25" s="251">
        <v>1000</v>
      </c>
      <c r="E25" s="251"/>
      <c r="F25" s="251" t="s">
        <v>473</v>
      </c>
      <c r="G25" s="169">
        <v>-669016452</v>
      </c>
      <c r="H25" s="251" t="s">
        <v>473</v>
      </c>
      <c r="I25" s="324">
        <v>-669016452</v>
      </c>
      <c r="J25" s="362"/>
      <c r="L25" s="366">
        <f>SUMIF(T198_TB!$E:$E,TB!B25,T198_TB!$L:$L)</f>
        <v>-798916255</v>
      </c>
      <c r="M25" s="364">
        <f t="shared" si="0"/>
        <v>129899803</v>
      </c>
    </row>
    <row r="26" spans="1:13">
      <c r="A26" s="365" t="s">
        <v>632</v>
      </c>
      <c r="B26" s="354">
        <v>1307</v>
      </c>
      <c r="C26" s="323" t="s">
        <v>49</v>
      </c>
      <c r="D26" s="251">
        <v>1000</v>
      </c>
      <c r="E26" s="251"/>
      <c r="F26" s="251" t="s">
        <v>473</v>
      </c>
      <c r="G26" s="169">
        <v>9365336922</v>
      </c>
      <c r="H26" s="251" t="s">
        <v>473</v>
      </c>
      <c r="I26" s="324">
        <v>9365336922</v>
      </c>
      <c r="J26" s="362"/>
      <c r="L26" s="366">
        <f>SUMIF(T198_TB!$E:$E,TB!B26,T198_TB!$L:$L)</f>
        <v>10160468205</v>
      </c>
      <c r="M26" s="364">
        <f t="shared" si="0"/>
        <v>-795131283</v>
      </c>
    </row>
    <row r="27" spans="1:13">
      <c r="A27" s="365" t="s">
        <v>632</v>
      </c>
      <c r="B27" s="354">
        <v>1308</v>
      </c>
      <c r="C27" s="323" t="s">
        <v>50</v>
      </c>
      <c r="D27" s="251">
        <v>1000</v>
      </c>
      <c r="E27" s="251"/>
      <c r="F27" s="251" t="s">
        <v>473</v>
      </c>
      <c r="G27" s="169">
        <v>-7475833463</v>
      </c>
      <c r="H27" s="251" t="s">
        <v>473</v>
      </c>
      <c r="I27" s="324">
        <v>-7475833463</v>
      </c>
      <c r="J27" s="362"/>
      <c r="L27" s="366">
        <f>SUMIF(T198_TB!$E:$E,TB!B27,T198_TB!$L:$L)</f>
        <v>-5398238122</v>
      </c>
      <c r="M27" s="364">
        <f t="shared" si="0"/>
        <v>-2077595341</v>
      </c>
    </row>
    <row r="28" spans="1:13">
      <c r="A28" s="365" t="s">
        <v>632</v>
      </c>
      <c r="B28" s="354">
        <v>2701</v>
      </c>
      <c r="C28" s="323" t="s">
        <v>101</v>
      </c>
      <c r="D28" s="251">
        <v>1000</v>
      </c>
      <c r="E28" s="251"/>
      <c r="F28" s="251" t="s">
        <v>473</v>
      </c>
      <c r="G28" s="169">
        <v>5473422543</v>
      </c>
      <c r="H28" s="251" t="s">
        <v>473</v>
      </c>
      <c r="I28" s="324">
        <v>5473422543</v>
      </c>
      <c r="J28" s="362"/>
      <c r="L28" s="366">
        <f>SUMIF(T198_TB!$E:$E,TB!B28,T198_TB!$L:$L)</f>
        <v>14275478413</v>
      </c>
      <c r="M28" s="364">
        <f t="shared" si="0"/>
        <v>-8802055870</v>
      </c>
    </row>
    <row r="29" spans="1:13">
      <c r="A29" s="365" t="s">
        <v>632</v>
      </c>
      <c r="B29" s="354">
        <v>2702</v>
      </c>
      <c r="C29" s="323" t="s">
        <v>1588</v>
      </c>
      <c r="D29" s="251">
        <v>1000</v>
      </c>
      <c r="E29" s="251"/>
      <c r="F29" s="251" t="s">
        <v>473</v>
      </c>
      <c r="G29" s="169">
        <v>-3861813517</v>
      </c>
      <c r="H29" s="251" t="s">
        <v>473</v>
      </c>
      <c r="I29" s="324">
        <v>-3861813517</v>
      </c>
      <c r="J29" s="362"/>
      <c r="L29" s="366">
        <f>SUMIF(T198_TB!$E:$E,TB!B29,T198_TB!$L:$L)</f>
        <v>-8637566662</v>
      </c>
      <c r="M29" s="364">
        <f t="shared" si="0"/>
        <v>4775753145</v>
      </c>
    </row>
    <row r="30" spans="1:13">
      <c r="A30" s="365" t="s">
        <v>632</v>
      </c>
      <c r="B30" s="354">
        <v>2801</v>
      </c>
      <c r="C30" s="325" t="s">
        <v>103</v>
      </c>
      <c r="D30" s="251">
        <v>1000</v>
      </c>
      <c r="E30" s="251"/>
      <c r="F30" s="251" t="s">
        <v>473</v>
      </c>
      <c r="G30" s="169">
        <v>96167436</v>
      </c>
      <c r="H30" s="251" t="s">
        <v>473</v>
      </c>
      <c r="I30" s="324">
        <v>96167436</v>
      </c>
      <c r="J30" s="362"/>
      <c r="L30" s="366">
        <f>SUMIF(T198_TB!$E:$E,TB!B30,T198_TB!$L:$L)</f>
        <v>154590759</v>
      </c>
      <c r="M30" s="364">
        <f t="shared" si="0"/>
        <v>-58423323</v>
      </c>
    </row>
    <row r="31" spans="1:13">
      <c r="A31" s="365" t="s">
        <v>632</v>
      </c>
      <c r="B31" s="354">
        <v>2802</v>
      </c>
      <c r="C31" s="325" t="s">
        <v>1589</v>
      </c>
      <c r="D31" s="251">
        <v>1000</v>
      </c>
      <c r="E31" s="251"/>
      <c r="F31" s="251" t="s">
        <v>473</v>
      </c>
      <c r="G31" s="169">
        <v>-60693903</v>
      </c>
      <c r="H31" s="251" t="s">
        <v>473</v>
      </c>
      <c r="I31" s="324">
        <v>-60693903</v>
      </c>
      <c r="J31" s="362"/>
      <c r="L31" s="366">
        <f>SUMIF(T198_TB!$E:$E,TB!B31,T198_TB!$L:$L)</f>
        <v>-68557268</v>
      </c>
      <c r="M31" s="364">
        <f t="shared" si="0"/>
        <v>7863365</v>
      </c>
    </row>
    <row r="32" spans="1:13">
      <c r="A32" s="365" t="s">
        <v>632</v>
      </c>
      <c r="B32" s="354">
        <v>2401</v>
      </c>
      <c r="C32" s="325" t="s">
        <v>84</v>
      </c>
      <c r="D32" s="251">
        <v>1000</v>
      </c>
      <c r="E32" s="251"/>
      <c r="F32" s="251" t="s">
        <v>473</v>
      </c>
      <c r="G32" s="169">
        <v>31456249</v>
      </c>
      <c r="H32" s="251" t="s">
        <v>473</v>
      </c>
      <c r="I32" s="324">
        <v>31456249</v>
      </c>
      <c r="J32" s="362"/>
      <c r="L32" s="366">
        <f>SUMIF(T198_TB!$E:$E,TB!B32,T198_TB!$L:$L)</f>
        <v>9363637</v>
      </c>
      <c r="M32" s="364">
        <f t="shared" si="0"/>
        <v>22092612</v>
      </c>
    </row>
    <row r="33" spans="1:13">
      <c r="A33" s="365" t="s">
        <v>632</v>
      </c>
      <c r="B33" s="354">
        <v>2402</v>
      </c>
      <c r="C33" s="325" t="s">
        <v>642</v>
      </c>
      <c r="D33" s="251">
        <v>1000</v>
      </c>
      <c r="E33" s="251"/>
      <c r="F33" s="251" t="s">
        <v>473</v>
      </c>
      <c r="G33" s="169">
        <v>-23828999</v>
      </c>
      <c r="H33" s="251" t="s">
        <v>473</v>
      </c>
      <c r="I33" s="324">
        <v>-23828999</v>
      </c>
      <c r="J33" s="362"/>
      <c r="L33" s="366">
        <f>SUMIF(T198_TB!$E:$E,TB!B33,T198_TB!$L:$L)</f>
        <v>-5953029</v>
      </c>
      <c r="M33" s="364">
        <f t="shared" si="0"/>
        <v>-17875970</v>
      </c>
    </row>
    <row r="34" spans="1:13">
      <c r="A34" s="365" t="s">
        <v>632</v>
      </c>
      <c r="B34" s="354">
        <v>2404</v>
      </c>
      <c r="C34" s="325" t="s">
        <v>86</v>
      </c>
      <c r="D34" s="251">
        <v>1000</v>
      </c>
      <c r="E34" s="251"/>
      <c r="F34" s="251" t="s">
        <v>473</v>
      </c>
      <c r="G34" s="169">
        <v>209637249</v>
      </c>
      <c r="H34" s="251" t="s">
        <v>473</v>
      </c>
      <c r="I34" s="324">
        <v>209637249</v>
      </c>
      <c r="J34" s="362"/>
      <c r="L34" s="366">
        <f>SUMIF(T198_TB!$E:$E,TB!B34,T198_TB!$L:$L)</f>
        <v>149137249</v>
      </c>
      <c r="M34" s="364">
        <f t="shared" si="0"/>
        <v>60500000</v>
      </c>
    </row>
    <row r="35" spans="1:13">
      <c r="A35" s="365" t="s">
        <v>632</v>
      </c>
      <c r="B35" s="354">
        <v>2405</v>
      </c>
      <c r="C35" s="323" t="s">
        <v>643</v>
      </c>
      <c r="D35" s="251">
        <v>1000</v>
      </c>
      <c r="E35" s="251"/>
      <c r="F35" s="251" t="s">
        <v>473</v>
      </c>
      <c r="G35" s="169">
        <v>-124040455</v>
      </c>
      <c r="H35" s="251" t="s">
        <v>473</v>
      </c>
      <c r="I35" s="324">
        <v>-124040455</v>
      </c>
      <c r="J35" s="362"/>
      <c r="L35" s="366">
        <f>SUMIF(T198_TB!$E:$E,TB!B35,T198_TB!$L:$L)</f>
        <v>-126560515</v>
      </c>
      <c r="M35" s="364">
        <f t="shared" si="0"/>
        <v>2520060</v>
      </c>
    </row>
    <row r="36" spans="1:13">
      <c r="A36" s="365" t="s">
        <v>632</v>
      </c>
      <c r="B36" s="354">
        <v>2406</v>
      </c>
      <c r="C36" s="323" t="s">
        <v>644</v>
      </c>
      <c r="D36" s="251">
        <v>1000</v>
      </c>
      <c r="E36" s="251"/>
      <c r="F36" s="251" t="s">
        <v>473</v>
      </c>
      <c r="G36" s="169">
        <v>-19482073</v>
      </c>
      <c r="H36" s="251" t="s">
        <v>473</v>
      </c>
      <c r="I36" s="324">
        <v>-19482073</v>
      </c>
      <c r="J36" s="362"/>
      <c r="L36" s="366">
        <f>SUMIF(T198_TB!$E:$E,TB!B36,T198_TB!$L:$L)</f>
        <v>0</v>
      </c>
      <c r="M36" s="364">
        <f t="shared" si="0"/>
        <v>-19482073</v>
      </c>
    </row>
    <row r="37" spans="1:13">
      <c r="A37" s="365" t="s">
        <v>632</v>
      </c>
      <c r="B37" s="354">
        <v>2407</v>
      </c>
      <c r="C37" s="323" t="s">
        <v>89</v>
      </c>
      <c r="D37" s="251">
        <v>1000</v>
      </c>
      <c r="E37" s="251"/>
      <c r="F37" s="251" t="s">
        <v>473</v>
      </c>
      <c r="G37" s="169">
        <v>4701190665</v>
      </c>
      <c r="H37" s="251" t="s">
        <v>473</v>
      </c>
      <c r="I37" s="324">
        <v>4701190665</v>
      </c>
      <c r="J37" s="362"/>
      <c r="L37" s="366">
        <f>SUMIF(T198_TB!$E:$E,TB!B37,T198_TB!$L:$L)</f>
        <v>2298521701</v>
      </c>
      <c r="M37" s="364">
        <f t="shared" si="0"/>
        <v>2402668964</v>
      </c>
    </row>
    <row r="38" spans="1:13">
      <c r="A38" s="365" t="s">
        <v>632</v>
      </c>
      <c r="B38" s="354">
        <v>2408</v>
      </c>
      <c r="C38" s="323" t="s">
        <v>645</v>
      </c>
      <c r="D38" s="251">
        <v>1000</v>
      </c>
      <c r="E38" s="251"/>
      <c r="F38" s="251" t="s">
        <v>473</v>
      </c>
      <c r="G38" s="169">
        <v>-3828386189</v>
      </c>
      <c r="H38" s="251" t="s">
        <v>473</v>
      </c>
      <c r="I38" s="324">
        <v>-3828386189</v>
      </c>
      <c r="J38" s="362"/>
      <c r="L38" s="366">
        <f>SUMIF(T198_TB!$E:$E,TB!B38,T198_TB!$L:$L)</f>
        <v>-1643266351</v>
      </c>
      <c r="M38" s="364">
        <f t="shared" si="0"/>
        <v>-2185119838</v>
      </c>
    </row>
    <row r="39" spans="1:13">
      <c r="A39" s="365" t="s">
        <v>632</v>
      </c>
      <c r="B39" s="354">
        <v>2409</v>
      </c>
      <c r="C39" s="323" t="s">
        <v>646</v>
      </c>
      <c r="D39" s="251">
        <v>1000</v>
      </c>
      <c r="E39" s="251"/>
      <c r="F39" s="251" t="s">
        <v>473</v>
      </c>
      <c r="G39" s="169">
        <v>-258088071</v>
      </c>
      <c r="H39" s="251" t="s">
        <v>473</v>
      </c>
      <c r="I39" s="324">
        <v>-258088071</v>
      </c>
      <c r="J39" s="362"/>
      <c r="L39" s="366">
        <f>SUMIF(T198_TB!$E:$E,TB!B39,T198_TB!$L:$L)</f>
        <v>0</v>
      </c>
      <c r="M39" s="364">
        <f t="shared" si="0"/>
        <v>-258088071</v>
      </c>
    </row>
    <row r="40" spans="1:13">
      <c r="A40" s="365" t="s">
        <v>632</v>
      </c>
      <c r="B40" s="354">
        <v>2413</v>
      </c>
      <c r="C40" s="323" t="s">
        <v>95</v>
      </c>
      <c r="D40" s="251">
        <v>1000</v>
      </c>
      <c r="E40" s="251"/>
      <c r="F40" s="251" t="s">
        <v>473</v>
      </c>
      <c r="G40" s="169">
        <v>7414148656</v>
      </c>
      <c r="H40" s="251" t="s">
        <v>473</v>
      </c>
      <c r="I40" s="324">
        <v>7414148656</v>
      </c>
      <c r="J40" s="362"/>
      <c r="L40" s="366">
        <f>SUMIF(T198_TB!$E:$E,TB!B40,T198_TB!$L:$L)</f>
        <v>4972335555</v>
      </c>
      <c r="M40" s="364">
        <f t="shared" si="0"/>
        <v>2441813101</v>
      </c>
    </row>
    <row r="41" spans="1:13">
      <c r="A41" s="365" t="s">
        <v>632</v>
      </c>
      <c r="B41" s="354">
        <v>2414</v>
      </c>
      <c r="C41" s="323" t="s">
        <v>647</v>
      </c>
      <c r="D41" s="251">
        <v>1000</v>
      </c>
      <c r="E41" s="251"/>
      <c r="F41" s="251" t="s">
        <v>473</v>
      </c>
      <c r="G41" s="169">
        <v>-3630485026</v>
      </c>
      <c r="H41" s="251" t="s">
        <v>473</v>
      </c>
      <c r="I41" s="324">
        <v>-3630485026</v>
      </c>
      <c r="J41" s="362"/>
      <c r="L41" s="366">
        <f>SUMIF(T198_TB!$E:$E,TB!B41,T198_TB!$L:$L)</f>
        <v>-3330185504</v>
      </c>
      <c r="M41" s="364">
        <f t="shared" si="0"/>
        <v>-300299522</v>
      </c>
    </row>
    <row r="42" spans="1:13">
      <c r="A42" s="365" t="s">
        <v>632</v>
      </c>
      <c r="B42" s="354">
        <v>2415</v>
      </c>
      <c r="C42" s="323" t="s">
        <v>648</v>
      </c>
      <c r="D42" s="251">
        <v>1000</v>
      </c>
      <c r="E42" s="251"/>
      <c r="F42" s="251" t="s">
        <v>473</v>
      </c>
      <c r="G42" s="169">
        <v>-2242592169</v>
      </c>
      <c r="H42" s="251" t="s">
        <v>473</v>
      </c>
      <c r="I42" s="324">
        <v>-2242592169</v>
      </c>
      <c r="J42" s="362"/>
      <c r="L42" s="366">
        <f>SUMIF(T198_TB!$E:$E,TB!B42,T198_TB!$L:$L)</f>
        <v>-9616222</v>
      </c>
      <c r="M42" s="364">
        <f t="shared" si="0"/>
        <v>-2232975947</v>
      </c>
    </row>
    <row r="43" spans="1:13">
      <c r="A43" s="365" t="s">
        <v>632</v>
      </c>
      <c r="B43" s="354">
        <v>2419</v>
      </c>
      <c r="C43" s="323" t="s">
        <v>533</v>
      </c>
      <c r="D43" s="251">
        <v>1000</v>
      </c>
      <c r="E43" s="251"/>
      <c r="F43" s="251" t="s">
        <v>473</v>
      </c>
      <c r="G43" s="169">
        <v>22500000</v>
      </c>
      <c r="H43" s="251" t="s">
        <v>473</v>
      </c>
      <c r="I43" s="324">
        <v>22500000</v>
      </c>
      <c r="J43" s="362"/>
      <c r="L43" s="366">
        <f>SUMIF(T198_TB!$E:$E,TB!B43,T198_TB!$L:$L)</f>
        <v>179248982</v>
      </c>
      <c r="M43" s="364">
        <f t="shared" si="0"/>
        <v>-156748982</v>
      </c>
    </row>
    <row r="44" spans="1:13">
      <c r="A44" s="365" t="s">
        <v>632</v>
      </c>
      <c r="B44" s="354">
        <v>2501</v>
      </c>
      <c r="C44" s="323" t="s">
        <v>649</v>
      </c>
      <c r="D44" s="251">
        <v>1000</v>
      </c>
      <c r="E44" s="251"/>
      <c r="F44" s="251" t="s">
        <v>473</v>
      </c>
      <c r="G44" s="169">
        <v>708636193</v>
      </c>
      <c r="H44" s="251" t="s">
        <v>473</v>
      </c>
      <c r="I44" s="324">
        <v>708636193</v>
      </c>
      <c r="J44" s="362"/>
      <c r="L44" s="366">
        <f>SUMIF(T198_TB!$E:$E,TB!B44,T198_TB!$L:$L)</f>
        <v>1629520216</v>
      </c>
      <c r="M44" s="364">
        <f t="shared" si="0"/>
        <v>-920884023</v>
      </c>
    </row>
    <row r="45" spans="1:13">
      <c r="A45" s="365" t="s">
        <v>632</v>
      </c>
      <c r="B45" s="354">
        <v>2503</v>
      </c>
      <c r="C45" s="323" t="s">
        <v>110</v>
      </c>
      <c r="D45" s="251">
        <v>1000</v>
      </c>
      <c r="E45" s="251"/>
      <c r="F45" s="251" t="s">
        <v>473</v>
      </c>
      <c r="G45" s="169">
        <v>1315756304</v>
      </c>
      <c r="H45" s="251" t="s">
        <v>473</v>
      </c>
      <c r="I45" s="324">
        <v>1315756304</v>
      </c>
      <c r="J45" s="362"/>
      <c r="L45" s="366">
        <f>SUMIF(T198_TB!$E:$E,TB!B45,T198_TB!$L:$L)</f>
        <v>1326320253</v>
      </c>
      <c r="M45" s="364">
        <f t="shared" si="0"/>
        <v>-10563949</v>
      </c>
    </row>
    <row r="46" spans="1:13">
      <c r="A46" s="365" t="s">
        <v>632</v>
      </c>
      <c r="B46" s="354">
        <v>2505</v>
      </c>
      <c r="C46" s="323" t="s">
        <v>123</v>
      </c>
      <c r="D46" s="251">
        <v>1000</v>
      </c>
      <c r="E46" s="251"/>
      <c r="F46" s="251" t="s">
        <v>473</v>
      </c>
      <c r="G46" s="169">
        <v>3609717053</v>
      </c>
      <c r="H46" s="251" t="s">
        <v>473</v>
      </c>
      <c r="I46" s="324">
        <v>3609717053</v>
      </c>
      <c r="J46" s="362"/>
      <c r="L46" s="366">
        <f>SUMIF(T198_TB!$E:$E,TB!B46,T198_TB!$L:$L)</f>
        <v>1381712180</v>
      </c>
      <c r="M46" s="364">
        <f t="shared" si="0"/>
        <v>2228004873</v>
      </c>
    </row>
    <row r="47" spans="1:13">
      <c r="A47" s="365" t="s">
        <v>632</v>
      </c>
      <c r="B47" s="354">
        <v>2509</v>
      </c>
      <c r="C47" s="323" t="s">
        <v>1923</v>
      </c>
      <c r="D47" s="251">
        <v>1000</v>
      </c>
      <c r="E47" s="251"/>
      <c r="F47" s="251" t="s">
        <v>473</v>
      </c>
      <c r="G47" s="169">
        <v>462235490</v>
      </c>
      <c r="H47" s="251" t="s">
        <v>473</v>
      </c>
      <c r="I47" s="324">
        <v>462235490</v>
      </c>
      <c r="J47" s="362"/>
      <c r="L47" s="366">
        <f>SUMIF(T198_TB!$E:$E,TB!B47,T198_TB!$L:$L)</f>
        <v>462235490</v>
      </c>
      <c r="M47" s="364" t="str">
        <f t="shared" si="0"/>
        <v>TRUE</v>
      </c>
    </row>
    <row r="48" spans="1:13">
      <c r="A48" s="365" t="s">
        <v>632</v>
      </c>
      <c r="B48" s="354">
        <v>2507</v>
      </c>
      <c r="C48" s="323" t="s">
        <v>650</v>
      </c>
      <c r="D48" s="251">
        <v>1000</v>
      </c>
      <c r="E48" s="251"/>
      <c r="F48" s="251" t="s">
        <v>473</v>
      </c>
      <c r="G48" s="169">
        <v>11046983302</v>
      </c>
      <c r="H48" s="251" t="s">
        <v>473</v>
      </c>
      <c r="I48" s="324">
        <v>11046983302</v>
      </c>
      <c r="J48" s="362"/>
      <c r="L48" s="366">
        <f>SUMIF(T198_TB!$E:$E,TB!B48,T198_TB!$L:$L)</f>
        <v>1114407078</v>
      </c>
      <c r="M48" s="364">
        <f t="shared" si="0"/>
        <v>9932576224</v>
      </c>
    </row>
    <row r="49" spans="1:14">
      <c r="A49" s="365" t="s">
        <v>632</v>
      </c>
      <c r="B49" s="354">
        <v>2508</v>
      </c>
      <c r="C49" s="323" t="s">
        <v>129</v>
      </c>
      <c r="D49" s="251">
        <v>1000</v>
      </c>
      <c r="E49" s="251"/>
      <c r="F49" s="251" t="s">
        <v>473</v>
      </c>
      <c r="G49" s="169">
        <v>6710032272</v>
      </c>
      <c r="H49" s="251" t="s">
        <v>473</v>
      </c>
      <c r="I49" s="324">
        <v>6710032272</v>
      </c>
      <c r="J49" s="362"/>
      <c r="L49" s="366">
        <f>SUMIF(T198_TB!$E:$E,TB!B49,T198_TB!$L:$L)</f>
        <v>7368587349</v>
      </c>
      <c r="M49" s="364">
        <f t="shared" si="0"/>
        <v>-658555077</v>
      </c>
    </row>
    <row r="50" spans="1:14">
      <c r="A50" s="365" t="s">
        <v>632</v>
      </c>
      <c r="B50" s="354">
        <v>1213</v>
      </c>
      <c r="C50" s="323" t="s">
        <v>37</v>
      </c>
      <c r="D50" s="251">
        <v>1000</v>
      </c>
      <c r="E50" s="251"/>
      <c r="F50" s="251" t="s">
        <v>473</v>
      </c>
      <c r="G50" s="169">
        <v>1426104363</v>
      </c>
      <c r="H50" s="251" t="s">
        <v>473</v>
      </c>
      <c r="I50" s="324">
        <v>1426104363</v>
      </c>
      <c r="J50" s="362"/>
      <c r="L50" s="366">
        <f>SUMIF(T198_TB!$E:$E,TB!B50,T198_TB!$L:$L)</f>
        <v>145587351</v>
      </c>
      <c r="M50" s="364">
        <f t="shared" si="0"/>
        <v>1280517012</v>
      </c>
    </row>
    <row r="51" spans="1:14">
      <c r="A51" s="365" t="s">
        <v>632</v>
      </c>
      <c r="B51" s="354" t="s">
        <v>1872</v>
      </c>
      <c r="C51" s="323" t="s">
        <v>75</v>
      </c>
      <c r="D51" s="251">
        <v>1000</v>
      </c>
      <c r="E51" s="251"/>
      <c r="F51" s="251" t="s">
        <v>473</v>
      </c>
      <c r="G51" s="169">
        <v>331906540</v>
      </c>
      <c r="H51" s="251" t="s">
        <v>473</v>
      </c>
      <c r="I51" s="324">
        <v>331906540</v>
      </c>
      <c r="J51" s="362"/>
      <c r="L51" s="366">
        <f>SUMIF(T198_TB!$E:$E,TB!B51,T198_TB!$L:$L)</f>
        <v>2895348972</v>
      </c>
      <c r="M51" s="364">
        <f t="shared" si="0"/>
        <v>-2563442432</v>
      </c>
    </row>
    <row r="52" spans="1:14">
      <c r="A52" s="365" t="s">
        <v>632</v>
      </c>
      <c r="B52" s="354">
        <v>2101</v>
      </c>
      <c r="C52" s="323" t="s">
        <v>1878</v>
      </c>
      <c r="D52" s="251">
        <v>1000</v>
      </c>
      <c r="E52" s="251"/>
      <c r="F52" s="251" t="s">
        <v>473</v>
      </c>
      <c r="G52" s="169">
        <v>1257560</v>
      </c>
      <c r="H52" s="251" t="s">
        <v>473</v>
      </c>
      <c r="I52" s="324">
        <v>1257560</v>
      </c>
      <c r="J52" s="362"/>
      <c r="L52" s="366">
        <f>SUMIF(T198_TB!$E:$E,TB!B52,T198_TB!$L:$L)</f>
        <v>1257560</v>
      </c>
      <c r="M52" s="364" t="str">
        <f t="shared" si="0"/>
        <v>TRUE</v>
      </c>
    </row>
    <row r="53" spans="1:14">
      <c r="A53" s="365" t="s">
        <v>632</v>
      </c>
      <c r="B53" s="354" t="s">
        <v>1873</v>
      </c>
      <c r="C53" s="323" t="s">
        <v>1879</v>
      </c>
      <c r="D53" s="251">
        <v>1000</v>
      </c>
      <c r="E53" s="251"/>
      <c r="F53" s="251" t="s">
        <v>473</v>
      </c>
      <c r="G53" s="169">
        <v>-21810731</v>
      </c>
      <c r="H53" s="251" t="s">
        <v>473</v>
      </c>
      <c r="I53" s="324">
        <v>-21810731</v>
      </c>
      <c r="J53" s="362"/>
      <c r="L53" s="366">
        <f>SUMIF(T198_TB!$E:$E,TB!B53,T198_TB!$L:$L)</f>
        <v>-318376441</v>
      </c>
      <c r="M53" s="364">
        <f t="shared" si="0"/>
        <v>296565710</v>
      </c>
    </row>
    <row r="54" spans="1:14">
      <c r="A54" s="365" t="s">
        <v>632</v>
      </c>
      <c r="B54" s="354">
        <v>2603</v>
      </c>
      <c r="C54" s="323" t="s">
        <v>1736</v>
      </c>
      <c r="D54" s="251">
        <v>1000</v>
      </c>
      <c r="E54" s="251"/>
      <c r="F54" s="251" t="s">
        <v>473</v>
      </c>
      <c r="G54" s="169">
        <v>996359683</v>
      </c>
      <c r="H54" s="251" t="s">
        <v>473</v>
      </c>
      <c r="I54" s="324">
        <v>996359683</v>
      </c>
      <c r="J54" s="362"/>
      <c r="L54" s="366">
        <f>SUMIF(T198_TB!$E:$E,TB!B54,T198_TB!$L:$L)</f>
        <v>30634127818</v>
      </c>
      <c r="M54" s="364">
        <f t="shared" si="0"/>
        <v>-29637768135</v>
      </c>
    </row>
    <row r="55" spans="1:14">
      <c r="A55" s="365" t="s">
        <v>632</v>
      </c>
      <c r="B55" s="354">
        <v>2302</v>
      </c>
      <c r="C55" s="323" t="s">
        <v>136</v>
      </c>
      <c r="D55" s="251">
        <v>1000</v>
      </c>
      <c r="E55" s="251"/>
      <c r="F55" s="251" t="s">
        <v>473</v>
      </c>
      <c r="G55" s="169">
        <v>0</v>
      </c>
      <c r="H55" s="251" t="s">
        <v>473</v>
      </c>
      <c r="I55" s="324">
        <v>0</v>
      </c>
      <c r="J55" s="362"/>
      <c r="L55" s="366">
        <f>SUMIF(T198_TB!$E:$E,TB!B55,T198_TB!$L:$L)</f>
        <v>0</v>
      </c>
      <c r="M55" s="364" t="str">
        <f t="shared" si="0"/>
        <v>TRUE</v>
      </c>
    </row>
    <row r="56" spans="1:14">
      <c r="A56" s="365" t="s">
        <v>632</v>
      </c>
      <c r="B56" s="354" t="s">
        <v>1876</v>
      </c>
      <c r="C56" s="323" t="s">
        <v>1785</v>
      </c>
      <c r="D56" s="251">
        <v>1000</v>
      </c>
      <c r="E56" s="251"/>
      <c r="F56" s="251" t="s">
        <v>473</v>
      </c>
      <c r="G56" s="169">
        <v>0</v>
      </c>
      <c r="H56" s="251" t="s">
        <v>473</v>
      </c>
      <c r="I56" s="324">
        <v>0</v>
      </c>
      <c r="J56" s="362"/>
      <c r="L56" s="366">
        <f>SUMIF(T198_TB!$E:$E,TB!B56,T198_TB!$L:$L)</f>
        <v>0</v>
      </c>
      <c r="M56" s="364" t="str">
        <f t="shared" si="0"/>
        <v>TRUE</v>
      </c>
    </row>
    <row r="57" spans="1:14">
      <c r="A57" s="365" t="s">
        <v>632</v>
      </c>
      <c r="B57" s="354">
        <v>3101</v>
      </c>
      <c r="C57" s="323" t="s">
        <v>651</v>
      </c>
      <c r="D57" s="251">
        <v>1000</v>
      </c>
      <c r="E57" s="251"/>
      <c r="F57" s="251" t="s">
        <v>473</v>
      </c>
      <c r="G57" s="169">
        <v>-31099047717</v>
      </c>
      <c r="H57" s="251" t="s">
        <v>473</v>
      </c>
      <c r="I57" s="324">
        <v>-31099047717</v>
      </c>
      <c r="J57" s="362"/>
      <c r="L57" s="366">
        <f>SUMIF(T198_TB!$E:$E,TB!B57,T198_TB!$L:$L)</f>
        <v>-41239359069</v>
      </c>
      <c r="M57" s="364">
        <f t="shared" si="0"/>
        <v>10140311352</v>
      </c>
    </row>
    <row r="58" spans="1:14">
      <c r="A58" s="365" t="s">
        <v>632</v>
      </c>
      <c r="B58" s="354">
        <v>3405</v>
      </c>
      <c r="C58" s="323" t="s">
        <v>652</v>
      </c>
      <c r="D58" s="251">
        <v>1000</v>
      </c>
      <c r="E58" s="251"/>
      <c r="F58" s="251" t="s">
        <v>473</v>
      </c>
      <c r="G58" s="169">
        <v>0</v>
      </c>
      <c r="H58" s="251" t="s">
        <v>473</v>
      </c>
      <c r="I58" s="324">
        <v>0</v>
      </c>
      <c r="J58" s="362"/>
      <c r="L58" s="366">
        <f>SUMIF(T198_TB!$E:$E,TB!B58,T198_TB!$L:$L)</f>
        <v>0</v>
      </c>
      <c r="M58" s="364" t="str">
        <f t="shared" si="0"/>
        <v>TRUE</v>
      </c>
    </row>
    <row r="59" spans="1:14">
      <c r="A59" s="365" t="s">
        <v>632</v>
      </c>
      <c r="B59" s="354">
        <v>3102</v>
      </c>
      <c r="C59" s="323" t="s">
        <v>653</v>
      </c>
      <c r="D59" s="251">
        <v>1000</v>
      </c>
      <c r="E59" s="251"/>
      <c r="F59" s="251" t="s">
        <v>473</v>
      </c>
      <c r="G59" s="169">
        <v>-16092496761</v>
      </c>
      <c r="H59" s="251" t="s">
        <v>473</v>
      </c>
      <c r="I59" s="324">
        <v>-16092496761</v>
      </c>
      <c r="J59" s="362"/>
      <c r="L59" s="366">
        <f>SUMIF(T198_TB!$E:$E,TB!B59,T198_TB!$L:$L)</f>
        <v>-42139722387</v>
      </c>
      <c r="M59" s="364">
        <f t="shared" si="0"/>
        <v>26047225626</v>
      </c>
    </row>
    <row r="60" spans="1:14">
      <c r="A60" s="365" t="s">
        <v>632</v>
      </c>
      <c r="B60" s="354">
        <v>3401</v>
      </c>
      <c r="C60" s="323" t="s">
        <v>654</v>
      </c>
      <c r="D60" s="251">
        <v>1000</v>
      </c>
      <c r="E60" s="251"/>
      <c r="F60" s="251" t="s">
        <v>473</v>
      </c>
      <c r="G60" s="169">
        <v>0</v>
      </c>
      <c r="H60" s="251" t="s">
        <v>473</v>
      </c>
      <c r="I60" s="324">
        <v>0</v>
      </c>
      <c r="J60" s="362"/>
      <c r="L60" s="366">
        <f>SUMIF(T198_TB!$E:$E,TB!B60,T198_TB!$L:$L)</f>
        <v>-1747514517</v>
      </c>
      <c r="M60" s="364">
        <f t="shared" si="0"/>
        <v>1747514517</v>
      </c>
    </row>
    <row r="61" spans="1:14">
      <c r="A61" s="365" t="s">
        <v>632</v>
      </c>
      <c r="B61" s="354">
        <v>3402</v>
      </c>
      <c r="C61" s="323" t="s">
        <v>655</v>
      </c>
      <c r="D61" s="251">
        <v>1000</v>
      </c>
      <c r="E61" s="251"/>
      <c r="F61" s="251" t="s">
        <v>473</v>
      </c>
      <c r="G61" s="169">
        <v>-1682268188</v>
      </c>
      <c r="H61" s="251" t="s">
        <v>473</v>
      </c>
      <c r="I61" s="324">
        <v>-1682268188</v>
      </c>
      <c r="J61" s="362"/>
      <c r="L61" s="366">
        <f>SUMIF(T198_TB!$E:$E,TB!B61,T198_TB!$L:$L)</f>
        <v>-810593068</v>
      </c>
      <c r="M61" s="364">
        <f t="shared" si="0"/>
        <v>-871675120</v>
      </c>
    </row>
    <row r="62" spans="1:14">
      <c r="A62" s="365" t="s">
        <v>632</v>
      </c>
      <c r="B62" s="354">
        <v>3201</v>
      </c>
      <c r="C62" s="323" t="s">
        <v>656</v>
      </c>
      <c r="D62" s="251">
        <v>1000</v>
      </c>
      <c r="E62" s="251"/>
      <c r="F62" s="251" t="s">
        <v>473</v>
      </c>
      <c r="G62" s="169">
        <v>-59401797</v>
      </c>
      <c r="H62" s="251" t="s">
        <v>473</v>
      </c>
      <c r="I62" s="324">
        <v>-59401797</v>
      </c>
      <c r="J62" s="362"/>
      <c r="L62" s="366">
        <f>SUMIF(T198_TB!$E:$E,TB!B62,T198_TB!$L:$L)</f>
        <v>0</v>
      </c>
      <c r="M62" s="364">
        <f t="shared" si="0"/>
        <v>-59401797</v>
      </c>
      <c r="N62" s="366"/>
    </row>
    <row r="63" spans="1:14">
      <c r="A63" s="365" t="s">
        <v>632</v>
      </c>
      <c r="B63" s="354">
        <v>3103</v>
      </c>
      <c r="C63" s="323" t="s">
        <v>657</v>
      </c>
      <c r="D63" s="251">
        <v>1000</v>
      </c>
      <c r="E63" s="251"/>
      <c r="F63" s="251" t="s">
        <v>473</v>
      </c>
      <c r="G63" s="169">
        <v>-1846075494</v>
      </c>
      <c r="H63" s="251" t="s">
        <v>473</v>
      </c>
      <c r="I63" s="324">
        <v>-1846075494</v>
      </c>
      <c r="J63" s="362"/>
      <c r="L63" s="366">
        <f>SUMIF(T198_TB!$E:$E,TB!B63,T198_TB!$L:$L)</f>
        <v>-3607088577</v>
      </c>
      <c r="M63" s="364">
        <f t="shared" si="0"/>
        <v>1761013083</v>
      </c>
    </row>
    <row r="64" spans="1:14">
      <c r="A64" s="365" t="s">
        <v>632</v>
      </c>
      <c r="B64" s="354">
        <v>3501</v>
      </c>
      <c r="C64" s="323" t="s">
        <v>658</v>
      </c>
      <c r="D64" s="251">
        <v>1000</v>
      </c>
      <c r="E64" s="251"/>
      <c r="F64" s="251" t="s">
        <v>473</v>
      </c>
      <c r="G64" s="169">
        <v>0</v>
      </c>
      <c r="H64" s="251" t="s">
        <v>473</v>
      </c>
      <c r="I64" s="324">
        <v>0</v>
      </c>
      <c r="J64" s="362"/>
      <c r="L64" s="366">
        <f>SUMIF(T198_TB!$E:$E,TB!B64,T198_TB!$L:$L)</f>
        <v>0</v>
      </c>
      <c r="M64" s="364" t="str">
        <f t="shared" si="0"/>
        <v>TRUE</v>
      </c>
    </row>
    <row r="65" spans="1:13">
      <c r="A65" s="365" t="s">
        <v>632</v>
      </c>
      <c r="B65" s="354">
        <v>3503</v>
      </c>
      <c r="C65" s="323" t="s">
        <v>659</v>
      </c>
      <c r="D65" s="251">
        <v>1000</v>
      </c>
      <c r="E65" s="251"/>
      <c r="F65" s="251" t="s">
        <v>473</v>
      </c>
      <c r="G65" s="169">
        <v>0</v>
      </c>
      <c r="H65" s="251" t="s">
        <v>473</v>
      </c>
      <c r="I65" s="324">
        <v>0</v>
      </c>
      <c r="J65" s="362"/>
      <c r="L65" s="366">
        <f>SUMIF(T198_TB!$E:$E,TB!B65,T198_TB!$L:$L)</f>
        <v>0</v>
      </c>
      <c r="M65" s="364" t="str">
        <f t="shared" si="0"/>
        <v>TRUE</v>
      </c>
    </row>
    <row r="66" spans="1:13">
      <c r="A66" s="365" t="s">
        <v>632</v>
      </c>
      <c r="B66" s="354">
        <v>3502</v>
      </c>
      <c r="C66" s="323" t="s">
        <v>660</v>
      </c>
      <c r="D66" s="251">
        <v>1000</v>
      </c>
      <c r="E66" s="251"/>
      <c r="F66" s="251" t="s">
        <v>473</v>
      </c>
      <c r="G66" s="169">
        <v>0</v>
      </c>
      <c r="H66" s="251" t="s">
        <v>473</v>
      </c>
      <c r="I66" s="324">
        <v>0</v>
      </c>
      <c r="J66" s="362"/>
      <c r="L66" s="366">
        <f>SUMIF(T198_TB!$E:$E,TB!B66,T198_TB!$L:$L)</f>
        <v>0</v>
      </c>
      <c r="M66" s="364" t="str">
        <f t="shared" si="0"/>
        <v>TRUE</v>
      </c>
    </row>
    <row r="67" spans="1:13">
      <c r="A67" s="365" t="s">
        <v>632</v>
      </c>
      <c r="B67" s="354">
        <v>3504</v>
      </c>
      <c r="C67" s="325" t="s">
        <v>1590</v>
      </c>
      <c r="D67" s="251">
        <v>1000</v>
      </c>
      <c r="E67" s="251"/>
      <c r="F67" s="251" t="s">
        <v>473</v>
      </c>
      <c r="G67" s="169">
        <v>-1207300989</v>
      </c>
      <c r="H67" s="251" t="s">
        <v>473</v>
      </c>
      <c r="I67" s="324">
        <v>-1207300989</v>
      </c>
      <c r="J67" s="362"/>
      <c r="L67" s="366">
        <f>SUMIF(T198_TB!$E:$E,TB!B67,T198_TB!$L:$L)</f>
        <v>-3506156002</v>
      </c>
      <c r="M67" s="364">
        <f t="shared" ref="M67:M130" si="1">IF(I67=L67,"TRUE",I67-L67)</f>
        <v>2298855013</v>
      </c>
    </row>
    <row r="68" spans="1:13">
      <c r="A68" s="365" t="s">
        <v>632</v>
      </c>
      <c r="B68" s="359">
        <v>3404</v>
      </c>
      <c r="C68" s="323" t="s">
        <v>180</v>
      </c>
      <c r="D68" s="251">
        <v>1000</v>
      </c>
      <c r="E68" s="251"/>
      <c r="F68" s="251" t="s">
        <v>473</v>
      </c>
      <c r="G68" s="169">
        <v>-326579310</v>
      </c>
      <c r="H68" s="251" t="s">
        <v>473</v>
      </c>
      <c r="I68" s="324">
        <v>-326579310</v>
      </c>
      <c r="J68" s="362"/>
      <c r="L68" s="366">
        <f>SUMIF(T198_TB!$E:$E,TB!B68,T198_TB!$L:$L)</f>
        <v>-519301300</v>
      </c>
      <c r="M68" s="364">
        <f t="shared" si="1"/>
        <v>192721990</v>
      </c>
    </row>
    <row r="69" spans="1:13">
      <c r="A69" s="365" t="s">
        <v>632</v>
      </c>
      <c r="B69" s="359">
        <v>3403</v>
      </c>
      <c r="C69" s="323" t="s">
        <v>661</v>
      </c>
      <c r="D69" s="251">
        <v>1000</v>
      </c>
      <c r="E69" s="251"/>
      <c r="F69" s="251" t="s">
        <v>473</v>
      </c>
      <c r="G69" s="169">
        <v>0</v>
      </c>
      <c r="H69" s="251" t="s">
        <v>473</v>
      </c>
      <c r="I69" s="324">
        <v>0</v>
      </c>
      <c r="J69" s="362"/>
      <c r="L69" s="366">
        <f>SUMIF(T198_TB!$E:$E,TB!B69,T198_TB!$L:$L)</f>
        <v>0</v>
      </c>
      <c r="M69" s="364" t="str">
        <f t="shared" si="1"/>
        <v>TRUE</v>
      </c>
    </row>
    <row r="70" spans="1:13">
      <c r="A70" s="365" t="s">
        <v>632</v>
      </c>
      <c r="B70" s="354">
        <v>4601</v>
      </c>
      <c r="C70" s="323" t="s">
        <v>1591</v>
      </c>
      <c r="D70" s="251">
        <v>1000</v>
      </c>
      <c r="E70" s="251"/>
      <c r="F70" s="251" t="s">
        <v>473</v>
      </c>
      <c r="G70" s="169">
        <v>-471450218</v>
      </c>
      <c r="H70" s="251" t="s">
        <v>473</v>
      </c>
      <c r="I70" s="324">
        <v>-471450218</v>
      </c>
      <c r="J70" s="362"/>
      <c r="L70" s="366">
        <f>SUMIF(T198_TB!$E:$E,TB!B70,T198_TB!$L:$L)</f>
        <v>-2712858532</v>
      </c>
      <c r="M70" s="364">
        <f t="shared" si="1"/>
        <v>2241408314</v>
      </c>
    </row>
    <row r="71" spans="1:13">
      <c r="A71" s="365" t="s">
        <v>632</v>
      </c>
      <c r="B71" s="354">
        <v>4201</v>
      </c>
      <c r="C71" s="323" t="s">
        <v>662</v>
      </c>
      <c r="D71" s="251">
        <v>1000</v>
      </c>
      <c r="E71" s="251"/>
      <c r="F71" s="251" t="s">
        <v>473</v>
      </c>
      <c r="G71" s="169">
        <v>-6416037311</v>
      </c>
      <c r="H71" s="251" t="s">
        <v>473</v>
      </c>
      <c r="I71" s="324">
        <v>-6416037311</v>
      </c>
      <c r="J71" s="362"/>
      <c r="L71" s="366">
        <f>SUMIF(T198_TB!$E:$E,TB!B71,T198_TB!$L:$L)</f>
        <v>-6661258189</v>
      </c>
      <c r="M71" s="364">
        <f t="shared" si="1"/>
        <v>245220878</v>
      </c>
    </row>
    <row r="72" spans="1:13">
      <c r="A72" s="365" t="s">
        <v>632</v>
      </c>
      <c r="B72" s="354">
        <v>4202</v>
      </c>
      <c r="C72" s="323" t="s">
        <v>663</v>
      </c>
      <c r="D72" s="251">
        <v>1000</v>
      </c>
      <c r="E72" s="251"/>
      <c r="F72" s="251" t="s">
        <v>473</v>
      </c>
      <c r="G72" s="169">
        <v>4002777243</v>
      </c>
      <c r="H72" s="251" t="s">
        <v>473</v>
      </c>
      <c r="I72" s="324">
        <v>4002777243</v>
      </c>
      <c r="J72" s="362"/>
      <c r="L72" s="366">
        <f>SUMIF(T198_TB!$E:$E,TB!B72,T198_TB!$L:$L)</f>
        <v>8919193078</v>
      </c>
      <c r="M72" s="364">
        <f t="shared" si="1"/>
        <v>-4916415835</v>
      </c>
    </row>
    <row r="73" spans="1:13">
      <c r="A73" s="365" t="s">
        <v>632</v>
      </c>
      <c r="B73" s="354">
        <v>4402</v>
      </c>
      <c r="C73" s="323" t="s">
        <v>188</v>
      </c>
      <c r="D73" s="251">
        <v>1000</v>
      </c>
      <c r="E73" s="251"/>
      <c r="F73" s="251" t="s">
        <v>473</v>
      </c>
      <c r="G73" s="169">
        <v>-109150543</v>
      </c>
      <c r="H73" s="251" t="s">
        <v>473</v>
      </c>
      <c r="I73" s="324">
        <v>-109150543</v>
      </c>
      <c r="J73" s="362"/>
      <c r="L73" s="366">
        <f>SUMIF(T198_TB!$E:$E,TB!B73,T198_TB!$L:$L)</f>
        <v>-114155295</v>
      </c>
      <c r="M73" s="364">
        <f t="shared" si="1"/>
        <v>5004752</v>
      </c>
    </row>
    <row r="74" spans="1:13">
      <c r="A74" s="365" t="s">
        <v>632</v>
      </c>
      <c r="B74" s="354">
        <v>4301</v>
      </c>
      <c r="C74" s="323" t="s">
        <v>664</v>
      </c>
      <c r="D74" s="251">
        <v>1000</v>
      </c>
      <c r="E74" s="251"/>
      <c r="F74" s="251" t="s">
        <v>473</v>
      </c>
      <c r="G74" s="169">
        <v>-1747669659</v>
      </c>
      <c r="H74" s="251" t="s">
        <v>473</v>
      </c>
      <c r="I74" s="324">
        <v>-1747669659</v>
      </c>
      <c r="J74" s="362"/>
      <c r="L74" s="366">
        <f>SUMIF(T198_TB!$E:$E,TB!B74,T198_TB!$L:$L)</f>
        <v>0</v>
      </c>
      <c r="M74" s="364">
        <f t="shared" si="1"/>
        <v>-1747669659</v>
      </c>
    </row>
    <row r="75" spans="1:13">
      <c r="A75" s="365" t="s">
        <v>632</v>
      </c>
      <c r="B75" s="354">
        <v>4103</v>
      </c>
      <c r="C75" s="323" t="s">
        <v>1587</v>
      </c>
      <c r="D75" s="251">
        <v>1000</v>
      </c>
      <c r="E75" s="251"/>
      <c r="F75" s="251" t="s">
        <v>473</v>
      </c>
      <c r="G75" s="169">
        <v>0</v>
      </c>
      <c r="H75" s="251" t="s">
        <v>473</v>
      </c>
      <c r="I75" s="324">
        <v>0</v>
      </c>
      <c r="J75" s="362"/>
      <c r="L75" s="366">
        <f>SUMIF(T198_TB!$E:$E,TB!B75,T198_TB!$L:$L)</f>
        <v>0</v>
      </c>
      <c r="M75" s="364" t="str">
        <f t="shared" si="1"/>
        <v>TRUE</v>
      </c>
    </row>
    <row r="76" spans="1:13">
      <c r="A76" s="365" t="s">
        <v>632</v>
      </c>
      <c r="B76" s="354">
        <v>112900</v>
      </c>
      <c r="C76" s="323" t="s">
        <v>1593</v>
      </c>
      <c r="D76" s="251">
        <v>1000</v>
      </c>
      <c r="E76" s="251"/>
      <c r="F76" s="251" t="s">
        <v>473</v>
      </c>
      <c r="G76" s="169">
        <v>354388</v>
      </c>
      <c r="H76" s="251" t="s">
        <v>473</v>
      </c>
      <c r="I76" s="324">
        <v>354388</v>
      </c>
      <c r="J76" s="362"/>
      <c r="L76" s="366">
        <f>SUMIF(T198_TB!$E:$E,TB!B76,T198_TB!$L:$L)</f>
        <v>0</v>
      </c>
      <c r="M76" s="364">
        <f t="shared" si="1"/>
        <v>354388</v>
      </c>
    </row>
    <row r="77" spans="1:13">
      <c r="A77" s="365" t="s">
        <v>632</v>
      </c>
      <c r="B77" s="354">
        <v>219000</v>
      </c>
      <c r="C77" s="323" t="s">
        <v>1594</v>
      </c>
      <c r="D77" s="251">
        <v>1000</v>
      </c>
      <c r="E77" s="251"/>
      <c r="F77" s="251" t="s">
        <v>473</v>
      </c>
      <c r="G77" s="169">
        <v>-856264297</v>
      </c>
      <c r="H77" s="251" t="s">
        <v>473</v>
      </c>
      <c r="I77" s="324">
        <v>-856264297</v>
      </c>
      <c r="J77" s="362"/>
      <c r="L77" s="366">
        <f>SUMIF(T198_TB!$E:$E,TB!B77,T198_TB!$L:$L)</f>
        <v>-1037478723</v>
      </c>
      <c r="M77" s="364">
        <f t="shared" si="1"/>
        <v>181214426</v>
      </c>
    </row>
    <row r="78" spans="1:13">
      <c r="A78" s="365" t="s">
        <v>632</v>
      </c>
      <c r="B78" s="354">
        <v>5101</v>
      </c>
      <c r="C78" s="323" t="s">
        <v>190</v>
      </c>
      <c r="D78" s="251">
        <v>1000</v>
      </c>
      <c r="E78" s="251"/>
      <c r="F78" s="251" t="s">
        <v>473</v>
      </c>
      <c r="G78" s="169">
        <v>-28429923500</v>
      </c>
      <c r="H78" s="251" t="s">
        <v>473</v>
      </c>
      <c r="I78" s="324">
        <v>-28429923500</v>
      </c>
      <c r="J78" s="362"/>
      <c r="L78" s="366">
        <f>SUMIF(T198_TB!$E:$E,TB!B78,T198_TB!$L:$L)</f>
        <v>-28429923500</v>
      </c>
      <c r="M78" s="364" t="str">
        <f t="shared" si="1"/>
        <v>TRUE</v>
      </c>
    </row>
    <row r="79" spans="1:13">
      <c r="A79" s="365" t="s">
        <v>632</v>
      </c>
      <c r="B79" s="354">
        <v>5201</v>
      </c>
      <c r="C79" s="323" t="s">
        <v>191</v>
      </c>
      <c r="D79" s="251">
        <v>1000</v>
      </c>
      <c r="E79" s="251"/>
      <c r="F79" s="251" t="s">
        <v>473</v>
      </c>
      <c r="G79" s="169">
        <v>-177997002186</v>
      </c>
      <c r="H79" s="251" t="s">
        <v>473</v>
      </c>
      <c r="I79" s="324">
        <v>-177997002186</v>
      </c>
      <c r="J79" s="362"/>
      <c r="L79" s="366">
        <f>SUMIF(T198_TB!$E:$E,TB!B79,T198_TB!$L:$L)</f>
        <v>-109628063914</v>
      </c>
      <c r="M79" s="364">
        <f t="shared" si="1"/>
        <v>-68368938272</v>
      </c>
    </row>
    <row r="80" spans="1:13">
      <c r="A80" s="365" t="s">
        <v>632</v>
      </c>
      <c r="B80" s="354">
        <v>5202</v>
      </c>
      <c r="C80" s="323" t="s">
        <v>665</v>
      </c>
      <c r="D80" s="251">
        <v>1000</v>
      </c>
      <c r="E80" s="251"/>
      <c r="F80" s="251" t="s">
        <v>473</v>
      </c>
      <c r="G80" s="169">
        <v>-562575670</v>
      </c>
      <c r="H80" s="251" t="s">
        <v>473</v>
      </c>
      <c r="I80" s="324">
        <v>-562575670</v>
      </c>
      <c r="J80" s="362"/>
      <c r="L80" s="366">
        <f>SUMIF(T198_TB!$E:$E,TB!B80,T198_TB!$L:$L)</f>
        <v>-1076616039</v>
      </c>
      <c r="M80" s="364">
        <f t="shared" si="1"/>
        <v>514040369</v>
      </c>
    </row>
    <row r="81" spans="1:13">
      <c r="A81" s="365" t="s">
        <v>632</v>
      </c>
      <c r="B81" s="354">
        <v>5203</v>
      </c>
      <c r="C81" s="323" t="s">
        <v>192</v>
      </c>
      <c r="D81" s="251">
        <v>1000</v>
      </c>
      <c r="E81" s="251"/>
      <c r="F81" s="251" t="s">
        <v>473</v>
      </c>
      <c r="G81" s="169">
        <v>0</v>
      </c>
      <c r="H81" s="251" t="s">
        <v>473</v>
      </c>
      <c r="I81" s="324">
        <v>0</v>
      </c>
      <c r="J81" s="362"/>
      <c r="L81" s="366">
        <f>SUMIF(T198_TB!$E:$E,TB!B81,T198_TB!$L:$L)</f>
        <v>0</v>
      </c>
      <c r="M81" s="364" t="str">
        <f t="shared" si="1"/>
        <v>TRUE</v>
      </c>
    </row>
    <row r="82" spans="1:13">
      <c r="A82" s="365" t="s">
        <v>632</v>
      </c>
      <c r="B82" s="354">
        <v>5301</v>
      </c>
      <c r="C82" s="323" t="s">
        <v>196</v>
      </c>
      <c r="D82" s="251">
        <v>1000</v>
      </c>
      <c r="E82" s="251"/>
      <c r="F82" s="251" t="s">
        <v>473</v>
      </c>
      <c r="G82" s="169">
        <v>1292039719</v>
      </c>
      <c r="H82" s="251" t="s">
        <v>473</v>
      </c>
      <c r="I82" s="324">
        <v>1292039719</v>
      </c>
      <c r="J82" s="362"/>
      <c r="L82" s="366">
        <f>SUMIF(T198_TB!$E:$E,TB!B82,T198_TB!$L:$L)</f>
        <v>1293810742</v>
      </c>
      <c r="M82" s="364">
        <f t="shared" si="1"/>
        <v>-1771023</v>
      </c>
    </row>
    <row r="83" spans="1:13">
      <c r="A83" s="365" t="s">
        <v>632</v>
      </c>
      <c r="B83" s="354">
        <v>5304</v>
      </c>
      <c r="C83" s="323" t="s">
        <v>666</v>
      </c>
      <c r="D83" s="251">
        <v>1000</v>
      </c>
      <c r="E83" s="251"/>
      <c r="F83" s="251" t="s">
        <v>473</v>
      </c>
      <c r="G83" s="169">
        <v>2736109088</v>
      </c>
      <c r="H83" s="251" t="s">
        <v>473</v>
      </c>
      <c r="I83" s="324">
        <v>2736109088</v>
      </c>
      <c r="J83" s="362"/>
      <c r="L83" s="366">
        <f>SUMIF(T198_TB!$E:$E,TB!B83,T198_TB!$L:$L)</f>
        <v>2731869088</v>
      </c>
      <c r="M83" s="364">
        <f t="shared" si="1"/>
        <v>4240000</v>
      </c>
    </row>
    <row r="84" spans="1:13">
      <c r="A84" s="365" t="s">
        <v>632</v>
      </c>
      <c r="B84" s="354">
        <v>5307</v>
      </c>
      <c r="C84" s="323" t="s">
        <v>204</v>
      </c>
      <c r="D84" s="251">
        <v>1000</v>
      </c>
      <c r="E84" s="251"/>
      <c r="F84" s="251" t="s">
        <v>473</v>
      </c>
      <c r="G84" s="169">
        <v>-2665755788</v>
      </c>
      <c r="H84" s="251" t="s">
        <v>473</v>
      </c>
      <c r="I84" s="324">
        <v>-2665755788</v>
      </c>
      <c r="J84" s="362"/>
      <c r="L84" s="366">
        <f>SUMIF(T198_TB!$E:$E,TB!B84,T198_TB!$L:$L)</f>
        <v>-1832663423</v>
      </c>
      <c r="M84" s="364">
        <f t="shared" si="1"/>
        <v>-833092365</v>
      </c>
    </row>
    <row r="85" spans="1:13">
      <c r="A85" s="365" t="s">
        <v>632</v>
      </c>
      <c r="B85" s="354">
        <v>5402</v>
      </c>
      <c r="C85" s="323" t="s">
        <v>401</v>
      </c>
      <c r="D85" s="251">
        <v>1000</v>
      </c>
      <c r="E85" s="251"/>
      <c r="F85" s="251" t="s">
        <v>473</v>
      </c>
      <c r="G85" s="169">
        <v>87889806431</v>
      </c>
      <c r="H85" s="251" t="s">
        <v>473</v>
      </c>
      <c r="I85" s="324">
        <v>87889806431</v>
      </c>
      <c r="J85" s="362"/>
      <c r="L85" s="366">
        <f>SUMIF(T198_TB!$E:$E,TB!B85,T198_TB!$L:$L)</f>
        <v>8910020994</v>
      </c>
      <c r="M85" s="364">
        <f t="shared" si="1"/>
        <v>78979785437</v>
      </c>
    </row>
    <row r="86" spans="1:13">
      <c r="A86" s="365" t="s">
        <v>632</v>
      </c>
      <c r="B86" s="354">
        <v>5302</v>
      </c>
      <c r="C86" s="323" t="s">
        <v>1592</v>
      </c>
      <c r="D86" s="251">
        <v>1000</v>
      </c>
      <c r="E86" s="251"/>
      <c r="F86" s="251" t="s">
        <v>473</v>
      </c>
      <c r="G86" s="169">
        <v>-1281898314</v>
      </c>
      <c r="H86" s="251" t="s">
        <v>473</v>
      </c>
      <c r="I86" s="324">
        <v>-1281898314</v>
      </c>
      <c r="J86" s="362"/>
      <c r="L86" s="366">
        <f>SUMIF(T198_TB!$E:$E,TB!B86,T198_TB!$L:$L)</f>
        <v>-1083527473</v>
      </c>
      <c r="M86" s="364">
        <f t="shared" si="1"/>
        <v>-198370841</v>
      </c>
    </row>
    <row r="87" spans="1:13">
      <c r="A87" s="365" t="s">
        <v>632</v>
      </c>
      <c r="B87" s="354">
        <v>5401</v>
      </c>
      <c r="C87" s="323" t="s">
        <v>527</v>
      </c>
      <c r="D87" s="251">
        <v>1000</v>
      </c>
      <c r="E87" s="251"/>
      <c r="F87" s="251" t="s">
        <v>473</v>
      </c>
      <c r="G87" s="169">
        <v>186741681</v>
      </c>
      <c r="H87" s="251" t="s">
        <v>473</v>
      </c>
      <c r="I87" s="324">
        <v>186741681</v>
      </c>
      <c r="J87" s="362"/>
      <c r="L87" s="366">
        <f>SUMIF(T198_TB!$E:$E,TB!B87,T198_TB!$L:$L)</f>
        <v>-2586305230</v>
      </c>
      <c r="M87" s="364">
        <f t="shared" si="1"/>
        <v>2773046911</v>
      </c>
    </row>
    <row r="88" spans="1:13">
      <c r="A88" s="365" t="s">
        <v>632</v>
      </c>
      <c r="B88" s="354">
        <v>101</v>
      </c>
      <c r="C88" s="323" t="s">
        <v>667</v>
      </c>
      <c r="D88" s="251">
        <v>1000</v>
      </c>
      <c r="E88" s="251"/>
      <c r="F88" s="251" t="s">
        <v>473</v>
      </c>
      <c r="G88" s="169">
        <v>-16386011342</v>
      </c>
      <c r="H88" s="251" t="s">
        <v>473</v>
      </c>
      <c r="I88" s="324">
        <v>-16386011342</v>
      </c>
      <c r="J88" s="362"/>
      <c r="L88" s="366">
        <f>SUMIF(T198_TB!$E:$E,TB!B88,T198_TB!$L:$L)</f>
        <v>-42707332254</v>
      </c>
      <c r="M88" s="364">
        <f t="shared" si="1"/>
        <v>26321320912</v>
      </c>
    </row>
    <row r="89" spans="1:13">
      <c r="A89" s="365" t="s">
        <v>632</v>
      </c>
      <c r="B89" s="354">
        <v>102</v>
      </c>
      <c r="C89" s="323" t="s">
        <v>668</v>
      </c>
      <c r="D89" s="251">
        <v>1000</v>
      </c>
      <c r="E89" s="251"/>
      <c r="F89" s="251" t="s">
        <v>473</v>
      </c>
      <c r="G89" s="169">
        <v>-4755385497</v>
      </c>
      <c r="H89" s="251" t="s">
        <v>473</v>
      </c>
      <c r="I89" s="324">
        <v>-4755385497</v>
      </c>
      <c r="J89" s="362"/>
      <c r="L89" s="366">
        <f>SUMIF(T198_TB!$E:$E,TB!B89,T198_TB!$L:$L)</f>
        <v>-1600082774</v>
      </c>
      <c r="M89" s="364">
        <f t="shared" si="1"/>
        <v>-3155302723</v>
      </c>
    </row>
    <row r="90" spans="1:13">
      <c r="A90" s="365" t="s">
        <v>632</v>
      </c>
      <c r="B90" s="354">
        <v>105</v>
      </c>
      <c r="C90" s="323" t="s">
        <v>669</v>
      </c>
      <c r="D90" s="251">
        <v>1000</v>
      </c>
      <c r="E90" s="251"/>
      <c r="F90" s="251" t="s">
        <v>473</v>
      </c>
      <c r="G90" s="169">
        <v>-5127229369</v>
      </c>
      <c r="H90" s="251" t="s">
        <v>473</v>
      </c>
      <c r="I90" s="324">
        <v>-5127229369</v>
      </c>
      <c r="J90" s="362"/>
      <c r="L90" s="366">
        <f>SUMIF(T198_TB!$E:$E,TB!B90,T198_TB!$L:$L)</f>
        <v>-19353758412</v>
      </c>
      <c r="M90" s="364">
        <f t="shared" si="1"/>
        <v>14226529043</v>
      </c>
    </row>
    <row r="91" spans="1:13">
      <c r="A91" s="365" t="s">
        <v>632</v>
      </c>
      <c r="B91" s="354">
        <v>106</v>
      </c>
      <c r="C91" s="323" t="s">
        <v>670</v>
      </c>
      <c r="D91" s="251">
        <v>1000</v>
      </c>
      <c r="E91" s="251"/>
      <c r="F91" s="251" t="s">
        <v>473</v>
      </c>
      <c r="G91" s="169">
        <v>-11677090890</v>
      </c>
      <c r="H91" s="251" t="s">
        <v>473</v>
      </c>
      <c r="I91" s="324">
        <v>-11677090890</v>
      </c>
      <c r="J91" s="362"/>
      <c r="L91" s="366">
        <f>SUMIF(T198_TB!$E:$E,TB!B91,T198_TB!$L:$L)</f>
        <v>-18638352841</v>
      </c>
      <c r="M91" s="364">
        <f t="shared" si="1"/>
        <v>6961261951</v>
      </c>
    </row>
    <row r="92" spans="1:13">
      <c r="A92" s="365" t="s">
        <v>632</v>
      </c>
      <c r="B92" s="354">
        <v>103</v>
      </c>
      <c r="C92" s="323" t="s">
        <v>237</v>
      </c>
      <c r="D92" s="251">
        <v>1000</v>
      </c>
      <c r="E92" s="251"/>
      <c r="F92" s="251" t="s">
        <v>473</v>
      </c>
      <c r="G92" s="169">
        <v>-125122289746</v>
      </c>
      <c r="H92" s="251" t="s">
        <v>473</v>
      </c>
      <c r="I92" s="324">
        <v>-125122289746</v>
      </c>
      <c r="J92" s="362"/>
      <c r="L92" s="366">
        <f>SUMIF(T198_TB!$E:$E,TB!B92,T198_TB!$L:$L)</f>
        <v>-191924586392</v>
      </c>
      <c r="M92" s="364">
        <f t="shared" si="1"/>
        <v>66802296646</v>
      </c>
    </row>
    <row r="93" spans="1:13">
      <c r="A93" s="365" t="s">
        <v>632</v>
      </c>
      <c r="B93" s="354">
        <v>201</v>
      </c>
      <c r="C93" s="323" t="s">
        <v>240</v>
      </c>
      <c r="D93" s="251">
        <v>1000</v>
      </c>
      <c r="E93" s="251"/>
      <c r="F93" s="251" t="s">
        <v>473</v>
      </c>
      <c r="G93" s="169">
        <v>17557500163</v>
      </c>
      <c r="H93" s="251" t="s">
        <v>473</v>
      </c>
      <c r="I93" s="324">
        <v>17557500163</v>
      </c>
      <c r="J93" s="362"/>
      <c r="L93" s="366">
        <f>SUMIF(T198_TB!$E:$E,TB!B93,T198_TB!$L:$L)</f>
        <v>51908544506</v>
      </c>
      <c r="M93" s="364">
        <f t="shared" si="1"/>
        <v>-34351044343</v>
      </c>
    </row>
    <row r="94" spans="1:13">
      <c r="A94" s="365" t="s">
        <v>632</v>
      </c>
      <c r="B94" s="354">
        <v>202</v>
      </c>
      <c r="C94" s="323" t="s">
        <v>242</v>
      </c>
      <c r="D94" s="251">
        <v>1000</v>
      </c>
      <c r="E94" s="251"/>
      <c r="F94" s="251" t="s">
        <v>473</v>
      </c>
      <c r="G94" s="169">
        <v>9675428377</v>
      </c>
      <c r="H94" s="251" t="s">
        <v>473</v>
      </c>
      <c r="I94" s="324">
        <v>9675428377</v>
      </c>
      <c r="J94" s="362"/>
      <c r="L94" s="366">
        <f>SUMIF(T198_TB!$E:$E,TB!B94,T198_TB!$L:$L)</f>
        <v>12697399861</v>
      </c>
      <c r="M94" s="364">
        <f t="shared" si="1"/>
        <v>-3021971484</v>
      </c>
    </row>
    <row r="95" spans="1:13">
      <c r="A95" s="365" t="s">
        <v>632</v>
      </c>
      <c r="B95" s="354">
        <v>204</v>
      </c>
      <c r="C95" s="323" t="s">
        <v>256</v>
      </c>
      <c r="D95" s="251">
        <v>1000</v>
      </c>
      <c r="E95" s="251"/>
      <c r="F95" s="251" t="s">
        <v>473</v>
      </c>
      <c r="G95" s="169">
        <v>103156226642</v>
      </c>
      <c r="H95" s="251" t="s">
        <v>473</v>
      </c>
      <c r="I95" s="324">
        <v>103156226642</v>
      </c>
      <c r="J95" s="362"/>
      <c r="L95" s="366">
        <f>SUMIF(T198_TB!$E:$E,TB!B95,T198_TB!$L:$L)</f>
        <v>150127492879</v>
      </c>
      <c r="M95" s="364">
        <f t="shared" si="1"/>
        <v>-46971266237</v>
      </c>
    </row>
    <row r="96" spans="1:13">
      <c r="A96" s="365" t="s">
        <v>632</v>
      </c>
      <c r="B96" s="354">
        <v>301</v>
      </c>
      <c r="C96" s="323" t="s">
        <v>260</v>
      </c>
      <c r="D96" s="251">
        <v>1000</v>
      </c>
      <c r="E96" s="251"/>
      <c r="F96" s="251" t="s">
        <v>473</v>
      </c>
      <c r="G96" s="169">
        <v>11013830261</v>
      </c>
      <c r="H96" s="251" t="s">
        <v>473</v>
      </c>
      <c r="I96" s="324">
        <v>11013830261</v>
      </c>
      <c r="J96" s="362"/>
      <c r="L96" s="366">
        <f>SUMIF(T198_TB!$E:$E,TB!B96,T198_TB!$L:$L)</f>
        <v>19604007917</v>
      </c>
      <c r="M96" s="364">
        <f t="shared" si="1"/>
        <v>-8590177656</v>
      </c>
    </row>
    <row r="97" spans="1:13">
      <c r="A97" s="365" t="s">
        <v>632</v>
      </c>
      <c r="B97" s="354">
        <v>302</v>
      </c>
      <c r="C97" s="323" t="s">
        <v>262</v>
      </c>
      <c r="D97" s="251">
        <v>1000</v>
      </c>
      <c r="E97" s="251"/>
      <c r="F97" s="251" t="s">
        <v>473</v>
      </c>
      <c r="G97" s="169">
        <v>1295143664</v>
      </c>
      <c r="H97" s="251" t="s">
        <v>473</v>
      </c>
      <c r="I97" s="324">
        <v>1295143664</v>
      </c>
      <c r="J97" s="362"/>
      <c r="L97" s="366">
        <f>SUMIF(T198_TB!$E:$E,TB!B97,T198_TB!$L:$L)</f>
        <v>1923652941</v>
      </c>
      <c r="M97" s="364">
        <f t="shared" si="1"/>
        <v>-628509277</v>
      </c>
    </row>
    <row r="98" spans="1:13">
      <c r="A98" s="365" t="s">
        <v>632</v>
      </c>
      <c r="B98" s="354">
        <v>304</v>
      </c>
      <c r="C98" s="323" t="s">
        <v>264</v>
      </c>
      <c r="D98" s="251">
        <v>1000</v>
      </c>
      <c r="E98" s="251"/>
      <c r="F98" s="251" t="s">
        <v>473</v>
      </c>
      <c r="G98" s="169">
        <v>1933525453</v>
      </c>
      <c r="H98" s="251" t="s">
        <v>473</v>
      </c>
      <c r="I98" s="324">
        <v>1933525453</v>
      </c>
      <c r="J98" s="362"/>
      <c r="L98" s="366">
        <f>SUMIF(T198_TB!$E:$E,TB!B98,T198_TB!$L:$L)</f>
        <v>5113410296</v>
      </c>
      <c r="M98" s="364">
        <f t="shared" si="1"/>
        <v>-3179884843</v>
      </c>
    </row>
    <row r="99" spans="1:13">
      <c r="A99" s="365" t="s">
        <v>632</v>
      </c>
      <c r="B99" s="354">
        <v>305</v>
      </c>
      <c r="C99" s="323" t="s">
        <v>266</v>
      </c>
      <c r="D99" s="251">
        <v>1000</v>
      </c>
      <c r="E99" s="251"/>
      <c r="F99" s="251" t="s">
        <v>473</v>
      </c>
      <c r="G99" s="169">
        <v>113208606</v>
      </c>
      <c r="H99" s="251" t="s">
        <v>473</v>
      </c>
      <c r="I99" s="324">
        <v>113208606</v>
      </c>
      <c r="J99" s="362"/>
      <c r="L99" s="366">
        <f>SUMIF(T198_TB!$E:$E,TB!B99,T198_TB!$L:$L)</f>
        <v>226186724</v>
      </c>
      <c r="M99" s="364">
        <f t="shared" si="1"/>
        <v>-112978118</v>
      </c>
    </row>
    <row r="100" spans="1:13">
      <c r="A100" s="365" t="s">
        <v>632</v>
      </c>
      <c r="B100" s="354">
        <v>307</v>
      </c>
      <c r="C100" s="323" t="s">
        <v>270</v>
      </c>
      <c r="D100" s="251">
        <v>1000</v>
      </c>
      <c r="E100" s="251"/>
      <c r="F100" s="251" t="s">
        <v>473</v>
      </c>
      <c r="G100" s="169">
        <v>199358425</v>
      </c>
      <c r="H100" s="251" t="s">
        <v>473</v>
      </c>
      <c r="I100" s="324">
        <v>199358425</v>
      </c>
      <c r="J100" s="362"/>
      <c r="L100" s="366">
        <f>SUMIF(T198_TB!$E:$E,TB!B100,T198_TB!$L:$L)</f>
        <v>205876974</v>
      </c>
      <c r="M100" s="364">
        <f t="shared" si="1"/>
        <v>-6518549</v>
      </c>
    </row>
    <row r="101" spans="1:13">
      <c r="A101" s="365" t="s">
        <v>632</v>
      </c>
      <c r="B101" s="354">
        <v>309</v>
      </c>
      <c r="C101" s="323" t="s">
        <v>274</v>
      </c>
      <c r="D101" s="251">
        <v>1000</v>
      </c>
      <c r="E101" s="251"/>
      <c r="F101" s="251" t="s">
        <v>473</v>
      </c>
      <c r="G101" s="169">
        <v>47682492</v>
      </c>
      <c r="H101" s="251" t="s">
        <v>473</v>
      </c>
      <c r="I101" s="324">
        <v>47682492</v>
      </c>
      <c r="J101" s="362"/>
      <c r="L101" s="366">
        <f>SUMIF(T198_TB!$E:$E,TB!B101,T198_TB!$L:$L)</f>
        <v>156305134</v>
      </c>
      <c r="M101" s="364">
        <f t="shared" si="1"/>
        <v>-108622642</v>
      </c>
    </row>
    <row r="102" spans="1:13">
      <c r="A102" s="365" t="s">
        <v>632</v>
      </c>
      <c r="B102" s="354">
        <v>311</v>
      </c>
      <c r="C102" s="323" t="s">
        <v>276</v>
      </c>
      <c r="D102" s="251">
        <v>1000</v>
      </c>
      <c r="E102" s="251"/>
      <c r="F102" s="251" t="s">
        <v>473</v>
      </c>
      <c r="G102" s="169">
        <v>189381686</v>
      </c>
      <c r="H102" s="251" t="s">
        <v>473</v>
      </c>
      <c r="I102" s="324">
        <v>189381686</v>
      </c>
      <c r="J102" s="362"/>
      <c r="L102" s="366">
        <f>SUMIF(T198_TB!$E:$E,TB!B102,T198_TB!$L:$L)</f>
        <v>164577504</v>
      </c>
      <c r="M102" s="364">
        <f t="shared" si="1"/>
        <v>24804182</v>
      </c>
    </row>
    <row r="103" spans="1:13">
      <c r="A103" s="365" t="s">
        <v>632</v>
      </c>
      <c r="B103" s="354">
        <v>31101</v>
      </c>
      <c r="C103" s="323" t="s">
        <v>1686</v>
      </c>
      <c r="D103" s="251">
        <v>1000</v>
      </c>
      <c r="E103" s="251"/>
      <c r="F103" s="251" t="s">
        <v>473</v>
      </c>
      <c r="G103" s="169">
        <v>49856252</v>
      </c>
      <c r="H103" s="251" t="s">
        <v>473</v>
      </c>
      <c r="I103" s="324">
        <v>49856252</v>
      </c>
      <c r="J103" s="362"/>
      <c r="L103" s="366">
        <f>SUMIF(T198_TB!$E:$E,TB!B103,T198_TB!$L:$L)</f>
        <v>31241483</v>
      </c>
      <c r="M103" s="364">
        <f t="shared" si="1"/>
        <v>18614769</v>
      </c>
    </row>
    <row r="104" spans="1:13">
      <c r="A104" s="365" t="s">
        <v>632</v>
      </c>
      <c r="B104" s="354">
        <v>31102</v>
      </c>
      <c r="C104" s="323" t="s">
        <v>1687</v>
      </c>
      <c r="D104" s="251">
        <v>1000</v>
      </c>
      <c r="E104" s="251"/>
      <c r="F104" s="251" t="s">
        <v>473</v>
      </c>
      <c r="G104" s="169">
        <v>28865267</v>
      </c>
      <c r="H104" s="251" t="s">
        <v>473</v>
      </c>
      <c r="I104" s="324">
        <v>28865267</v>
      </c>
      <c r="J104" s="362"/>
      <c r="L104" s="366">
        <f>SUMIF(T198_TB!$E:$E,TB!B104,T198_TB!$L:$L)</f>
        <v>117462757</v>
      </c>
      <c r="M104" s="364">
        <f t="shared" si="1"/>
        <v>-88597490</v>
      </c>
    </row>
    <row r="105" spans="1:13">
      <c r="A105" s="365" t="s">
        <v>632</v>
      </c>
      <c r="B105" s="354">
        <v>310</v>
      </c>
      <c r="C105" s="323" t="s">
        <v>671</v>
      </c>
      <c r="D105" s="251">
        <v>1000</v>
      </c>
      <c r="E105" s="251"/>
      <c r="F105" s="251" t="s">
        <v>473</v>
      </c>
      <c r="G105" s="169">
        <v>359916904</v>
      </c>
      <c r="H105" s="251" t="s">
        <v>473</v>
      </c>
      <c r="I105" s="324">
        <v>359916904</v>
      </c>
      <c r="J105" s="362"/>
      <c r="L105" s="366">
        <f>SUMIF(T198_TB!$E:$E,TB!B105,T198_TB!$L:$L)</f>
        <v>737904559</v>
      </c>
      <c r="M105" s="364">
        <f t="shared" si="1"/>
        <v>-377987655</v>
      </c>
    </row>
    <row r="106" spans="1:13">
      <c r="A106" s="365" t="s">
        <v>632</v>
      </c>
      <c r="B106" s="354">
        <v>31001</v>
      </c>
      <c r="C106" s="323" t="s">
        <v>672</v>
      </c>
      <c r="D106" s="251">
        <v>1000</v>
      </c>
      <c r="E106" s="251"/>
      <c r="F106" s="251" t="s">
        <v>473</v>
      </c>
      <c r="G106" s="169">
        <v>16256609</v>
      </c>
      <c r="H106" s="251" t="s">
        <v>473</v>
      </c>
      <c r="I106" s="324">
        <v>16256609</v>
      </c>
      <c r="J106" s="362"/>
      <c r="L106" s="366">
        <f>SUMIF(T198_TB!$E:$E,TB!B106,T198_TB!$L:$L)</f>
        <v>19349772</v>
      </c>
      <c r="M106" s="364">
        <f t="shared" si="1"/>
        <v>-3093163</v>
      </c>
    </row>
    <row r="107" spans="1:13">
      <c r="A107" s="365" t="s">
        <v>632</v>
      </c>
      <c r="B107" s="354">
        <v>335</v>
      </c>
      <c r="C107" s="326" t="s">
        <v>1596</v>
      </c>
      <c r="D107" s="251">
        <v>1000</v>
      </c>
      <c r="E107" s="251"/>
      <c r="F107" s="251" t="s">
        <v>473</v>
      </c>
      <c r="G107" s="169">
        <v>1815563936</v>
      </c>
      <c r="H107" s="251" t="s">
        <v>473</v>
      </c>
      <c r="I107" s="324">
        <v>1815563936</v>
      </c>
      <c r="J107" s="362"/>
      <c r="L107" s="366">
        <f>SUMIF(T198_TB!$E:$E,TB!B107,T198_TB!$L:$L)</f>
        <v>2841205736</v>
      </c>
      <c r="M107" s="364">
        <f t="shared" si="1"/>
        <v>-1025641800</v>
      </c>
    </row>
    <row r="108" spans="1:13">
      <c r="A108" s="365" t="s">
        <v>632</v>
      </c>
      <c r="B108" s="354">
        <v>334</v>
      </c>
      <c r="C108" s="325" t="s">
        <v>1597</v>
      </c>
      <c r="D108" s="251">
        <v>1000</v>
      </c>
      <c r="E108" s="251"/>
      <c r="F108" s="251" t="s">
        <v>473</v>
      </c>
      <c r="G108" s="169">
        <v>28731481</v>
      </c>
      <c r="H108" s="251" t="s">
        <v>473</v>
      </c>
      <c r="I108" s="324">
        <v>28731481</v>
      </c>
      <c r="J108" s="362"/>
      <c r="L108" s="366">
        <f>SUMIF(T198_TB!$E:$E,TB!B108,T198_TB!$L:$L)</f>
        <v>49495906</v>
      </c>
      <c r="M108" s="364">
        <f t="shared" si="1"/>
        <v>-20764425</v>
      </c>
    </row>
    <row r="109" spans="1:13">
      <c r="A109" s="365" t="s">
        <v>632</v>
      </c>
      <c r="B109" s="354">
        <v>326</v>
      </c>
      <c r="C109" s="323" t="s">
        <v>386</v>
      </c>
      <c r="D109" s="251">
        <v>1000</v>
      </c>
      <c r="E109" s="251"/>
      <c r="F109" s="251" t="s">
        <v>473</v>
      </c>
      <c r="G109" s="169">
        <v>4974888158</v>
      </c>
      <c r="H109" s="251" t="s">
        <v>473</v>
      </c>
      <c r="I109" s="324">
        <v>4974888158</v>
      </c>
      <c r="J109" s="362"/>
      <c r="L109" s="366">
        <f>SUMIF(T198_TB!$E:$E,TB!B109,T198_TB!$L:$L)</f>
        <v>3868771273</v>
      </c>
      <c r="M109" s="364">
        <f t="shared" si="1"/>
        <v>1106116885</v>
      </c>
    </row>
    <row r="110" spans="1:13">
      <c r="A110" s="365" t="s">
        <v>632</v>
      </c>
      <c r="B110" s="354">
        <v>312</v>
      </c>
      <c r="C110" s="323" t="s">
        <v>278</v>
      </c>
      <c r="D110" s="251">
        <v>1000</v>
      </c>
      <c r="E110" s="251"/>
      <c r="F110" s="251" t="s">
        <v>473</v>
      </c>
      <c r="G110" s="169">
        <v>167121113</v>
      </c>
      <c r="H110" s="251" t="s">
        <v>473</v>
      </c>
      <c r="I110" s="324">
        <v>167121113</v>
      </c>
      <c r="J110" s="362"/>
      <c r="L110" s="366">
        <f>SUMIF(T198_TB!$E:$E,TB!B110,T198_TB!$L:$L)</f>
        <v>273423454</v>
      </c>
      <c r="M110" s="364">
        <f t="shared" si="1"/>
        <v>-106302341</v>
      </c>
    </row>
    <row r="111" spans="1:13">
      <c r="A111" s="365" t="s">
        <v>632</v>
      </c>
      <c r="B111" s="354">
        <v>327</v>
      </c>
      <c r="C111" s="323" t="s">
        <v>306</v>
      </c>
      <c r="D111" s="251">
        <v>1000</v>
      </c>
      <c r="E111" s="251"/>
      <c r="F111" s="251" t="s">
        <v>473</v>
      </c>
      <c r="G111" s="169">
        <v>214585686</v>
      </c>
      <c r="H111" s="251" t="s">
        <v>473</v>
      </c>
      <c r="I111" s="324">
        <v>214585686</v>
      </c>
      <c r="J111" s="362"/>
      <c r="L111" s="366">
        <f>SUMIF(T198_TB!$E:$E,TB!B111,T198_TB!$L:$L)</f>
        <v>152478538</v>
      </c>
      <c r="M111" s="364">
        <f t="shared" si="1"/>
        <v>62107148</v>
      </c>
    </row>
    <row r="112" spans="1:13">
      <c r="A112" s="365" t="s">
        <v>632</v>
      </c>
      <c r="B112" s="354">
        <v>313</v>
      </c>
      <c r="C112" s="323" t="s">
        <v>280</v>
      </c>
      <c r="D112" s="251">
        <v>1000</v>
      </c>
      <c r="E112" s="251"/>
      <c r="F112" s="251" t="s">
        <v>473</v>
      </c>
      <c r="G112" s="169">
        <v>21151528</v>
      </c>
      <c r="H112" s="251" t="s">
        <v>473</v>
      </c>
      <c r="I112" s="324">
        <v>21151528</v>
      </c>
      <c r="J112" s="362"/>
      <c r="L112" s="366">
        <f>SUMIF(T198_TB!$E:$E,TB!B112,T198_TB!$L:$L)</f>
        <v>53570371</v>
      </c>
      <c r="M112" s="364">
        <f t="shared" si="1"/>
        <v>-32418843</v>
      </c>
    </row>
    <row r="113" spans="1:13">
      <c r="A113" s="365" t="s">
        <v>632</v>
      </c>
      <c r="B113" s="354">
        <v>306</v>
      </c>
      <c r="C113" s="323" t="s">
        <v>268</v>
      </c>
      <c r="D113" s="251">
        <v>1000</v>
      </c>
      <c r="E113" s="251"/>
      <c r="F113" s="251" t="s">
        <v>473</v>
      </c>
      <c r="G113" s="169">
        <v>48959779</v>
      </c>
      <c r="H113" s="251" t="s">
        <v>473</v>
      </c>
      <c r="I113" s="324">
        <v>48959779</v>
      </c>
      <c r="J113" s="362"/>
      <c r="L113" s="366">
        <f>SUMIF(T198_TB!$E:$E,TB!B113,T198_TB!$L:$L)</f>
        <v>181204338</v>
      </c>
      <c r="M113" s="364">
        <f t="shared" si="1"/>
        <v>-132244559</v>
      </c>
    </row>
    <row r="114" spans="1:13">
      <c r="A114" s="365" t="s">
        <v>632</v>
      </c>
      <c r="B114" s="354">
        <v>322</v>
      </c>
      <c r="C114" s="323" t="s">
        <v>298</v>
      </c>
      <c r="D114" s="251">
        <v>1000</v>
      </c>
      <c r="E114" s="251"/>
      <c r="F114" s="251" t="s">
        <v>473</v>
      </c>
      <c r="G114" s="169">
        <v>6152327444</v>
      </c>
      <c r="H114" s="251" t="s">
        <v>473</v>
      </c>
      <c r="I114" s="324">
        <v>6152327444</v>
      </c>
      <c r="J114" s="362"/>
      <c r="L114" s="366">
        <f>SUMIF(T198_TB!$E:$E,TB!B114,T198_TB!$L:$L)</f>
        <v>6395868214</v>
      </c>
      <c r="M114" s="364">
        <f t="shared" si="1"/>
        <v>-243540770</v>
      </c>
    </row>
    <row r="115" spans="1:13">
      <c r="A115" s="365" t="s">
        <v>632</v>
      </c>
      <c r="B115" s="354">
        <v>308</v>
      </c>
      <c r="C115" s="323" t="s">
        <v>272</v>
      </c>
      <c r="D115" s="251">
        <v>1000</v>
      </c>
      <c r="E115" s="251"/>
      <c r="F115" s="251" t="s">
        <v>473</v>
      </c>
      <c r="G115" s="169">
        <v>56927821</v>
      </c>
      <c r="H115" s="251" t="s">
        <v>473</v>
      </c>
      <c r="I115" s="324">
        <v>56927821</v>
      </c>
      <c r="J115" s="362"/>
      <c r="L115" s="366">
        <f>SUMIF(T198_TB!$E:$E,TB!B115,T198_TB!$L:$L)</f>
        <v>57065018</v>
      </c>
      <c r="M115" s="364">
        <f t="shared" si="1"/>
        <v>-137197</v>
      </c>
    </row>
    <row r="116" spans="1:13">
      <c r="A116" s="365" t="s">
        <v>632</v>
      </c>
      <c r="B116" s="354">
        <v>316</v>
      </c>
      <c r="C116" s="323" t="s">
        <v>286</v>
      </c>
      <c r="D116" s="251">
        <v>1000</v>
      </c>
      <c r="E116" s="251"/>
      <c r="F116" s="251" t="s">
        <v>473</v>
      </c>
      <c r="G116" s="169">
        <v>219135659</v>
      </c>
      <c r="H116" s="251" t="s">
        <v>473</v>
      </c>
      <c r="I116" s="324">
        <v>219135659</v>
      </c>
      <c r="J116" s="362"/>
      <c r="L116" s="366">
        <f>SUMIF(T198_TB!$E:$E,TB!B116,T198_TB!$L:$L)</f>
        <v>258449832</v>
      </c>
      <c r="M116" s="364">
        <f t="shared" si="1"/>
        <v>-39314173</v>
      </c>
    </row>
    <row r="117" spans="1:13">
      <c r="A117" s="365" t="s">
        <v>632</v>
      </c>
      <c r="B117" s="354">
        <v>317</v>
      </c>
      <c r="C117" s="323" t="s">
        <v>288</v>
      </c>
      <c r="D117" s="251">
        <v>1000</v>
      </c>
      <c r="E117" s="251"/>
      <c r="F117" s="251" t="s">
        <v>473</v>
      </c>
      <c r="G117" s="169">
        <v>49884923</v>
      </c>
      <c r="H117" s="251" t="s">
        <v>473</v>
      </c>
      <c r="I117" s="324">
        <v>49884923</v>
      </c>
      <c r="J117" s="362"/>
      <c r="L117" s="366">
        <f>SUMIF(T198_TB!$E:$E,TB!B117,T198_TB!$L:$L)</f>
        <v>83260999</v>
      </c>
      <c r="M117" s="364">
        <f t="shared" si="1"/>
        <v>-33376076</v>
      </c>
    </row>
    <row r="118" spans="1:13">
      <c r="A118" s="365" t="s">
        <v>632</v>
      </c>
      <c r="B118" s="354">
        <v>321</v>
      </c>
      <c r="C118" s="323" t="s">
        <v>296</v>
      </c>
      <c r="D118" s="251">
        <v>1000</v>
      </c>
      <c r="E118" s="251"/>
      <c r="F118" s="251" t="s">
        <v>473</v>
      </c>
      <c r="G118" s="169">
        <v>8858891402</v>
      </c>
      <c r="H118" s="251" t="s">
        <v>473</v>
      </c>
      <c r="I118" s="324">
        <v>8858891402</v>
      </c>
      <c r="J118" s="362"/>
      <c r="L118" s="366">
        <f>SUMIF(T198_TB!$E:$E,TB!B118,T198_TB!$L:$L)</f>
        <v>19594900533</v>
      </c>
      <c r="M118" s="364">
        <f t="shared" si="1"/>
        <v>-10736009131</v>
      </c>
    </row>
    <row r="119" spans="1:13">
      <c r="A119" s="365" t="s">
        <v>632</v>
      </c>
      <c r="B119" s="354">
        <v>320</v>
      </c>
      <c r="C119" s="323" t="s">
        <v>294</v>
      </c>
      <c r="D119" s="251">
        <v>1000</v>
      </c>
      <c r="E119" s="251"/>
      <c r="F119" s="251" t="s">
        <v>473</v>
      </c>
      <c r="G119" s="169">
        <v>71806900</v>
      </c>
      <c r="H119" s="251" t="s">
        <v>473</v>
      </c>
      <c r="I119" s="324">
        <v>71806900</v>
      </c>
      <c r="J119" s="362"/>
      <c r="L119" s="366">
        <f>SUMIF(T198_TB!$E:$E,TB!B119,T198_TB!$L:$L)</f>
        <v>100744955</v>
      </c>
      <c r="M119" s="364">
        <f t="shared" si="1"/>
        <v>-28938055</v>
      </c>
    </row>
    <row r="120" spans="1:13">
      <c r="A120" s="365" t="s">
        <v>632</v>
      </c>
      <c r="B120" s="354">
        <v>319</v>
      </c>
      <c r="C120" s="323" t="s">
        <v>292</v>
      </c>
      <c r="D120" s="251">
        <v>1000</v>
      </c>
      <c r="E120" s="251"/>
      <c r="F120" s="251" t="s">
        <v>473</v>
      </c>
      <c r="G120" s="169">
        <v>7347669</v>
      </c>
      <c r="H120" s="251" t="s">
        <v>473</v>
      </c>
      <c r="I120" s="324">
        <v>7347669</v>
      </c>
      <c r="J120" s="362"/>
      <c r="L120" s="366">
        <f>SUMIF(T198_TB!$E:$E,TB!B120,T198_TB!$L:$L)</f>
        <v>7152530</v>
      </c>
      <c r="M120" s="364">
        <f t="shared" si="1"/>
        <v>195139</v>
      </c>
    </row>
    <row r="121" spans="1:13">
      <c r="A121" s="365" t="s">
        <v>632</v>
      </c>
      <c r="B121" s="354">
        <v>318</v>
      </c>
      <c r="C121" s="323" t="s">
        <v>290</v>
      </c>
      <c r="D121" s="251">
        <v>1000</v>
      </c>
      <c r="E121" s="251"/>
      <c r="F121" s="251" t="s">
        <v>473</v>
      </c>
      <c r="G121" s="169">
        <v>28259778</v>
      </c>
      <c r="H121" s="251" t="s">
        <v>473</v>
      </c>
      <c r="I121" s="324">
        <v>28259778</v>
      </c>
      <c r="J121" s="362"/>
      <c r="L121" s="366">
        <f>SUMIF(T198_TB!$E:$E,TB!B121,T198_TB!$L:$L)</f>
        <v>64638879</v>
      </c>
      <c r="M121" s="364">
        <f t="shared" si="1"/>
        <v>-36379101</v>
      </c>
    </row>
    <row r="122" spans="1:13">
      <c r="A122" s="365" t="s">
        <v>632</v>
      </c>
      <c r="B122" s="354">
        <v>314</v>
      </c>
      <c r="C122" s="323" t="s">
        <v>282</v>
      </c>
      <c r="D122" s="251">
        <v>1000</v>
      </c>
      <c r="E122" s="251"/>
      <c r="F122" s="251" t="s">
        <v>473</v>
      </c>
      <c r="G122" s="169">
        <v>22071603</v>
      </c>
      <c r="H122" s="251" t="s">
        <v>473</v>
      </c>
      <c r="I122" s="324">
        <v>22071603</v>
      </c>
      <c r="J122" s="362"/>
      <c r="L122" s="366">
        <f>SUMIF(T198_TB!$E:$E,TB!B122,T198_TB!$L:$L)</f>
        <v>43624120</v>
      </c>
      <c r="M122" s="364">
        <f t="shared" si="1"/>
        <v>-21552517</v>
      </c>
    </row>
    <row r="123" spans="1:13">
      <c r="A123" s="365" t="s">
        <v>632</v>
      </c>
      <c r="B123" s="354">
        <v>324</v>
      </c>
      <c r="C123" s="323" t="s">
        <v>302</v>
      </c>
      <c r="D123" s="251">
        <v>1000</v>
      </c>
      <c r="E123" s="251"/>
      <c r="F123" s="251" t="s">
        <v>473</v>
      </c>
      <c r="G123" s="169">
        <v>214584279</v>
      </c>
      <c r="H123" s="251" t="s">
        <v>473</v>
      </c>
      <c r="I123" s="324">
        <v>214584279</v>
      </c>
      <c r="J123" s="362"/>
      <c r="L123" s="366">
        <f>SUMIF(T198_TB!$E:$E,TB!B123,T198_TB!$L:$L)</f>
        <v>14816141</v>
      </c>
      <c r="M123" s="364">
        <f t="shared" si="1"/>
        <v>199768138</v>
      </c>
    </row>
    <row r="124" spans="1:13">
      <c r="A124" s="365" t="s">
        <v>632</v>
      </c>
      <c r="B124" s="354">
        <v>315</v>
      </c>
      <c r="C124" s="323" t="s">
        <v>284</v>
      </c>
      <c r="D124" s="251">
        <v>1000</v>
      </c>
      <c r="E124" s="251"/>
      <c r="F124" s="251" t="s">
        <v>473</v>
      </c>
      <c r="G124" s="169">
        <v>1488146980</v>
      </c>
      <c r="H124" s="251" t="s">
        <v>473</v>
      </c>
      <c r="I124" s="324">
        <v>1488146980</v>
      </c>
      <c r="J124" s="362"/>
      <c r="L124" s="366">
        <f>SUMIF(T198_TB!$E:$E,TB!B124,T198_TB!$L:$L)</f>
        <v>2259262057</v>
      </c>
      <c r="M124" s="364">
        <f t="shared" si="1"/>
        <v>-771115077</v>
      </c>
    </row>
    <row r="125" spans="1:13">
      <c r="A125" s="365" t="s">
        <v>632</v>
      </c>
      <c r="B125" s="354">
        <v>323</v>
      </c>
      <c r="C125" s="323" t="s">
        <v>300</v>
      </c>
      <c r="D125" s="251">
        <v>1000</v>
      </c>
      <c r="E125" s="251"/>
      <c r="F125" s="251" t="s">
        <v>473</v>
      </c>
      <c r="G125" s="169">
        <v>150244488</v>
      </c>
      <c r="H125" s="251" t="s">
        <v>473</v>
      </c>
      <c r="I125" s="324">
        <v>150244488</v>
      </c>
      <c r="J125" s="362"/>
      <c r="L125" s="366">
        <f>SUMIF(T198_TB!$E:$E,TB!B125,T198_TB!$L:$L)</f>
        <v>705053234</v>
      </c>
      <c r="M125" s="364">
        <f t="shared" si="1"/>
        <v>-554808746</v>
      </c>
    </row>
    <row r="126" spans="1:13">
      <c r="A126" s="365" t="s">
        <v>632</v>
      </c>
      <c r="B126" s="354">
        <v>325</v>
      </c>
      <c r="C126" s="323" t="s">
        <v>304</v>
      </c>
      <c r="D126" s="251">
        <v>1000</v>
      </c>
      <c r="E126" s="251"/>
      <c r="F126" s="251" t="s">
        <v>473</v>
      </c>
      <c r="G126" s="169">
        <v>159787089</v>
      </c>
      <c r="H126" s="251" t="s">
        <v>473</v>
      </c>
      <c r="I126" s="324">
        <v>159787089</v>
      </c>
      <c r="J126" s="362"/>
      <c r="L126" s="366">
        <f>SUMIF(T198_TB!$E:$E,TB!B126,T198_TB!$L:$L)</f>
        <v>304037609</v>
      </c>
      <c r="M126" s="364">
        <f t="shared" si="1"/>
        <v>-144250520</v>
      </c>
    </row>
    <row r="127" spans="1:13">
      <c r="A127" s="365" t="s">
        <v>632</v>
      </c>
      <c r="B127" s="354">
        <v>328</v>
      </c>
      <c r="C127" s="323" t="s">
        <v>308</v>
      </c>
      <c r="D127" s="251">
        <v>1000</v>
      </c>
      <c r="E127" s="251"/>
      <c r="F127" s="251" t="s">
        <v>473</v>
      </c>
      <c r="G127" s="169">
        <v>438176490</v>
      </c>
      <c r="H127" s="251" t="s">
        <v>473</v>
      </c>
      <c r="I127" s="324">
        <v>438176490</v>
      </c>
      <c r="J127" s="362"/>
      <c r="L127" s="366">
        <f>SUMIF(T198_TB!$E:$E,TB!B127,T198_TB!$L:$L)</f>
        <v>659855752</v>
      </c>
      <c r="M127" s="364">
        <f t="shared" si="1"/>
        <v>-221679262</v>
      </c>
    </row>
    <row r="128" spans="1:13">
      <c r="A128" s="365" t="s">
        <v>632</v>
      </c>
      <c r="B128" s="354">
        <v>331</v>
      </c>
      <c r="C128" s="323" t="s">
        <v>310</v>
      </c>
      <c r="D128" s="251">
        <v>1000</v>
      </c>
      <c r="E128" s="251"/>
      <c r="F128" s="251" t="s">
        <v>473</v>
      </c>
      <c r="G128" s="169">
        <v>6083829</v>
      </c>
      <c r="H128" s="251" t="s">
        <v>473</v>
      </c>
      <c r="I128" s="324">
        <v>6083829</v>
      </c>
      <c r="J128" s="362"/>
      <c r="L128" s="366">
        <f>SUMIF(T198_TB!$E:$E,TB!B128,T198_TB!$L:$L)</f>
        <v>8422102</v>
      </c>
      <c r="M128" s="364">
        <f t="shared" si="1"/>
        <v>-2338273</v>
      </c>
    </row>
    <row r="129" spans="1:13">
      <c r="A129" s="365" t="s">
        <v>632</v>
      </c>
      <c r="B129" s="354">
        <v>329</v>
      </c>
      <c r="C129" s="323" t="s">
        <v>312</v>
      </c>
      <c r="D129" s="251">
        <v>1000</v>
      </c>
      <c r="E129" s="251"/>
      <c r="F129" s="251" t="s">
        <v>473</v>
      </c>
      <c r="G129" s="169">
        <v>820021869</v>
      </c>
      <c r="H129" s="251" t="s">
        <v>473</v>
      </c>
      <c r="I129" s="324">
        <v>820021869</v>
      </c>
      <c r="J129" s="362"/>
      <c r="L129" s="366">
        <f>SUMIF(T198_TB!$E:$E,TB!B129,T198_TB!$L:$L)</f>
        <v>1221704771</v>
      </c>
      <c r="M129" s="364">
        <f t="shared" si="1"/>
        <v>-401682902</v>
      </c>
    </row>
    <row r="130" spans="1:13">
      <c r="A130" s="365" t="s">
        <v>632</v>
      </c>
      <c r="B130" s="354">
        <v>303</v>
      </c>
      <c r="C130" s="323" t="s">
        <v>758</v>
      </c>
      <c r="D130" s="251">
        <v>1000</v>
      </c>
      <c r="E130" s="251"/>
      <c r="F130" s="251" t="s">
        <v>473</v>
      </c>
      <c r="G130" s="169">
        <v>869812452</v>
      </c>
      <c r="H130" s="251" t="s">
        <v>473</v>
      </c>
      <c r="I130" s="324">
        <v>869812452</v>
      </c>
      <c r="J130" s="362"/>
      <c r="L130" s="366">
        <f>SUMIF(T198_TB!$E:$E,TB!B130,T198_TB!$L:$L)</f>
        <v>-31098658</v>
      </c>
      <c r="M130" s="364">
        <f t="shared" si="1"/>
        <v>900911110</v>
      </c>
    </row>
    <row r="131" spans="1:13">
      <c r="A131" s="365" t="s">
        <v>632</v>
      </c>
      <c r="B131" s="354">
        <v>401</v>
      </c>
      <c r="C131" s="323" t="s">
        <v>673</v>
      </c>
      <c r="D131" s="251">
        <v>1000</v>
      </c>
      <c r="E131" s="251"/>
      <c r="F131" s="251" t="s">
        <v>473</v>
      </c>
      <c r="G131" s="169">
        <v>-499863792</v>
      </c>
      <c r="H131" s="251" t="s">
        <v>473</v>
      </c>
      <c r="I131" s="324">
        <v>-499863792</v>
      </c>
      <c r="J131" s="362"/>
      <c r="L131" s="366">
        <f>SUMIF(T198_TB!$E:$E,TB!B131,T198_TB!$L:$L)</f>
        <v>-2815210660</v>
      </c>
      <c r="M131" s="364">
        <f>IF(I131=L131,"TRUE",I131-L131)</f>
        <v>2315346868</v>
      </c>
    </row>
    <row r="132" spans="1:13">
      <c r="A132" s="364" t="s">
        <v>632</v>
      </c>
      <c r="B132" s="354">
        <v>402</v>
      </c>
      <c r="C132" s="323" t="s">
        <v>674</v>
      </c>
      <c r="D132" s="251">
        <v>1000</v>
      </c>
      <c r="E132" s="251"/>
      <c r="F132" s="251" t="s">
        <v>473</v>
      </c>
      <c r="G132" s="169">
        <v>-309405782</v>
      </c>
      <c r="H132" s="251" t="s">
        <v>473</v>
      </c>
      <c r="I132" s="324">
        <v>-309405782</v>
      </c>
      <c r="L132" s="366">
        <f>SUMIF(T198_TB!$E:$E,TB!B132,T198_TB!$L:$L)</f>
        <v>-1259242330</v>
      </c>
      <c r="M132" s="364">
        <f>IF(I132=L132,"TRUE",I132-L132)</f>
        <v>949836548</v>
      </c>
    </row>
    <row r="133" spans="1:13">
      <c r="A133" s="364" t="s">
        <v>632</v>
      </c>
      <c r="B133" s="354">
        <v>403</v>
      </c>
      <c r="C133" s="323" t="s">
        <v>675</v>
      </c>
      <c r="D133" s="251">
        <v>1000</v>
      </c>
      <c r="E133" s="251"/>
      <c r="F133" s="251" t="s">
        <v>473</v>
      </c>
      <c r="G133" s="169">
        <v>-144533089</v>
      </c>
      <c r="H133" s="251" t="s">
        <v>473</v>
      </c>
      <c r="I133" s="324">
        <v>-144533089</v>
      </c>
      <c r="L133" s="366">
        <f>SUMIF(T198_TB!$E:$E,TB!B133,T198_TB!$L:$L)</f>
        <v>-112707610</v>
      </c>
      <c r="M133" s="364">
        <f t="shared" ref="M133:M157" si="2">IF(I133=L133,"TRUE",I133-L133)</f>
        <v>-31825479</v>
      </c>
    </row>
    <row r="134" spans="1:13">
      <c r="A134" s="364" t="s">
        <v>632</v>
      </c>
      <c r="B134" s="354">
        <v>404</v>
      </c>
      <c r="C134" s="323" t="s">
        <v>676</v>
      </c>
      <c r="D134" s="251">
        <v>1000</v>
      </c>
      <c r="E134" s="251"/>
      <c r="F134" s="251" t="s">
        <v>473</v>
      </c>
      <c r="G134" s="169">
        <v>0</v>
      </c>
      <c r="H134" s="251" t="s">
        <v>473</v>
      </c>
      <c r="I134" s="324">
        <v>0</v>
      </c>
      <c r="L134" s="366">
        <f>SUMIF(T198_TB!$E:$E,TB!B134,T198_TB!$L:$L)</f>
        <v>-1479841187</v>
      </c>
      <c r="M134" s="364">
        <f t="shared" si="2"/>
        <v>1479841187</v>
      </c>
    </row>
    <row r="135" spans="1:13">
      <c r="A135" s="364" t="s">
        <v>632</v>
      </c>
      <c r="B135" s="354">
        <v>405</v>
      </c>
      <c r="C135" s="323" t="s">
        <v>677</v>
      </c>
      <c r="D135" s="251">
        <v>1000</v>
      </c>
      <c r="E135" s="251"/>
      <c r="F135" s="251" t="s">
        <v>473</v>
      </c>
      <c r="G135" s="169">
        <v>0</v>
      </c>
      <c r="H135" s="251" t="s">
        <v>473</v>
      </c>
      <c r="I135" s="324">
        <v>0</v>
      </c>
      <c r="L135" s="366">
        <f>SUMIF(T198_TB!$E:$E,TB!B135,T198_TB!$L:$L)</f>
        <v>-3510625687</v>
      </c>
      <c r="M135" s="364">
        <f t="shared" si="2"/>
        <v>3510625687</v>
      </c>
    </row>
    <row r="136" spans="1:13">
      <c r="A136" s="364" t="s">
        <v>632</v>
      </c>
      <c r="B136" s="354">
        <v>602</v>
      </c>
      <c r="C136" s="323" t="s">
        <v>678</v>
      </c>
      <c r="D136" s="251">
        <v>1000</v>
      </c>
      <c r="E136" s="251"/>
      <c r="F136" s="251" t="s">
        <v>473</v>
      </c>
      <c r="G136" s="169">
        <v>0</v>
      </c>
      <c r="H136" s="251" t="s">
        <v>473</v>
      </c>
      <c r="I136" s="324">
        <v>0</v>
      </c>
      <c r="L136" s="366">
        <f>SUMIF(T198_TB!$E:$E,TB!B136,T198_TB!$L:$L)</f>
        <v>-65107729</v>
      </c>
      <c r="M136" s="364">
        <f t="shared" si="2"/>
        <v>65107729</v>
      </c>
    </row>
    <row r="137" spans="1:13">
      <c r="A137" s="364" t="s">
        <v>632</v>
      </c>
      <c r="B137" s="354">
        <v>604</v>
      </c>
      <c r="C137" s="323" t="s">
        <v>679</v>
      </c>
      <c r="D137" s="251">
        <v>1000</v>
      </c>
      <c r="E137" s="251"/>
      <c r="F137" s="251" t="s">
        <v>473</v>
      </c>
      <c r="G137" s="169">
        <v>0</v>
      </c>
      <c r="H137" s="251" t="s">
        <v>473</v>
      </c>
      <c r="I137" s="324">
        <v>0</v>
      </c>
      <c r="L137" s="366">
        <f>SUMIF(T198_TB!$E:$E,TB!B137,T198_TB!$L:$L)</f>
        <v>0</v>
      </c>
      <c r="M137" s="364" t="str">
        <f t="shared" si="2"/>
        <v>TRUE</v>
      </c>
    </row>
    <row r="138" spans="1:13">
      <c r="A138" s="364" t="s">
        <v>632</v>
      </c>
      <c r="B138" s="354">
        <v>603</v>
      </c>
      <c r="C138" s="323" t="s">
        <v>680</v>
      </c>
      <c r="D138" s="251">
        <v>1000</v>
      </c>
      <c r="E138" s="251"/>
      <c r="F138" s="251" t="s">
        <v>473</v>
      </c>
      <c r="G138" s="169">
        <v>-70088560</v>
      </c>
      <c r="H138" s="251" t="s">
        <v>473</v>
      </c>
      <c r="I138" s="324">
        <v>-70088560</v>
      </c>
      <c r="L138" s="366">
        <f>SUMIF(T198_TB!$E:$E,TB!B138,T198_TB!$L:$L)</f>
        <v>-349243726</v>
      </c>
      <c r="M138" s="364">
        <f t="shared" si="2"/>
        <v>279155166</v>
      </c>
    </row>
    <row r="139" spans="1:13">
      <c r="A139" s="364" t="s">
        <v>632</v>
      </c>
      <c r="B139" s="355">
        <v>501</v>
      </c>
      <c r="C139" s="327" t="s">
        <v>681</v>
      </c>
      <c r="D139" s="251">
        <v>1000</v>
      </c>
      <c r="E139" s="251"/>
      <c r="F139" s="251" t="s">
        <v>473</v>
      </c>
      <c r="G139" s="169">
        <v>341958</v>
      </c>
      <c r="H139" s="251" t="s">
        <v>473</v>
      </c>
      <c r="I139" s="324">
        <v>341958</v>
      </c>
      <c r="L139" s="366">
        <f>SUMIF(T198_TB!$E:$E,TB!B139,T198_TB!$L:$L)</f>
        <v>0</v>
      </c>
      <c r="M139" s="364">
        <f t="shared" si="2"/>
        <v>341958</v>
      </c>
    </row>
    <row r="140" spans="1:13">
      <c r="A140" s="364" t="s">
        <v>632</v>
      </c>
      <c r="B140" s="355">
        <v>505</v>
      </c>
      <c r="C140" s="327" t="s">
        <v>1598</v>
      </c>
      <c r="D140" s="251">
        <v>1000</v>
      </c>
      <c r="E140" s="251"/>
      <c r="F140" s="251" t="s">
        <v>473</v>
      </c>
      <c r="G140" s="169">
        <v>124938956</v>
      </c>
      <c r="H140" s="251" t="s">
        <v>473</v>
      </c>
      <c r="I140" s="324">
        <v>124938956</v>
      </c>
      <c r="L140" s="366">
        <f>SUMIF(T198_TB!$E:$E,TB!B140,T198_TB!$L:$L)</f>
        <v>232290167</v>
      </c>
      <c r="M140" s="364">
        <f t="shared" si="2"/>
        <v>-107351211</v>
      </c>
    </row>
    <row r="141" spans="1:13">
      <c r="A141" s="364" t="s">
        <v>632</v>
      </c>
      <c r="B141" s="355">
        <v>502</v>
      </c>
      <c r="C141" s="327" t="s">
        <v>682</v>
      </c>
      <c r="D141" s="251">
        <v>1000</v>
      </c>
      <c r="E141" s="251"/>
      <c r="F141" s="251" t="s">
        <v>473</v>
      </c>
      <c r="G141" s="169">
        <v>166476327</v>
      </c>
      <c r="H141" s="251" t="s">
        <v>473</v>
      </c>
      <c r="I141" s="324">
        <v>166476327</v>
      </c>
      <c r="L141" s="366">
        <f>SUMIF(T198_TB!$E:$E,TB!B141,T198_TB!$L:$L)</f>
        <v>569022365</v>
      </c>
      <c r="M141" s="364">
        <f t="shared" si="2"/>
        <v>-402546038</v>
      </c>
    </row>
    <row r="142" spans="1:13">
      <c r="A142" s="364" t="s">
        <v>632</v>
      </c>
      <c r="B142" s="355">
        <v>503</v>
      </c>
      <c r="C142" s="327" t="s">
        <v>683</v>
      </c>
      <c r="D142" s="251">
        <v>1000</v>
      </c>
      <c r="E142" s="251"/>
      <c r="F142" s="251" t="s">
        <v>473</v>
      </c>
      <c r="G142" s="169">
        <v>145026303</v>
      </c>
      <c r="H142" s="251" t="s">
        <v>473</v>
      </c>
      <c r="I142" s="324">
        <v>145026303</v>
      </c>
      <c r="L142" s="366">
        <f>SUMIF(T198_TB!$E:$E,TB!B142,T198_TB!$L:$L)</f>
        <v>418972201</v>
      </c>
      <c r="M142" s="364">
        <f t="shared" si="2"/>
        <v>-273945898</v>
      </c>
    </row>
    <row r="143" spans="1:13">
      <c r="A143" s="364" t="s">
        <v>632</v>
      </c>
      <c r="B143" s="355">
        <v>504</v>
      </c>
      <c r="C143" s="327" t="s">
        <v>684</v>
      </c>
      <c r="D143" s="251">
        <v>1000</v>
      </c>
      <c r="E143" s="251"/>
      <c r="F143" s="251" t="s">
        <v>473</v>
      </c>
      <c r="G143" s="169">
        <v>0</v>
      </c>
      <c r="H143" s="251" t="s">
        <v>473</v>
      </c>
      <c r="I143" s="324">
        <v>0</v>
      </c>
      <c r="L143" s="366">
        <f>SUMIF(T198_TB!$E:$E,TB!B143,T198_TB!$L:$L)</f>
        <v>3683478730</v>
      </c>
      <c r="M143" s="364">
        <f t="shared" si="2"/>
        <v>-3683478730</v>
      </c>
    </row>
    <row r="144" spans="1:13">
      <c r="A144" s="364" t="s">
        <v>632</v>
      </c>
      <c r="B144" s="355">
        <v>333</v>
      </c>
      <c r="C144" s="327" t="s">
        <v>685</v>
      </c>
      <c r="D144" s="251">
        <v>1000</v>
      </c>
      <c r="E144" s="251"/>
      <c r="F144" s="251" t="s">
        <v>473</v>
      </c>
      <c r="G144" s="169">
        <v>0</v>
      </c>
      <c r="H144" s="251" t="s">
        <v>473</v>
      </c>
      <c r="I144" s="324">
        <v>0</v>
      </c>
      <c r="L144" s="366">
        <f>SUMIF(T198_TB!$E:$E,TB!B144,T198_TB!$L:$L)</f>
        <v>0</v>
      </c>
      <c r="M144" s="364" t="str">
        <f t="shared" si="2"/>
        <v>TRUE</v>
      </c>
    </row>
    <row r="145" spans="1:13">
      <c r="A145" s="364" t="s">
        <v>632</v>
      </c>
      <c r="B145" s="355">
        <v>907</v>
      </c>
      <c r="C145" s="327" t="s">
        <v>1880</v>
      </c>
      <c r="D145" s="251">
        <v>1000</v>
      </c>
      <c r="E145" s="251"/>
      <c r="F145" s="251" t="s">
        <v>473</v>
      </c>
      <c r="G145" s="169">
        <v>0</v>
      </c>
      <c r="H145" s="251" t="s">
        <v>473</v>
      </c>
      <c r="I145" s="324">
        <v>0</v>
      </c>
      <c r="L145" s="366">
        <f>SUMIF(T198_TB!$E:$E,TB!B145,T198_TB!$L:$L)</f>
        <v>0</v>
      </c>
      <c r="M145" s="364" t="str">
        <f t="shared" si="2"/>
        <v>TRUE</v>
      </c>
    </row>
    <row r="146" spans="1:13">
      <c r="A146" s="364" t="s">
        <v>632</v>
      </c>
      <c r="B146" s="355">
        <v>706</v>
      </c>
      <c r="C146" s="327" t="s">
        <v>686</v>
      </c>
      <c r="D146" s="251">
        <v>1000</v>
      </c>
      <c r="E146" s="251"/>
      <c r="F146" s="251" t="s">
        <v>473</v>
      </c>
      <c r="G146" s="169">
        <v>0</v>
      </c>
      <c r="H146" s="251" t="s">
        <v>473</v>
      </c>
      <c r="I146" s="324">
        <v>0</v>
      </c>
      <c r="L146" s="366">
        <f>SUMIF(T198_TB!$E:$E,TB!B146,T198_TB!$L:$L)</f>
        <v>1186571363</v>
      </c>
      <c r="M146" s="364">
        <f t="shared" si="2"/>
        <v>-1186571363</v>
      </c>
    </row>
    <row r="147" spans="1:13">
      <c r="A147" s="364" t="s">
        <v>632</v>
      </c>
      <c r="B147" s="355">
        <v>702</v>
      </c>
      <c r="C147" s="327" t="s">
        <v>732</v>
      </c>
      <c r="D147" s="251">
        <v>1000</v>
      </c>
      <c r="E147" s="251"/>
      <c r="F147" s="251" t="s">
        <v>473</v>
      </c>
      <c r="G147" s="169">
        <v>0</v>
      </c>
      <c r="H147" s="251" t="s">
        <v>473</v>
      </c>
      <c r="I147" s="324">
        <v>0</v>
      </c>
      <c r="L147" s="366">
        <f>SUMIF(T198_TB!$E:$E,TB!B147,T198_TB!$L:$L)</f>
        <v>73929745</v>
      </c>
      <c r="M147" s="364">
        <f t="shared" si="2"/>
        <v>-73929745</v>
      </c>
    </row>
    <row r="148" spans="1:13">
      <c r="A148" s="364" t="s">
        <v>632</v>
      </c>
      <c r="B148" s="355">
        <v>701</v>
      </c>
      <c r="C148" s="327" t="s">
        <v>687</v>
      </c>
      <c r="D148" s="251">
        <v>1000</v>
      </c>
      <c r="E148" s="251"/>
      <c r="F148" s="251" t="s">
        <v>473</v>
      </c>
      <c r="G148" s="169">
        <v>1000</v>
      </c>
      <c r="H148" s="251" t="s">
        <v>473</v>
      </c>
      <c r="I148" s="324">
        <v>1000</v>
      </c>
      <c r="L148" s="366">
        <f>SUMIF(T198_TB!$E:$E,TB!B148,T198_TB!$L:$L)</f>
        <v>15469511</v>
      </c>
      <c r="M148" s="364">
        <f t="shared" si="2"/>
        <v>-15468511</v>
      </c>
    </row>
    <row r="149" spans="1:13">
      <c r="A149" s="364" t="s">
        <v>632</v>
      </c>
      <c r="B149" s="355">
        <v>705</v>
      </c>
      <c r="C149" s="327" t="s">
        <v>734</v>
      </c>
      <c r="D149" s="251">
        <v>1000</v>
      </c>
      <c r="E149" s="251"/>
      <c r="F149" s="251" t="s">
        <v>473</v>
      </c>
      <c r="G149" s="169">
        <v>1000</v>
      </c>
      <c r="H149" s="251" t="s">
        <v>473</v>
      </c>
      <c r="I149" s="324">
        <v>1000</v>
      </c>
      <c r="L149" s="366">
        <f>SUMIF(T198_TB!$E:$E,TB!B149,T198_TB!$L:$L)</f>
        <v>15578011</v>
      </c>
      <c r="M149" s="364">
        <f t="shared" si="2"/>
        <v>-15577011</v>
      </c>
    </row>
    <row r="150" spans="1:13">
      <c r="A150" s="364" t="s">
        <v>632</v>
      </c>
      <c r="B150" s="355">
        <v>703</v>
      </c>
      <c r="C150" s="327" t="s">
        <v>762</v>
      </c>
      <c r="D150" s="251">
        <v>1000</v>
      </c>
      <c r="E150" s="251"/>
      <c r="F150" s="251" t="s">
        <v>473</v>
      </c>
      <c r="G150" s="169">
        <v>-622003191</v>
      </c>
      <c r="H150" s="251" t="s">
        <v>473</v>
      </c>
      <c r="I150" s="324">
        <v>-622003191</v>
      </c>
      <c r="L150" s="366">
        <f>SUMIF(T198_TB!$E:$E,TB!B150,T198_TB!$L:$L)</f>
        <v>16000</v>
      </c>
      <c r="M150" s="364">
        <f t="shared" si="2"/>
        <v>-622019191</v>
      </c>
    </row>
    <row r="151" spans="1:13">
      <c r="A151" s="364" t="s">
        <v>632</v>
      </c>
      <c r="B151" s="355">
        <v>709</v>
      </c>
      <c r="C151" s="327" t="s">
        <v>481</v>
      </c>
      <c r="D151" s="251">
        <v>1000</v>
      </c>
      <c r="E151" s="251"/>
      <c r="F151" s="251" t="s">
        <v>473</v>
      </c>
      <c r="G151" s="169">
        <v>0</v>
      </c>
      <c r="H151" s="251" t="s">
        <v>473</v>
      </c>
      <c r="I151" s="324">
        <v>0</v>
      </c>
      <c r="L151" s="366">
        <f>SUMIF(T198_TB!$E:$E,TB!B151,T198_TB!$L:$L)</f>
        <v>0</v>
      </c>
      <c r="M151" s="364" t="str">
        <f t="shared" si="2"/>
        <v>TRUE</v>
      </c>
    </row>
    <row r="152" spans="1:13">
      <c r="A152" s="364" t="s">
        <v>632</v>
      </c>
      <c r="B152" s="355">
        <v>704</v>
      </c>
      <c r="C152" s="327" t="s">
        <v>688</v>
      </c>
      <c r="D152" s="251">
        <v>1000</v>
      </c>
      <c r="E152" s="251"/>
      <c r="F152" s="251" t="s">
        <v>473</v>
      </c>
      <c r="G152" s="169">
        <v>197404250</v>
      </c>
      <c r="H152" s="251" t="s">
        <v>473</v>
      </c>
      <c r="I152" s="324">
        <v>197404250</v>
      </c>
      <c r="L152" s="366">
        <f>SUMIF(T198_TB!$E:$E,TB!B152,T198_TB!$L:$L)</f>
        <v>24860412</v>
      </c>
      <c r="M152" s="364">
        <f t="shared" si="2"/>
        <v>172543838</v>
      </c>
    </row>
    <row r="153" spans="1:13">
      <c r="A153" s="364" t="s">
        <v>632</v>
      </c>
      <c r="B153" s="355">
        <v>801</v>
      </c>
      <c r="C153" s="327" t="s">
        <v>380</v>
      </c>
      <c r="D153" s="251">
        <v>1000</v>
      </c>
      <c r="E153" s="251"/>
      <c r="F153" s="251" t="s">
        <v>473</v>
      </c>
      <c r="G153" s="169">
        <v>-190300445</v>
      </c>
      <c r="H153" s="251" t="s">
        <v>473</v>
      </c>
      <c r="I153" s="324">
        <v>-190300445</v>
      </c>
      <c r="L153" s="366">
        <f>SUMIF(T198_TB!$E:$E,TB!B153,T198_TB!$L:$L)</f>
        <v>147671201</v>
      </c>
      <c r="M153" s="364">
        <f t="shared" si="2"/>
        <v>-337971646</v>
      </c>
    </row>
    <row r="154" spans="1:13">
      <c r="A154" s="364" t="s">
        <v>632</v>
      </c>
      <c r="B154" s="355">
        <v>708</v>
      </c>
      <c r="C154" s="327" t="s">
        <v>1595</v>
      </c>
      <c r="D154" s="251">
        <v>1000</v>
      </c>
      <c r="E154" s="251"/>
      <c r="F154" s="251" t="s">
        <v>473</v>
      </c>
      <c r="G154" s="169">
        <v>3286752</v>
      </c>
      <c r="H154" s="251" t="s">
        <v>473</v>
      </c>
      <c r="I154" s="324">
        <v>3286752</v>
      </c>
      <c r="L154" s="366">
        <f>SUMIF(T198_TB!$E:$E,TB!B154,T198_TB!$L:$L)</f>
        <v>3006922</v>
      </c>
      <c r="M154" s="364">
        <f t="shared" si="2"/>
        <v>279830</v>
      </c>
    </row>
    <row r="155" spans="1:13">
      <c r="A155" s="364" t="s">
        <v>632</v>
      </c>
      <c r="B155" s="360">
        <v>3406</v>
      </c>
      <c r="C155" s="327" t="s">
        <v>181</v>
      </c>
      <c r="D155" s="251">
        <v>1000</v>
      </c>
      <c r="E155" s="251"/>
      <c r="F155" s="251" t="s">
        <v>473</v>
      </c>
      <c r="G155" s="169">
        <v>-5047480105</v>
      </c>
      <c r="H155" s="251" t="s">
        <v>473</v>
      </c>
      <c r="I155" s="324">
        <v>-5047480105</v>
      </c>
      <c r="L155" s="366">
        <f>SUMIF(T198_TB!$E:$E,TB!B155,T198_TB!$L:$L)</f>
        <v>-78160334</v>
      </c>
      <c r="M155" s="364">
        <f t="shared" si="2"/>
        <v>-4969319771</v>
      </c>
    </row>
    <row r="156" spans="1:13">
      <c r="A156" s="364" t="s">
        <v>632</v>
      </c>
      <c r="B156" s="360">
        <v>3408</v>
      </c>
      <c r="C156" s="327" t="s">
        <v>1917</v>
      </c>
      <c r="D156" s="251">
        <v>1000</v>
      </c>
      <c r="E156" s="251">
        <v>3</v>
      </c>
      <c r="F156" s="251" t="s">
        <v>473</v>
      </c>
      <c r="G156" s="169">
        <v>-81887307</v>
      </c>
      <c r="H156" s="251" t="s">
        <v>473</v>
      </c>
      <c r="I156" s="324">
        <v>-81887307</v>
      </c>
      <c r="L156" s="366">
        <f>SUMIF(T198_TB!$E:$E,TB!B156,T198_TB!$L:$L)</f>
        <v>-5968870183</v>
      </c>
      <c r="M156" s="364">
        <f t="shared" si="2"/>
        <v>5886982876</v>
      </c>
    </row>
    <row r="157" spans="1:13" ht="14.25" thickBot="1">
      <c r="A157" s="364" t="s">
        <v>632</v>
      </c>
      <c r="B157" s="356">
        <v>1607</v>
      </c>
      <c r="C157" s="328" t="s">
        <v>689</v>
      </c>
      <c r="D157" s="329">
        <v>1000</v>
      </c>
      <c r="E157" s="329"/>
      <c r="F157" s="329" t="s">
        <v>473</v>
      </c>
      <c r="G157" s="330">
        <v>58701019</v>
      </c>
      <c r="H157" s="329" t="s">
        <v>473</v>
      </c>
      <c r="I157" s="331">
        <v>58701019</v>
      </c>
      <c r="L157" s="366">
        <f>SUMIF(T198_TB!$E:$E,TB!B157,T198_TB!$L:$L)</f>
        <v>59132028</v>
      </c>
      <c r="M157" s="364">
        <f t="shared" si="2"/>
        <v>-431009</v>
      </c>
    </row>
  </sheetData>
  <autoFilter ref="A1:N1" xr:uid="{00000000-0009-0000-0000-000010000000}"/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rgb="FF002060"/>
  </sheetPr>
  <dimension ref="C1:AA173"/>
  <sheetViews>
    <sheetView showGridLines="0" zoomScale="85" zoomScaleNormal="85" workbookViewId="0">
      <pane xSplit="4" ySplit="5" topLeftCell="E6" activePane="bottomRight" state="frozen"/>
      <selection activeCell="F37" sqref="F37"/>
      <selection pane="topRight" activeCell="F37" sqref="F37"/>
      <selection pane="bottomLeft" activeCell="F37" sqref="F37"/>
      <selection pane="bottomRight" activeCell="A10" sqref="A10"/>
    </sheetView>
  </sheetViews>
  <sheetFormatPr defaultColWidth="8.75" defaultRowHeight="18" customHeight="1"/>
  <cols>
    <col min="1" max="2" width="2.375" style="5" customWidth="1"/>
    <col min="3" max="3" width="6.375" style="202" customWidth="1"/>
    <col min="4" max="4" width="11.125" style="263" customWidth="1"/>
    <col min="5" max="5" width="25.375" style="5" customWidth="1"/>
    <col min="6" max="7" width="13.625" style="5" bestFit="1" customWidth="1"/>
    <col min="8" max="8" width="21.75" style="5" bestFit="1" customWidth="1"/>
    <col min="9" max="9" width="13.625" style="5" bestFit="1" customWidth="1"/>
    <col min="10" max="10" width="11.875" style="5" customWidth="1"/>
    <col min="11" max="11" width="13.625" style="5" bestFit="1" customWidth="1"/>
    <col min="12" max="12" width="16.875" style="5" customWidth="1"/>
    <col min="13" max="13" width="11.75" style="5" customWidth="1"/>
    <col min="14" max="14" width="16.875" style="5" customWidth="1"/>
    <col min="15" max="15" width="17.625" style="5" customWidth="1"/>
    <col min="16" max="16" width="12.75" style="5" customWidth="1"/>
    <col min="17" max="17" width="14.25" style="5" customWidth="1"/>
    <col min="18" max="18" width="15.625" style="5" customWidth="1"/>
    <col min="19" max="19" width="16.375" style="5" customWidth="1"/>
    <col min="20" max="20" width="12.75" style="5" customWidth="1"/>
    <col min="21" max="21" width="14.25" style="5" customWidth="1"/>
    <col min="22" max="22" width="16.875" style="5" customWidth="1"/>
    <col min="23" max="23" width="17.625" style="5" customWidth="1"/>
    <col min="24" max="24" width="16.875" style="5" customWidth="1"/>
    <col min="25" max="25" width="17.625" style="5" customWidth="1"/>
    <col min="26" max="26" width="14.625" style="5" bestFit="1" customWidth="1"/>
    <col min="27" max="27" width="14.5" style="5" bestFit="1" customWidth="1"/>
    <col min="28" max="16384" width="8.75" style="5"/>
  </cols>
  <sheetData>
    <row r="1" spans="3:27" ht="18" customHeight="1">
      <c r="I1" s="5">
        <f>+$F1-$G1</f>
        <v>0</v>
      </c>
      <c r="J1" s="5">
        <f>+$G1-$F1</f>
        <v>0</v>
      </c>
      <c r="K1" s="5">
        <f>+$G1-$F1</f>
        <v>0</v>
      </c>
      <c r="L1" s="5">
        <f>+$G1-$F1</f>
        <v>0</v>
      </c>
      <c r="N1" s="5" t="s">
        <v>1354</v>
      </c>
      <c r="O1" s="5">
        <v>26362637502</v>
      </c>
      <c r="P1" s="5">
        <f>+O1-K3</f>
        <v>30670256042</v>
      </c>
    </row>
    <row r="2" spans="3:27" ht="18" customHeight="1">
      <c r="N2" s="5" t="s">
        <v>1352</v>
      </c>
      <c r="O2" s="5">
        <v>1258063162</v>
      </c>
    </row>
    <row r="3" spans="3:27" ht="18" customHeight="1">
      <c r="I3" s="5">
        <f>SUBTOTAL(9,I$6:I$173)</f>
        <v>-1624658581</v>
      </c>
      <c r="J3" s="5">
        <f>SUBTOTAL(9,J$6:J$173)</f>
        <v>1852533634</v>
      </c>
      <c r="K3" s="5">
        <f>SUBTOTAL(9,K$6:K$173)</f>
        <v>-4307618540</v>
      </c>
      <c r="L3" s="5">
        <f>SUBTOTAL(9,L$6:L$173)</f>
        <v>1039340140</v>
      </c>
    </row>
    <row r="4" spans="3:27" s="25" customFormat="1" ht="18" customHeight="1" thickBot="1">
      <c r="C4" s="172"/>
      <c r="D4" s="264"/>
      <c r="E4" s="5"/>
      <c r="F4" s="5">
        <f>SUM(F6:F173)</f>
        <v>79307757784</v>
      </c>
      <c r="G4" s="5">
        <f>SUM(G6:G173)</f>
        <v>79311691177</v>
      </c>
      <c r="H4" s="5">
        <f>+F4-G4</f>
        <v>-3933393</v>
      </c>
      <c r="I4" s="5">
        <f>SUM(I6:I173)</f>
        <v>-1624658581</v>
      </c>
      <c r="J4" s="5">
        <f>SUM(J6:J173)</f>
        <v>1852533634</v>
      </c>
      <c r="K4" s="5">
        <f>SUM(K6:K173)</f>
        <v>-4307618540</v>
      </c>
      <c r="L4" s="5">
        <f>SUM(L6:L173)</f>
        <v>1039340140</v>
      </c>
      <c r="M4" s="5"/>
      <c r="N4" s="5"/>
      <c r="O4" s="5"/>
      <c r="P4" s="5"/>
    </row>
    <row r="5" spans="3:27" ht="18" customHeight="1">
      <c r="C5" s="238" t="s">
        <v>1812</v>
      </c>
      <c r="D5" s="265" t="s">
        <v>1798</v>
      </c>
      <c r="E5" s="238" t="s">
        <v>1786</v>
      </c>
      <c r="F5" s="238" t="s">
        <v>1788</v>
      </c>
      <c r="G5" s="238" t="s">
        <v>1789</v>
      </c>
      <c r="H5" s="238" t="s">
        <v>1799</v>
      </c>
      <c r="I5" s="238" t="s">
        <v>1819</v>
      </c>
      <c r="J5" s="238" t="s">
        <v>1814</v>
      </c>
      <c r="K5" s="238" t="s">
        <v>1815</v>
      </c>
      <c r="L5" s="238" t="s">
        <v>1816</v>
      </c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</row>
    <row r="6" spans="3:27" ht="18" customHeight="1">
      <c r="C6" s="266" t="s">
        <v>1817</v>
      </c>
      <c r="D6" s="267" t="str">
        <f>+'1.0'!D6</f>
        <v>CS합병시 주식할인차금 제거 (2015년)</v>
      </c>
      <c r="E6" s="241"/>
      <c r="F6" s="241"/>
      <c r="G6" s="241"/>
      <c r="H6" s="241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</row>
    <row r="7" spans="3:27" ht="18" customHeight="1">
      <c r="C7" s="242" t="s">
        <v>1817</v>
      </c>
      <c r="D7" s="268" t="str">
        <f>+'1.0'!D7</f>
        <v>125650</v>
      </c>
      <c r="E7" s="243" t="str">
        <f>+'1.0'!E7</f>
        <v>영업권</v>
      </c>
      <c r="F7" s="243">
        <v>19842800</v>
      </c>
      <c r="G7" s="243">
        <v>0</v>
      </c>
      <c r="H7" s="243"/>
      <c r="I7" s="269">
        <f>+$F7-$G7</f>
        <v>19842800</v>
      </c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</row>
    <row r="8" spans="3:27" s="190" customFormat="1" ht="18" customHeight="1">
      <c r="C8" s="242" t="s">
        <v>1817</v>
      </c>
      <c r="D8" s="268" t="str">
        <f>+'1.0'!D8</f>
        <v>320300</v>
      </c>
      <c r="E8" s="243" t="str">
        <f>+'1.0'!E8</f>
        <v>기타자본잉여금</v>
      </c>
      <c r="F8" s="243">
        <v>0</v>
      </c>
      <c r="G8" s="243">
        <v>19842800</v>
      </c>
      <c r="H8" s="243"/>
      <c r="I8" s="5"/>
      <c r="J8" s="5"/>
      <c r="K8" s="269">
        <f>+G8</f>
        <v>19842800</v>
      </c>
      <c r="L8" s="5"/>
      <c r="M8" s="5"/>
      <c r="N8" s="5"/>
      <c r="O8" s="5"/>
      <c r="P8" s="5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</row>
    <row r="9" spans="3:27" s="190" customFormat="1" ht="18" customHeight="1">
      <c r="C9" s="266" t="s">
        <v>1817</v>
      </c>
      <c r="D9" s="267" t="str">
        <f>+'1.0'!D9</f>
        <v>합병차익취소</v>
      </c>
      <c r="E9" s="241"/>
      <c r="F9" s="241"/>
      <c r="G9" s="241"/>
      <c r="H9" s="241"/>
      <c r="I9" s="5"/>
      <c r="J9" s="5"/>
      <c r="K9" s="5"/>
      <c r="L9" s="5"/>
      <c r="M9" s="5"/>
      <c r="N9" s="5"/>
      <c r="O9" s="5"/>
      <c r="P9" s="5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 spans="3:27" s="190" customFormat="1" ht="18" customHeight="1">
      <c r="C10" s="242" t="s">
        <v>1817</v>
      </c>
      <c r="D10" s="268" t="str">
        <f>+'1.0'!D10</f>
        <v>320300</v>
      </c>
      <c r="E10" s="243" t="str">
        <f>+'1.0'!E10</f>
        <v>기타자본잉여금</v>
      </c>
      <c r="F10" s="243">
        <v>368242282</v>
      </c>
      <c r="G10" s="243">
        <v>0</v>
      </c>
      <c r="H10" s="243"/>
      <c r="I10" s="5"/>
      <c r="J10" s="5"/>
      <c r="K10" s="269">
        <f>-F10</f>
        <v>-368242282</v>
      </c>
      <c r="L10" s="5"/>
      <c r="M10" s="5"/>
      <c r="N10" s="5"/>
      <c r="O10" s="5"/>
      <c r="P10" s="5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</row>
    <row r="11" spans="3:27" s="190" customFormat="1" ht="18" customHeight="1">
      <c r="C11" s="242" t="s">
        <v>1817</v>
      </c>
      <c r="D11" s="268" t="str">
        <f>+'1.0'!D11</f>
        <v>340100</v>
      </c>
      <c r="E11" s="243" t="str">
        <f>+'1.0'!E11</f>
        <v>전기이월이익잉여금</v>
      </c>
      <c r="F11" s="243">
        <v>0</v>
      </c>
      <c r="G11" s="243">
        <v>368242282</v>
      </c>
      <c r="H11" s="243"/>
      <c r="I11" s="5"/>
      <c r="J11" s="5"/>
      <c r="K11" s="5">
        <f>+G11</f>
        <v>368242282</v>
      </c>
      <c r="L11" s="5"/>
      <c r="M11" s="5"/>
      <c r="N11" s="5"/>
      <c r="O11" s="5"/>
      <c r="P11" s="5"/>
      <c r="Q11" s="212"/>
      <c r="R11" s="212"/>
      <c r="S11" s="212"/>
      <c r="T11" s="212"/>
      <c r="U11" s="212"/>
      <c r="V11" s="212"/>
      <c r="W11" s="212"/>
      <c r="X11" s="212"/>
      <c r="Y11" s="212"/>
      <c r="Z11" s="212"/>
      <c r="AA11" s="212"/>
    </row>
    <row r="12" spans="3:27" s="190" customFormat="1" ht="18" customHeight="1">
      <c r="C12" s="242" t="s">
        <v>1817</v>
      </c>
      <c r="D12" s="268" t="str">
        <f>+'1.0'!D12</f>
        <v>320300</v>
      </c>
      <c r="E12" s="243" t="str">
        <f>+'1.0'!E12</f>
        <v>기타자본잉여금</v>
      </c>
      <c r="F12" s="243">
        <v>622390102</v>
      </c>
      <c r="G12" s="243">
        <v>0</v>
      </c>
      <c r="H12" s="243"/>
      <c r="I12" s="5"/>
      <c r="J12" s="5"/>
      <c r="K12" s="269">
        <f>-F12</f>
        <v>-622390102</v>
      </c>
      <c r="L12" s="5"/>
      <c r="M12" s="5"/>
      <c r="N12" s="5"/>
      <c r="O12" s="5"/>
      <c r="P12" s="5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</row>
    <row r="13" spans="3:27" s="190" customFormat="1" ht="18" customHeight="1">
      <c r="C13" s="242" t="s">
        <v>1817</v>
      </c>
      <c r="D13" s="268" t="str">
        <f>+'1.0'!D13</f>
        <v>350951</v>
      </c>
      <c r="E13" s="243" t="str">
        <f>+'1.0'!E13</f>
        <v>보험수리적이익</v>
      </c>
      <c r="F13" s="243">
        <v>0</v>
      </c>
      <c r="G13" s="243">
        <v>622390102</v>
      </c>
      <c r="H13" s="243"/>
      <c r="I13" s="5"/>
      <c r="J13" s="5"/>
      <c r="K13" s="269">
        <f>+G13</f>
        <v>622390102</v>
      </c>
      <c r="L13" s="5"/>
      <c r="M13" s="5"/>
      <c r="N13" s="5"/>
      <c r="O13" s="5"/>
      <c r="P13" s="5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</row>
    <row r="14" spans="3:27" s="190" customFormat="1" ht="18" customHeight="1">
      <c r="C14" s="266" t="s">
        <v>1817</v>
      </c>
      <c r="D14" s="267" t="str">
        <f>+'1.0'!D14</f>
        <v>ICS 합병시 처리</v>
      </c>
      <c r="E14" s="241"/>
      <c r="F14" s="241"/>
      <c r="G14" s="241"/>
      <c r="H14" s="241"/>
      <c r="I14" s="5"/>
      <c r="J14" s="5"/>
      <c r="K14" s="5"/>
      <c r="L14" s="5"/>
      <c r="M14" s="5"/>
      <c r="N14" s="5"/>
      <c r="O14" s="5"/>
      <c r="P14" s="5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</row>
    <row r="15" spans="3:27" s="190" customFormat="1" ht="18" customHeight="1">
      <c r="C15" s="242" t="s">
        <v>1817</v>
      </c>
      <c r="D15" s="268" t="str">
        <f>+'1.0'!D15</f>
        <v>320300</v>
      </c>
      <c r="E15" s="243" t="str">
        <f>+'1.0'!E15</f>
        <v>기타자본잉여금</v>
      </c>
      <c r="F15" s="243">
        <v>0</v>
      </c>
      <c r="G15" s="243">
        <v>892464079</v>
      </c>
      <c r="H15" s="243"/>
      <c r="I15" s="5"/>
      <c r="J15" s="5"/>
      <c r="K15" s="269">
        <f>+G15</f>
        <v>892464079</v>
      </c>
      <c r="L15" s="5"/>
      <c r="M15" s="5"/>
      <c r="N15" s="5"/>
      <c r="O15" s="5"/>
      <c r="P15" s="5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</row>
    <row r="16" spans="3:27" s="190" customFormat="1" ht="18" customHeight="1">
      <c r="C16" s="242" t="s">
        <v>1817</v>
      </c>
      <c r="D16" s="268" t="str">
        <f>+'1.0'!D16</f>
        <v>340100</v>
      </c>
      <c r="E16" s="243" t="str">
        <f>+'1.0'!E16</f>
        <v>전기이월이익잉여금</v>
      </c>
      <c r="F16" s="243">
        <v>892464079</v>
      </c>
      <c r="G16" s="243">
        <v>0</v>
      </c>
      <c r="H16" s="243"/>
      <c r="I16" s="5"/>
      <c r="J16" s="5"/>
      <c r="K16" s="5">
        <f>-F16</f>
        <v>-892464079</v>
      </c>
      <c r="L16" s="5"/>
      <c r="M16" s="5"/>
      <c r="N16" s="5"/>
      <c r="O16" s="5"/>
      <c r="P16" s="5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</row>
    <row r="17" spans="3:27" s="190" customFormat="1" ht="18" customHeight="1">
      <c r="C17" s="266" t="s">
        <v>1817</v>
      </c>
      <c r="D17" s="267" t="str">
        <f>+'1.0'!D17</f>
        <v>MPMAN 합병시 처리</v>
      </c>
      <c r="E17" s="241"/>
      <c r="F17" s="241"/>
      <c r="G17" s="241"/>
      <c r="H17" s="241"/>
      <c r="I17" s="5"/>
      <c r="J17" s="5"/>
      <c r="K17" s="5"/>
      <c r="L17" s="5"/>
      <c r="M17" s="5"/>
      <c r="N17" s="5"/>
      <c r="O17" s="5"/>
      <c r="P17" s="5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</row>
    <row r="18" spans="3:27" s="190" customFormat="1" ht="18" customHeight="1">
      <c r="C18" s="242" t="s">
        <v>1817</v>
      </c>
      <c r="D18" s="268" t="str">
        <f>+'1.0'!D18</f>
        <v>320300</v>
      </c>
      <c r="E18" s="243" t="str">
        <f>+'1.0'!E18</f>
        <v>기타자본잉여금</v>
      </c>
      <c r="F18" s="243">
        <v>10952617</v>
      </c>
      <c r="G18" s="243">
        <v>0</v>
      </c>
      <c r="H18" s="243"/>
      <c r="I18" s="5"/>
      <c r="J18" s="5"/>
      <c r="K18" s="269">
        <f>-F18</f>
        <v>-10952617</v>
      </c>
      <c r="L18" s="5"/>
      <c r="M18" s="5"/>
      <c r="N18" s="5"/>
      <c r="O18" s="5"/>
      <c r="P18" s="5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</row>
    <row r="19" spans="3:27" s="190" customFormat="1" ht="18" customHeight="1">
      <c r="C19" s="242" t="s">
        <v>1817</v>
      </c>
      <c r="D19" s="268" t="str">
        <f>+'1.0'!D19</f>
        <v>340100</v>
      </c>
      <c r="E19" s="243" t="str">
        <f>+'1.0'!E19</f>
        <v>전기이월이익잉여금</v>
      </c>
      <c r="F19" s="243">
        <v>0</v>
      </c>
      <c r="G19" s="243">
        <v>10952617</v>
      </c>
      <c r="H19" s="243"/>
      <c r="I19" s="5"/>
      <c r="J19" s="5"/>
      <c r="K19" s="5">
        <f>+G19</f>
        <v>10952617</v>
      </c>
      <c r="L19" s="5"/>
      <c r="M19" s="5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</row>
    <row r="20" spans="3:27" s="190" customFormat="1" ht="18" customHeight="1">
      <c r="C20" s="242" t="s">
        <v>1817</v>
      </c>
      <c r="D20" s="268" t="str">
        <f>+'1.0'!D20</f>
        <v>320300</v>
      </c>
      <c r="E20" s="243" t="str">
        <f>+'1.0'!E20</f>
        <v>기타자본잉여금</v>
      </c>
      <c r="F20" s="243">
        <v>0</v>
      </c>
      <c r="G20" s="243">
        <v>349388</v>
      </c>
      <c r="H20" s="243"/>
      <c r="I20" s="5"/>
      <c r="J20" s="5"/>
      <c r="K20" s="269">
        <f>+G20</f>
        <v>349388</v>
      </c>
      <c r="L20" s="5"/>
      <c r="M20" s="5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 spans="3:27" s="190" customFormat="1" ht="18" customHeight="1">
      <c r="C21" s="242" t="s">
        <v>1817</v>
      </c>
      <c r="D21" s="268" t="str">
        <f>+'1.0'!D21</f>
        <v>340100</v>
      </c>
      <c r="E21" s="243" t="str">
        <f>+'1.0'!E21</f>
        <v>전기이월이익잉여금</v>
      </c>
      <c r="F21" s="243">
        <v>349388</v>
      </c>
      <c r="G21" s="243">
        <v>0</v>
      </c>
      <c r="H21" s="243"/>
      <c r="I21" s="5"/>
      <c r="J21" s="5"/>
      <c r="K21" s="5">
        <f>-F21</f>
        <v>-349388</v>
      </c>
      <c r="L21" s="5"/>
      <c r="M21" s="5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</row>
    <row r="22" spans="3:27" s="190" customFormat="1" ht="18" customHeight="1">
      <c r="C22" s="242" t="s">
        <v>1817</v>
      </c>
      <c r="D22" s="268" t="str">
        <f>+'1.0'!D22</f>
        <v>320300</v>
      </c>
      <c r="E22" s="243" t="str">
        <f>+'1.0'!E22</f>
        <v>기타자본잉여금</v>
      </c>
      <c r="F22" s="243">
        <v>29855787</v>
      </c>
      <c r="G22" s="243">
        <v>0</v>
      </c>
      <c r="H22" s="243"/>
      <c r="I22" s="5"/>
      <c r="J22" s="5"/>
      <c r="K22" s="269">
        <f>-F22</f>
        <v>-29855787</v>
      </c>
      <c r="L22" s="5"/>
      <c r="M22" s="5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 spans="3:27" s="190" customFormat="1" ht="18" customHeight="1">
      <c r="C23" s="242" t="s">
        <v>1817</v>
      </c>
      <c r="D23" s="268" t="str">
        <f>+'1.0'!D23</f>
        <v>340100</v>
      </c>
      <c r="E23" s="243" t="str">
        <f>+'1.0'!E23</f>
        <v>전기이월이익잉여금</v>
      </c>
      <c r="F23" s="243">
        <v>0</v>
      </c>
      <c r="G23" s="243">
        <v>29855787</v>
      </c>
      <c r="H23" s="243"/>
      <c r="I23" s="5"/>
      <c r="J23" s="5"/>
      <c r="K23" s="5">
        <f>+G23</f>
        <v>29855787</v>
      </c>
      <c r="L23" s="5"/>
      <c r="M23" s="5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</row>
    <row r="24" spans="3:27" s="190" customFormat="1" ht="18" customHeight="1">
      <c r="C24" s="242"/>
      <c r="D24" s="268"/>
      <c r="E24" s="243"/>
      <c r="F24" s="243"/>
      <c r="G24" s="243"/>
      <c r="H24" s="243"/>
      <c r="I24" s="5"/>
      <c r="J24" s="5"/>
      <c r="K24" s="5"/>
      <c r="L24" s="5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</row>
    <row r="25" spans="3:27" s="190" customFormat="1" ht="18" customHeight="1">
      <c r="C25" s="266">
        <v>2</v>
      </c>
      <c r="D25" s="267" t="str">
        <f>+'2.0'!D12</f>
        <v>미국법인매각</v>
      </c>
      <c r="E25" s="241"/>
      <c r="F25" s="241"/>
      <c r="G25" s="241"/>
      <c r="H25" s="241"/>
      <c r="I25" s="5"/>
      <c r="J25" s="5"/>
      <c r="K25" s="5"/>
      <c r="L25" s="5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 spans="3:27" s="190" customFormat="1" ht="18" customHeight="1">
      <c r="C26" s="242">
        <v>2</v>
      </c>
      <c r="D26" s="268" t="str">
        <f>+'2.0'!D13</f>
        <v>340100</v>
      </c>
      <c r="E26" s="243" t="str">
        <f>+'2.0'!E13</f>
        <v>이월이익잉여금</v>
      </c>
      <c r="F26" s="270">
        <v>0</v>
      </c>
      <c r="G26" s="270">
        <v>2590571062</v>
      </c>
      <c r="H26" s="243"/>
      <c r="I26" s="5"/>
      <c r="J26" s="5"/>
      <c r="K26" s="5">
        <f>+$G26-$F26</f>
        <v>2590571062</v>
      </c>
      <c r="L26" s="5"/>
      <c r="M26" s="190" t="s">
        <v>1813</v>
      </c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 spans="3:27" s="190" customFormat="1" ht="18" customHeight="1">
      <c r="C27" s="242">
        <v>2</v>
      </c>
      <c r="D27" s="268" t="str">
        <f>+'2.0'!D14</f>
        <v>연결IS_2</v>
      </c>
      <c r="E27" s="243" t="str">
        <f>+'2.0'!E14</f>
        <v>관계기업투자주식처분이익</v>
      </c>
      <c r="F27" s="270">
        <v>2590571062</v>
      </c>
      <c r="G27" s="270">
        <v>0</v>
      </c>
      <c r="H27" s="243"/>
      <c r="I27" s="5"/>
      <c r="J27" s="5"/>
      <c r="K27" s="5"/>
      <c r="L27" s="5">
        <f t="shared" ref="L27:L35" si="0">+$G27-$F27</f>
        <v>-2590571062</v>
      </c>
      <c r="M27" s="190" t="s">
        <v>1813</v>
      </c>
      <c r="N27" s="212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 spans="3:27" s="190" customFormat="1" ht="18" customHeight="1">
      <c r="C28" s="242">
        <v>2</v>
      </c>
      <c r="D28" s="268" t="str">
        <f>+'2.0'!D15</f>
        <v>643000</v>
      </c>
      <c r="E28" s="243" t="str">
        <f>+'2.0'!E15</f>
        <v>대손상각비</v>
      </c>
      <c r="F28" s="270">
        <v>0</v>
      </c>
      <c r="G28" s="270">
        <v>920006498</v>
      </c>
      <c r="H28" s="243"/>
      <c r="I28" s="5"/>
      <c r="J28" s="5"/>
      <c r="K28" s="5"/>
      <c r="L28" s="5">
        <f t="shared" si="0"/>
        <v>920006498</v>
      </c>
      <c r="M28" s="190" t="s">
        <v>1813</v>
      </c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</row>
    <row r="29" spans="3:27" s="190" customFormat="1" ht="18" customHeight="1">
      <c r="C29" s="242">
        <v>2</v>
      </c>
      <c r="D29" s="268" t="str">
        <f>+'2.0'!D16</f>
        <v>연결IS_2</v>
      </c>
      <c r="E29" s="243" t="str">
        <f>+'2.0'!E16</f>
        <v>관계기업투자주식처분이익</v>
      </c>
      <c r="F29" s="270">
        <v>920006498</v>
      </c>
      <c r="G29" s="270">
        <v>0</v>
      </c>
      <c r="H29" s="243"/>
      <c r="I29" s="5"/>
      <c r="J29" s="5"/>
      <c r="K29" s="5"/>
      <c r="L29" s="5">
        <f t="shared" si="0"/>
        <v>-920006498</v>
      </c>
      <c r="M29" s="190" t="s">
        <v>1813</v>
      </c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 spans="3:27" s="190" customFormat="1" ht="18" customHeight="1">
      <c r="C30" s="242">
        <v>2</v>
      </c>
      <c r="D30" s="268" t="str">
        <f>+'2.0'!D17</f>
        <v>712800_1</v>
      </c>
      <c r="E30" s="243" t="str">
        <f>+'2.0'!E17</f>
        <v>채무면제이익</v>
      </c>
      <c r="F30" s="270">
        <v>3510577560</v>
      </c>
      <c r="G30" s="270">
        <v>0</v>
      </c>
      <c r="H30" s="243"/>
      <c r="I30" s="5"/>
      <c r="J30" s="5"/>
      <c r="K30" s="5"/>
      <c r="L30" s="5">
        <f t="shared" si="0"/>
        <v>-3510577560</v>
      </c>
      <c r="M30" s="190" t="s">
        <v>1813</v>
      </c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12"/>
      <c r="AA30" s="212"/>
    </row>
    <row r="31" spans="3:27" s="190" customFormat="1" ht="18" customHeight="1">
      <c r="C31" s="242">
        <v>2</v>
      </c>
      <c r="D31" s="268" t="str">
        <f>+'2.0'!D18</f>
        <v>연결IS_2</v>
      </c>
      <c r="E31" s="243" t="str">
        <f>+'2.0'!E18</f>
        <v>관계기업투자주식처분이익</v>
      </c>
      <c r="F31" s="270">
        <v>0</v>
      </c>
      <c r="G31" s="270">
        <v>3510577560</v>
      </c>
      <c r="H31" s="243"/>
      <c r="I31" s="5"/>
      <c r="J31" s="5"/>
      <c r="K31" s="5"/>
      <c r="L31" s="5">
        <f t="shared" si="0"/>
        <v>3510577560</v>
      </c>
      <c r="M31" s="190" t="s">
        <v>1813</v>
      </c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</row>
    <row r="32" spans="3:27" s="190" customFormat="1" ht="18" customHeight="1">
      <c r="C32" s="242">
        <v>2</v>
      </c>
      <c r="D32" s="268" t="str">
        <f>+'2.0'!D19</f>
        <v>643000</v>
      </c>
      <c r="E32" s="243" t="str">
        <f>+'2.0'!E19</f>
        <v>대손상각비</v>
      </c>
      <c r="F32" s="270">
        <v>0</v>
      </c>
      <c r="G32" s="270">
        <v>0</v>
      </c>
      <c r="H32" s="243"/>
      <c r="I32" s="5"/>
      <c r="J32" s="5"/>
      <c r="K32" s="5"/>
      <c r="L32" s="5">
        <f t="shared" si="0"/>
        <v>0</v>
      </c>
      <c r="M32" s="190" t="s">
        <v>1813</v>
      </c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</row>
    <row r="33" spans="3:27" s="190" customFormat="1" ht="18" customHeight="1">
      <c r="C33" s="242">
        <v>2</v>
      </c>
      <c r="D33" s="268" t="str">
        <f>+'2.0'!D20</f>
        <v>연결IS_2</v>
      </c>
      <c r="E33" s="243" t="str">
        <f>+'2.0'!E20</f>
        <v>관계기업투자주식처분이익</v>
      </c>
      <c r="F33" s="270">
        <v>0</v>
      </c>
      <c r="G33" s="270">
        <v>0</v>
      </c>
      <c r="H33" s="243"/>
      <c r="I33" s="5"/>
      <c r="J33" s="5"/>
      <c r="K33" s="5"/>
      <c r="L33" s="5">
        <f t="shared" si="0"/>
        <v>0</v>
      </c>
      <c r="M33" s="190" t="s">
        <v>1813</v>
      </c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</row>
    <row r="34" spans="3:27" s="190" customFormat="1" ht="18" customHeight="1">
      <c r="C34" s="242">
        <v>2</v>
      </c>
      <c r="D34" s="268" t="str">
        <f>+'2.0'!D21</f>
        <v>연결IS_2</v>
      </c>
      <c r="E34" s="243" t="str">
        <f>+'2.0'!E21</f>
        <v>관계기업투자주식처분이익</v>
      </c>
      <c r="F34" s="270">
        <v>798641919</v>
      </c>
      <c r="G34" s="270">
        <v>0</v>
      </c>
      <c r="H34" s="243"/>
      <c r="I34" s="5"/>
      <c r="J34" s="5"/>
      <c r="K34" s="5"/>
      <c r="L34" s="5">
        <f t="shared" si="0"/>
        <v>-798641919</v>
      </c>
      <c r="M34" s="190" t="s">
        <v>1813</v>
      </c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</row>
    <row r="35" spans="3:27" s="190" customFormat="1" ht="18" customHeight="1">
      <c r="C35" s="242">
        <v>2</v>
      </c>
      <c r="D35" s="268" t="str">
        <f>+'2.0'!D22</f>
        <v>연결IS_2</v>
      </c>
      <c r="E35" s="243" t="str">
        <f>+'2.0'!E22</f>
        <v>관계기업투자주식처분이익</v>
      </c>
      <c r="F35" s="270">
        <v>1199</v>
      </c>
      <c r="G35" s="270">
        <v>0</v>
      </c>
      <c r="H35" s="243"/>
      <c r="I35" s="5"/>
      <c r="J35" s="5"/>
      <c r="K35" s="5"/>
      <c r="L35" s="5">
        <f t="shared" si="0"/>
        <v>-1199</v>
      </c>
      <c r="M35" s="190" t="s">
        <v>1813</v>
      </c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</row>
    <row r="36" spans="3:27" s="190" customFormat="1" ht="18" customHeight="1">
      <c r="C36" s="242">
        <v>2</v>
      </c>
      <c r="D36" s="268"/>
      <c r="E36" s="243" t="s">
        <v>1811</v>
      </c>
      <c r="F36" s="270"/>
      <c r="G36" s="271">
        <v>798643118</v>
      </c>
      <c r="H36" s="243"/>
      <c r="I36" s="5"/>
      <c r="J36" s="5"/>
      <c r="K36" s="5"/>
      <c r="L36" s="5"/>
      <c r="M36" s="190" t="s">
        <v>1813</v>
      </c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12"/>
      <c r="AA36" s="212"/>
    </row>
    <row r="37" spans="3:27" s="190" customFormat="1" ht="18" customHeight="1">
      <c r="C37" s="242"/>
      <c r="D37" s="268"/>
      <c r="E37" s="243"/>
      <c r="F37" s="270"/>
      <c r="G37" s="270"/>
      <c r="H37" s="243"/>
      <c r="I37" s="5"/>
      <c r="J37" s="5"/>
      <c r="K37" s="5"/>
      <c r="L37" s="5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</row>
    <row r="38" spans="3:27" s="190" customFormat="1" ht="18" customHeight="1">
      <c r="C38" s="266">
        <v>3</v>
      </c>
      <c r="D38" s="267" t="s">
        <v>1800</v>
      </c>
      <c r="E38" s="241"/>
      <c r="F38" s="241"/>
      <c r="G38" s="241"/>
      <c r="H38" s="241"/>
      <c r="I38" s="5"/>
      <c r="J38" s="5"/>
      <c r="K38" s="5"/>
      <c r="L38" s="5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</row>
    <row r="39" spans="3:27" s="190" customFormat="1" ht="18" customHeight="1">
      <c r="C39" s="242">
        <f>+C38</f>
        <v>3</v>
      </c>
      <c r="D39" s="268">
        <f>+'3.0'!J6</f>
        <v>111731</v>
      </c>
      <c r="E39" s="243" t="str">
        <f>+'3.0'!K6</f>
        <v>외상매출금(외화)</v>
      </c>
      <c r="F39" s="243">
        <v>0</v>
      </c>
      <c r="G39" s="243">
        <v>21998200</v>
      </c>
      <c r="H39" s="243" t="str">
        <f>+'3.0'!N6</f>
        <v>드림어스컴퍼니</v>
      </c>
      <c r="I39" s="5">
        <f>+$F39-$G39</f>
        <v>-21998200</v>
      </c>
      <c r="J39" s="5"/>
      <c r="K39" s="5"/>
      <c r="L39" s="5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</row>
    <row r="40" spans="3:27" s="190" customFormat="1" ht="18" customHeight="1">
      <c r="C40" s="242">
        <f t="shared" ref="C40:C49" si="1">+C39</f>
        <v>3</v>
      </c>
      <c r="D40" s="268">
        <f>+'3.0'!J7</f>
        <v>211111</v>
      </c>
      <c r="E40" s="243" t="str">
        <f>+'3.0'!K7</f>
        <v>외상매입금(원화)</v>
      </c>
      <c r="F40" s="243">
        <v>21998200</v>
      </c>
      <c r="G40" s="243">
        <v>0</v>
      </c>
      <c r="H40" s="243" t="str">
        <f>+'3.0'!N7</f>
        <v>Iriver Enterprise Limited</v>
      </c>
      <c r="I40" s="5"/>
      <c r="J40" s="5"/>
      <c r="K40" s="5"/>
      <c r="L40" s="5"/>
      <c r="N40" s="212"/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212"/>
      <c r="AA40" s="212"/>
    </row>
    <row r="41" spans="3:27" s="190" customFormat="1" ht="18" customHeight="1">
      <c r="C41" s="242">
        <f t="shared" si="1"/>
        <v>3</v>
      </c>
      <c r="D41" s="268">
        <f>+'3.0'!J9</f>
        <v>111731</v>
      </c>
      <c r="E41" s="243" t="str">
        <f>+'3.0'!K9</f>
        <v>외상매출금(외화)</v>
      </c>
      <c r="F41" s="243">
        <v>0</v>
      </c>
      <c r="G41" s="243">
        <v>822564121</v>
      </c>
      <c r="H41" s="243" t="str">
        <f>+'3.0'!N9</f>
        <v>IRIVER CHINA CO.,LTD</v>
      </c>
      <c r="I41" s="5">
        <f>+$F41-$G41</f>
        <v>-822564121</v>
      </c>
      <c r="J41" s="5"/>
      <c r="K41" s="5"/>
      <c r="L41" s="5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</row>
    <row r="42" spans="3:27" s="190" customFormat="1" ht="18" customHeight="1">
      <c r="C42" s="242">
        <f t="shared" si="1"/>
        <v>3</v>
      </c>
      <c r="D42" s="268">
        <f>+'3.0'!J8</f>
        <v>211121</v>
      </c>
      <c r="E42" s="243" t="str">
        <f>+'3.0'!K8</f>
        <v>외상매입금(외화)</v>
      </c>
      <c r="F42" s="243">
        <v>822564121</v>
      </c>
      <c r="G42" s="243">
        <v>0</v>
      </c>
      <c r="H42" s="243" t="str">
        <f>+'3.0'!N8</f>
        <v>드림어스컴퍼니</v>
      </c>
      <c r="I42" s="5"/>
      <c r="J42" s="5"/>
      <c r="K42" s="5"/>
      <c r="L42" s="5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12"/>
      <c r="AA42" s="212"/>
    </row>
    <row r="43" spans="3:27" s="190" customFormat="1" ht="18" customHeight="1">
      <c r="C43" s="242">
        <f t="shared" si="1"/>
        <v>3</v>
      </c>
      <c r="D43" s="268"/>
      <c r="E43" s="243"/>
      <c r="F43" s="243"/>
      <c r="G43" s="243"/>
      <c r="H43" s="243"/>
      <c r="I43" s="5">
        <f>+$F43-$G43</f>
        <v>0</v>
      </c>
      <c r="J43" s="5"/>
      <c r="K43" s="5"/>
      <c r="L43" s="5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</row>
    <row r="44" spans="3:27" s="190" customFormat="1" ht="18" customHeight="1">
      <c r="C44" s="242">
        <f t="shared" si="1"/>
        <v>3</v>
      </c>
      <c r="D44" s="268"/>
      <c r="E44" s="243"/>
      <c r="F44" s="243"/>
      <c r="G44" s="243"/>
      <c r="H44" s="243"/>
      <c r="I44" s="5"/>
      <c r="J44" s="5"/>
      <c r="K44" s="5"/>
      <c r="L44" s="5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12"/>
      <c r="AA44" s="212"/>
    </row>
    <row r="45" spans="3:27" s="190" customFormat="1" ht="18" customHeight="1">
      <c r="C45" s="242">
        <f t="shared" si="1"/>
        <v>3</v>
      </c>
      <c r="D45" s="268"/>
      <c r="E45" s="243"/>
      <c r="F45" s="243"/>
      <c r="G45" s="243"/>
      <c r="H45" s="243"/>
      <c r="I45" s="5"/>
      <c r="J45" s="5"/>
      <c r="K45" s="5"/>
      <c r="L45" s="5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</row>
    <row r="46" spans="3:27" s="190" customFormat="1" ht="18" customHeight="1">
      <c r="C46" s="242">
        <f t="shared" si="1"/>
        <v>3</v>
      </c>
      <c r="D46" s="268"/>
      <c r="E46" s="243"/>
      <c r="F46" s="243"/>
      <c r="G46" s="243"/>
      <c r="H46" s="243"/>
      <c r="I46" s="5"/>
      <c r="J46" s="5"/>
      <c r="K46" s="5"/>
      <c r="L46" s="5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12"/>
      <c r="AA46" s="212"/>
    </row>
    <row r="47" spans="3:27" s="190" customFormat="1" ht="18" customHeight="1">
      <c r="C47" s="242">
        <f t="shared" si="1"/>
        <v>3</v>
      </c>
      <c r="D47" s="268"/>
      <c r="E47" s="243"/>
      <c r="F47" s="243"/>
      <c r="G47" s="243"/>
      <c r="H47" s="243"/>
      <c r="I47" s="5">
        <f>+$F47-$G47</f>
        <v>0</v>
      </c>
      <c r="J47" s="5"/>
      <c r="K47" s="5"/>
      <c r="L47" s="5"/>
      <c r="N47" s="212"/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212"/>
      <c r="AA47" s="212"/>
    </row>
    <row r="48" spans="3:27" s="190" customFormat="1" ht="18" customHeight="1">
      <c r="C48" s="242">
        <f t="shared" si="1"/>
        <v>3</v>
      </c>
      <c r="D48" s="268"/>
      <c r="E48" s="243"/>
      <c r="F48" s="243"/>
      <c r="G48" s="243"/>
      <c r="H48" s="243"/>
      <c r="I48" s="5"/>
      <c r="J48" s="5"/>
      <c r="K48" s="5"/>
      <c r="L48" s="5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12"/>
      <c r="AA48" s="212"/>
    </row>
    <row r="49" spans="3:27" s="190" customFormat="1" ht="18" customHeight="1">
      <c r="C49" s="242">
        <f t="shared" si="1"/>
        <v>3</v>
      </c>
      <c r="D49" s="268">
        <f>+'3.0'!J22</f>
        <v>111711</v>
      </c>
      <c r="E49" s="243" t="str">
        <f>+'3.0'!K22</f>
        <v>외상매출금(원화)</v>
      </c>
      <c r="F49" s="243">
        <v>0</v>
      </c>
      <c r="G49" s="243">
        <v>57500000</v>
      </c>
      <c r="H49" s="243" t="str">
        <f>+'3.0'!N22</f>
        <v>드림어스컴퍼니</v>
      </c>
      <c r="I49" s="5">
        <f>+$F49-$G49</f>
        <v>-57500000</v>
      </c>
      <c r="J49" s="5"/>
      <c r="K49" s="5"/>
      <c r="L49" s="5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</row>
    <row r="50" spans="3:27" s="190" customFormat="1" ht="18" customHeight="1">
      <c r="C50" s="242">
        <f t="shared" ref="C50:C84" si="2">+C49</f>
        <v>3</v>
      </c>
      <c r="D50" s="268">
        <f>+'3.0'!J23</f>
        <v>213100</v>
      </c>
      <c r="E50" s="243" t="str">
        <f>+'3.0'!K23</f>
        <v>미지급금(원화)</v>
      </c>
      <c r="F50" s="243">
        <v>57500000</v>
      </c>
      <c r="G50" s="243">
        <v>0</v>
      </c>
      <c r="H50" s="243" t="str">
        <f>+'3.0'!N23</f>
        <v>LIFE DESIGN COMPANY Inc.</v>
      </c>
      <c r="I50" s="5"/>
      <c r="J50" s="5"/>
      <c r="K50" s="5"/>
      <c r="L50" s="5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</row>
    <row r="51" spans="3:27" s="190" customFormat="1" ht="18" customHeight="1">
      <c r="C51" s="242">
        <f t="shared" si="2"/>
        <v>3</v>
      </c>
      <c r="D51" s="268">
        <f>+'3.0'!J24</f>
        <v>111731</v>
      </c>
      <c r="E51" s="243" t="str">
        <f>+'3.0'!K24</f>
        <v>외상매출금(외화)</v>
      </c>
      <c r="F51" s="243">
        <v>0</v>
      </c>
      <c r="G51" s="243">
        <v>75407514</v>
      </c>
      <c r="H51" s="243" t="str">
        <f>+'3.0'!N24</f>
        <v>드림어스컴퍼니</v>
      </c>
      <c r="I51" s="5">
        <f>+$F51-$G51</f>
        <v>-75407514</v>
      </c>
      <c r="J51" s="5"/>
      <c r="K51" s="5"/>
      <c r="L51" s="5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2"/>
    </row>
    <row r="52" spans="3:27" s="190" customFormat="1" ht="18" customHeight="1">
      <c r="C52" s="242">
        <f t="shared" si="2"/>
        <v>3</v>
      </c>
      <c r="D52" s="268">
        <f>+'3.0'!J27</f>
        <v>211111</v>
      </c>
      <c r="E52" s="243" t="str">
        <f>+'3.0'!K27</f>
        <v>외상매입금(원화)</v>
      </c>
      <c r="F52" s="243">
        <v>75407514</v>
      </c>
      <c r="G52" s="243">
        <v>0</v>
      </c>
      <c r="H52" s="243" t="str">
        <f>+'3.0'!N27</f>
        <v>LIFE DESIGN COMPANY Inc.</v>
      </c>
      <c r="I52" s="5"/>
      <c r="J52" s="5"/>
      <c r="K52" s="5"/>
      <c r="L52" s="5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2"/>
    </row>
    <row r="53" spans="3:27" s="190" customFormat="1" ht="18" customHeight="1">
      <c r="C53" s="242">
        <f t="shared" si="2"/>
        <v>3</v>
      </c>
      <c r="D53" s="268" t="e">
        <f>+'3.0'!#REF!</f>
        <v>#REF!</v>
      </c>
      <c r="E53" s="243" t="e">
        <f>+'3.0'!#REF!</f>
        <v>#REF!</v>
      </c>
      <c r="F53" s="243">
        <v>0</v>
      </c>
      <c r="G53" s="243">
        <v>531735000</v>
      </c>
      <c r="H53" s="243" t="e">
        <f>+'3.0'!#REF!</f>
        <v>#REF!</v>
      </c>
      <c r="I53" s="5"/>
      <c r="J53" s="5"/>
      <c r="K53" s="5"/>
      <c r="L53" s="5"/>
      <c r="N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212"/>
      <c r="AA53" s="212"/>
    </row>
    <row r="54" spans="3:27" s="190" customFormat="1" ht="18" customHeight="1">
      <c r="C54" s="242">
        <f t="shared" si="2"/>
        <v>3</v>
      </c>
      <c r="D54" s="268" t="e">
        <f>+'3.0'!#REF!</f>
        <v>#REF!</v>
      </c>
      <c r="E54" s="243" t="e">
        <f>+'3.0'!#REF!</f>
        <v>#REF!</v>
      </c>
      <c r="F54" s="243">
        <v>531735000</v>
      </c>
      <c r="G54" s="243">
        <v>0</v>
      </c>
      <c r="H54" s="243" t="e">
        <f>+'3.0'!#REF!</f>
        <v>#REF!</v>
      </c>
      <c r="I54" s="5"/>
      <c r="J54" s="5"/>
      <c r="K54" s="5"/>
      <c r="L54" s="5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</row>
    <row r="55" spans="3:27" s="190" customFormat="1" ht="18" customHeight="1">
      <c r="C55" s="242">
        <f t="shared" si="2"/>
        <v>3</v>
      </c>
      <c r="D55" s="268" t="e">
        <f>+'3.0'!#REF!</f>
        <v>#REF!</v>
      </c>
      <c r="E55" s="243" t="e">
        <f>+'3.0'!#REF!</f>
        <v>#REF!</v>
      </c>
      <c r="F55" s="243">
        <v>0</v>
      </c>
      <c r="G55" s="243">
        <v>30087098</v>
      </c>
      <c r="H55" s="243" t="e">
        <f>+'3.0'!#REF!</f>
        <v>#REF!</v>
      </c>
      <c r="I55" s="5">
        <f>+$F55-$G55</f>
        <v>-30087098</v>
      </c>
      <c r="J55" s="5"/>
      <c r="K55" s="5"/>
      <c r="L55" s="5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</row>
    <row r="56" spans="3:27" s="190" customFormat="1" ht="18" customHeight="1">
      <c r="C56" s="242">
        <f t="shared" si="2"/>
        <v>3</v>
      </c>
      <c r="D56" s="268" t="e">
        <f>+'3.0'!#REF!</f>
        <v>#REF!</v>
      </c>
      <c r="E56" s="243" t="e">
        <f>+'3.0'!#REF!</f>
        <v>#REF!</v>
      </c>
      <c r="F56" s="243">
        <v>30087098</v>
      </c>
      <c r="G56" s="243">
        <v>0</v>
      </c>
      <c r="H56" s="243" t="e">
        <f>+'3.0'!#REF!</f>
        <v>#REF!</v>
      </c>
      <c r="I56" s="5"/>
      <c r="J56" s="5"/>
      <c r="K56" s="5"/>
      <c r="L56" s="5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212"/>
      <c r="AA56" s="212"/>
    </row>
    <row r="57" spans="3:27" s="190" customFormat="1" ht="18" customHeight="1">
      <c r="C57" s="242">
        <f t="shared" si="2"/>
        <v>3</v>
      </c>
      <c r="D57" s="268" t="e">
        <f>+'3.0'!#REF!</f>
        <v>#REF!</v>
      </c>
      <c r="E57" s="243" t="e">
        <f>+'3.0'!#REF!</f>
        <v>#REF!</v>
      </c>
      <c r="F57" s="243">
        <v>0</v>
      </c>
      <c r="G57" s="243">
        <v>3933393</v>
      </c>
      <c r="H57" s="243" t="e">
        <f>+'3.0'!#REF!</f>
        <v>#REF!</v>
      </c>
      <c r="I57" s="5"/>
      <c r="J57" s="5"/>
      <c r="K57" s="5"/>
      <c r="L57" s="5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</row>
    <row r="58" spans="3:27" s="190" customFormat="1" ht="18" customHeight="1">
      <c r="C58" s="242">
        <f t="shared" si="2"/>
        <v>3</v>
      </c>
      <c r="D58" s="268"/>
      <c r="E58" s="243"/>
      <c r="F58" s="243"/>
      <c r="G58" s="243"/>
      <c r="H58" s="243"/>
      <c r="I58" s="5"/>
      <c r="J58" s="5"/>
      <c r="K58" s="5"/>
      <c r="L58" s="5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</row>
    <row r="59" spans="3:27" s="190" customFormat="1" ht="18" customHeight="1">
      <c r="C59" s="242">
        <f t="shared" si="2"/>
        <v>3</v>
      </c>
      <c r="D59" s="268"/>
      <c r="E59" s="243"/>
      <c r="F59" s="243"/>
      <c r="G59" s="243"/>
      <c r="H59" s="243"/>
      <c r="I59" s="5">
        <f>+$F59-$G59</f>
        <v>0</v>
      </c>
      <c r="J59" s="5"/>
      <c r="K59" s="5"/>
      <c r="L59" s="5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212"/>
      <c r="AA59" s="212"/>
    </row>
    <row r="60" spans="3:27" s="190" customFormat="1" ht="18" customHeight="1">
      <c r="C60" s="242">
        <f t="shared" si="2"/>
        <v>3</v>
      </c>
      <c r="D60" s="268"/>
      <c r="E60" s="243"/>
      <c r="F60" s="243"/>
      <c r="G60" s="243"/>
      <c r="H60" s="243"/>
      <c r="I60" s="5"/>
      <c r="J60" s="5"/>
      <c r="K60" s="5"/>
      <c r="L60" s="5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</row>
    <row r="61" spans="3:27" s="190" customFormat="1" ht="18" customHeight="1">
      <c r="C61" s="242">
        <f t="shared" si="2"/>
        <v>3</v>
      </c>
      <c r="D61" s="268"/>
      <c r="E61" s="243"/>
      <c r="F61" s="243"/>
      <c r="G61" s="243"/>
      <c r="H61" s="243"/>
      <c r="I61" s="5">
        <f>+$F61-$G61</f>
        <v>0</v>
      </c>
      <c r="J61" s="5"/>
      <c r="K61" s="5"/>
      <c r="L61" s="5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212"/>
      <c r="AA61" s="212"/>
    </row>
    <row r="62" spans="3:27" s="190" customFormat="1" ht="18" customHeight="1">
      <c r="C62" s="242">
        <f t="shared" si="2"/>
        <v>3</v>
      </c>
      <c r="D62" s="268"/>
      <c r="E62" s="243"/>
      <c r="F62" s="243"/>
      <c r="G62" s="243"/>
      <c r="H62" s="243"/>
      <c r="I62" s="5"/>
      <c r="J62" s="5"/>
      <c r="K62" s="5"/>
      <c r="L62" s="5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12"/>
      <c r="AA62" s="212"/>
    </row>
    <row r="63" spans="3:27" s="190" customFormat="1" ht="18" customHeight="1">
      <c r="C63" s="242"/>
      <c r="D63" s="268"/>
      <c r="E63" s="243"/>
      <c r="F63" s="243"/>
      <c r="G63" s="243"/>
      <c r="H63" s="243"/>
      <c r="I63" s="5"/>
      <c r="J63" s="5"/>
      <c r="K63" s="5"/>
      <c r="L63" s="5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</row>
    <row r="64" spans="3:27" s="190" customFormat="1" ht="18" customHeight="1">
      <c r="C64" s="242">
        <f>+C62</f>
        <v>3</v>
      </c>
      <c r="D64" s="268"/>
      <c r="E64" s="243"/>
      <c r="F64" s="243"/>
      <c r="G64" s="243"/>
      <c r="H64" s="243"/>
      <c r="I64" s="5"/>
      <c r="J64" s="5"/>
      <c r="K64" s="5"/>
      <c r="L64" s="5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</row>
    <row r="65" spans="3:27" s="190" customFormat="1" ht="18" customHeight="1">
      <c r="C65" s="242">
        <f t="shared" si="2"/>
        <v>3</v>
      </c>
      <c r="D65" s="268"/>
      <c r="E65" s="243"/>
      <c r="F65" s="243"/>
      <c r="G65" s="243"/>
      <c r="H65" s="243"/>
      <c r="I65" s="5"/>
      <c r="J65" s="5"/>
      <c r="K65" s="5"/>
      <c r="L65" s="5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212"/>
      <c r="AA65" s="212"/>
    </row>
    <row r="66" spans="3:27" s="190" customFormat="1" ht="18" customHeight="1">
      <c r="C66" s="242">
        <f t="shared" si="2"/>
        <v>3</v>
      </c>
      <c r="D66" s="268"/>
      <c r="E66" s="243"/>
      <c r="F66" s="243"/>
      <c r="G66" s="243"/>
      <c r="H66" s="243"/>
      <c r="I66" s="5"/>
      <c r="J66" s="5"/>
      <c r="K66" s="5"/>
      <c r="L66" s="5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2"/>
    </row>
    <row r="67" spans="3:27" s="190" customFormat="1" ht="18" customHeight="1">
      <c r="C67" s="242">
        <f t="shared" si="2"/>
        <v>3</v>
      </c>
      <c r="D67" s="268"/>
      <c r="E67" s="243"/>
      <c r="F67" s="243"/>
      <c r="G67" s="243"/>
      <c r="H67" s="243"/>
      <c r="I67" s="5"/>
      <c r="J67" s="5"/>
      <c r="K67" s="5"/>
      <c r="L67" s="5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212"/>
      <c r="AA67" s="212"/>
    </row>
    <row r="68" spans="3:27" s="190" customFormat="1" ht="18" customHeight="1">
      <c r="C68" s="242">
        <f t="shared" si="2"/>
        <v>3</v>
      </c>
      <c r="D68" s="268"/>
      <c r="E68" s="243"/>
      <c r="F68" s="243"/>
      <c r="G68" s="243"/>
      <c r="H68" s="243"/>
      <c r="I68" s="5"/>
      <c r="J68" s="5"/>
      <c r="K68" s="5"/>
      <c r="L68" s="5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</row>
    <row r="69" spans="3:27" s="190" customFormat="1" ht="18" customHeight="1">
      <c r="C69" s="242">
        <f t="shared" si="2"/>
        <v>3</v>
      </c>
      <c r="D69" s="268"/>
      <c r="E69" s="243"/>
      <c r="F69" s="243"/>
      <c r="G69" s="243"/>
      <c r="H69" s="243"/>
      <c r="I69" s="5"/>
      <c r="J69" s="5"/>
      <c r="K69" s="5"/>
      <c r="L69" s="5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212"/>
      <c r="AA69" s="212"/>
    </row>
    <row r="70" spans="3:27" s="190" customFormat="1" ht="18" customHeight="1">
      <c r="C70" s="242">
        <f t="shared" si="2"/>
        <v>3</v>
      </c>
      <c r="D70" s="268"/>
      <c r="E70" s="243"/>
      <c r="F70" s="243"/>
      <c r="G70" s="243"/>
      <c r="H70" s="243"/>
      <c r="I70" s="5"/>
      <c r="J70" s="5"/>
      <c r="K70" s="5"/>
      <c r="L70" s="5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12"/>
    </row>
    <row r="71" spans="3:27" s="190" customFormat="1" ht="18" customHeight="1">
      <c r="C71" s="242">
        <f t="shared" si="2"/>
        <v>3</v>
      </c>
      <c r="D71" s="268"/>
      <c r="E71" s="243"/>
      <c r="F71" s="243"/>
      <c r="G71" s="243"/>
      <c r="H71" s="243"/>
      <c r="I71" s="5"/>
      <c r="J71" s="5"/>
      <c r="K71" s="5"/>
      <c r="L71" s="5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212"/>
    </row>
    <row r="72" spans="3:27" s="190" customFormat="1" ht="18" customHeight="1">
      <c r="C72" s="242">
        <f t="shared" si="2"/>
        <v>3</v>
      </c>
      <c r="D72" s="268"/>
      <c r="E72" s="243"/>
      <c r="F72" s="243"/>
      <c r="G72" s="243"/>
      <c r="H72" s="243"/>
      <c r="I72" s="5"/>
      <c r="J72" s="5"/>
      <c r="K72" s="5"/>
      <c r="L72" s="5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</row>
    <row r="73" spans="3:27" s="190" customFormat="1" ht="18" customHeight="1">
      <c r="C73" s="242">
        <f t="shared" si="2"/>
        <v>3</v>
      </c>
      <c r="D73" s="268"/>
      <c r="E73" s="243"/>
      <c r="F73" s="243"/>
      <c r="G73" s="243"/>
      <c r="H73" s="243"/>
      <c r="I73" s="5"/>
      <c r="J73" s="5"/>
      <c r="K73" s="5"/>
      <c r="L73" s="5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212"/>
    </row>
    <row r="74" spans="3:27" s="190" customFormat="1" ht="18" customHeight="1">
      <c r="C74" s="242">
        <f t="shared" si="2"/>
        <v>3</v>
      </c>
      <c r="D74" s="268">
        <f>+'3.0'!J28</f>
        <v>410240</v>
      </c>
      <c r="E74" s="243" t="str">
        <f>+'3.0'!K28</f>
        <v>제품매출(수출)</v>
      </c>
      <c r="F74" s="243">
        <v>980215414</v>
      </c>
      <c r="G74" s="243">
        <v>0</v>
      </c>
      <c r="H74" s="243" t="str">
        <f>+'3.0'!N28</f>
        <v>드림어스컴퍼니</v>
      </c>
      <c r="I74" s="5"/>
      <c r="J74" s="5"/>
      <c r="K74" s="5"/>
      <c r="L74" s="5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</row>
    <row r="75" spans="3:27" s="190" customFormat="1" ht="18" customHeight="1">
      <c r="C75" s="242">
        <f t="shared" si="2"/>
        <v>3</v>
      </c>
      <c r="D75" s="268">
        <f>+'3.0'!J29</f>
        <v>420199</v>
      </c>
      <c r="E75" s="243" t="str">
        <f>+'3.0'!K29</f>
        <v>제품매출원가</v>
      </c>
      <c r="F75" s="243">
        <v>0</v>
      </c>
      <c r="G75" s="243">
        <v>980215414</v>
      </c>
      <c r="H75" s="243" t="str">
        <f>+'3.0'!N29</f>
        <v>LIFE DESIGN COMPANY Inc.</v>
      </c>
      <c r="I75" s="5"/>
      <c r="J75" s="5"/>
      <c r="K75" s="5"/>
      <c r="L75" s="5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212"/>
    </row>
    <row r="76" spans="3:27" s="190" customFormat="1" ht="18" customHeight="1">
      <c r="C76" s="242">
        <f t="shared" si="2"/>
        <v>3</v>
      </c>
      <c r="D76" s="268">
        <f>+'3.0'!J30</f>
        <v>410130</v>
      </c>
      <c r="E76" s="243" t="str">
        <f>+'3.0'!K30</f>
        <v>상품매출(수출)</v>
      </c>
      <c r="F76" s="243">
        <v>36729604</v>
      </c>
      <c r="G76" s="243">
        <v>0</v>
      </c>
      <c r="H76" s="243" t="str">
        <f>+'3.0'!N30</f>
        <v>드림어스컴퍼니</v>
      </c>
      <c r="I76" s="5"/>
      <c r="J76" s="5"/>
      <c r="K76" s="5"/>
      <c r="L76" s="5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212"/>
    </row>
    <row r="77" spans="3:27" s="190" customFormat="1" ht="18" customHeight="1">
      <c r="C77" s="242">
        <f t="shared" si="2"/>
        <v>3</v>
      </c>
      <c r="D77" s="268">
        <f>+'3.0'!J32</f>
        <v>420090</v>
      </c>
      <c r="E77" s="243" t="str">
        <f>+'3.0'!K32</f>
        <v>상품매출원가</v>
      </c>
      <c r="F77" s="243">
        <v>0</v>
      </c>
      <c r="G77" s="243">
        <v>36729604</v>
      </c>
      <c r="H77" s="243" t="str">
        <f>+'3.0'!N32</f>
        <v>LIFE DESIGN COMPANY Inc.</v>
      </c>
      <c r="I77" s="5"/>
      <c r="J77" s="5"/>
      <c r="K77" s="5"/>
      <c r="L77" s="5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212"/>
    </row>
    <row r="78" spans="3:27" s="190" customFormat="1" ht="18" customHeight="1">
      <c r="C78" s="242">
        <f t="shared" si="2"/>
        <v>3</v>
      </c>
      <c r="D78" s="268"/>
      <c r="E78" s="243"/>
      <c r="F78" s="243"/>
      <c r="G78" s="243"/>
      <c r="H78" s="243"/>
      <c r="I78" s="5"/>
      <c r="J78" s="5"/>
      <c r="K78" s="5"/>
      <c r="L78" s="5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12"/>
    </row>
    <row r="79" spans="3:27" s="190" customFormat="1" ht="18" customHeight="1">
      <c r="C79" s="242">
        <f t="shared" si="2"/>
        <v>3</v>
      </c>
      <c r="D79" s="268"/>
      <c r="E79" s="243"/>
      <c r="F79" s="243"/>
      <c r="G79" s="243"/>
      <c r="H79" s="243"/>
      <c r="I79" s="5"/>
      <c r="J79" s="5"/>
      <c r="K79" s="5"/>
      <c r="L79" s="5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212"/>
    </row>
    <row r="80" spans="3:27" s="190" customFormat="1" ht="18" customHeight="1">
      <c r="C80" s="242">
        <f t="shared" si="2"/>
        <v>3</v>
      </c>
      <c r="D80" s="268"/>
      <c r="E80" s="243"/>
      <c r="F80" s="243"/>
      <c r="G80" s="243"/>
      <c r="H80" s="243"/>
      <c r="I80" s="5"/>
      <c r="J80" s="5"/>
      <c r="K80" s="5"/>
      <c r="L80" s="5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12"/>
    </row>
    <row r="81" spans="3:26" s="190" customFormat="1" ht="18" customHeight="1">
      <c r="C81" s="242">
        <f t="shared" si="2"/>
        <v>3</v>
      </c>
      <c r="D81" s="268"/>
      <c r="E81" s="243"/>
      <c r="F81" s="243"/>
      <c r="G81" s="243"/>
      <c r="H81" s="243"/>
      <c r="I81" s="5"/>
      <c r="J81" s="5"/>
      <c r="K81" s="5"/>
      <c r="L81" s="5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212"/>
    </row>
    <row r="82" spans="3:26" s="190" customFormat="1" ht="18" customHeight="1">
      <c r="C82" s="242"/>
      <c r="D82" s="268"/>
      <c r="E82" s="243"/>
      <c r="F82" s="243"/>
      <c r="G82" s="243"/>
      <c r="H82" s="243"/>
      <c r="I82" s="5"/>
      <c r="J82" s="5"/>
      <c r="K82" s="5"/>
      <c r="L82" s="5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12"/>
    </row>
    <row r="83" spans="3:26" s="190" customFormat="1" ht="18" customHeight="1">
      <c r="C83" s="242">
        <f>+C81</f>
        <v>3</v>
      </c>
      <c r="D83" s="268"/>
      <c r="E83" s="243"/>
      <c r="F83" s="243"/>
      <c r="G83" s="243"/>
      <c r="H83" s="243"/>
      <c r="I83" s="5"/>
      <c r="J83" s="5"/>
      <c r="K83" s="5"/>
      <c r="L83" s="5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</row>
    <row r="84" spans="3:26" s="190" customFormat="1" ht="18" customHeight="1">
      <c r="C84" s="242">
        <f t="shared" si="2"/>
        <v>3</v>
      </c>
      <c r="D84" s="268"/>
      <c r="E84" s="243"/>
      <c r="F84" s="243"/>
      <c r="G84" s="243"/>
      <c r="H84" s="243"/>
      <c r="I84" s="5"/>
      <c r="J84" s="5"/>
      <c r="K84" s="5"/>
      <c r="L84" s="5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</row>
    <row r="85" spans="3:26" s="190" customFormat="1" ht="18" customHeight="1">
      <c r="C85" s="242">
        <f>+C84</f>
        <v>3</v>
      </c>
      <c r="D85" s="268"/>
      <c r="E85" s="243"/>
      <c r="F85" s="243"/>
      <c r="G85" s="243"/>
      <c r="H85" s="243"/>
      <c r="I85" s="5"/>
      <c r="J85" s="5"/>
      <c r="K85" s="5"/>
      <c r="L85" s="5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212"/>
    </row>
    <row r="86" spans="3:26" s="190" customFormat="1" ht="18" customHeight="1">
      <c r="C86" s="242">
        <f>+C85</f>
        <v>3</v>
      </c>
      <c r="D86" s="268"/>
      <c r="E86" s="243"/>
      <c r="F86" s="243"/>
      <c r="G86" s="243"/>
      <c r="H86" s="243"/>
      <c r="I86" s="5"/>
      <c r="J86" s="5"/>
      <c r="K86" s="5"/>
      <c r="L86" s="5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12"/>
    </row>
    <row r="87" spans="3:26" s="190" customFormat="1" ht="18" customHeight="1">
      <c r="C87" s="242">
        <f>+C86</f>
        <v>3</v>
      </c>
      <c r="D87" s="268">
        <f>+'3.0'!J34</f>
        <v>731200</v>
      </c>
      <c r="E87" s="243" t="str">
        <f>+'3.0'!K34</f>
        <v>이자비용(차입금)</v>
      </c>
      <c r="F87" s="243">
        <v>0</v>
      </c>
      <c r="G87" s="243">
        <v>3984249</v>
      </c>
      <c r="H87" s="243" t="str">
        <f>+'3.0'!N34</f>
        <v>LIFE DESIGN COMPANY Inc.</v>
      </c>
      <c r="I87" s="5"/>
      <c r="J87" s="5"/>
      <c r="K87" s="5"/>
      <c r="L87" s="5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212"/>
    </row>
    <row r="88" spans="3:26" s="190" customFormat="1" ht="18" customHeight="1">
      <c r="C88" s="242">
        <f>+C87</f>
        <v>3</v>
      </c>
      <c r="D88" s="268">
        <f>+'3.0'!J33</f>
        <v>711191</v>
      </c>
      <c r="E88" s="243" t="str">
        <f>+'3.0'!K33</f>
        <v>이자수익(기타)</v>
      </c>
      <c r="F88" s="243">
        <v>3984249</v>
      </c>
      <c r="G88" s="243">
        <v>0</v>
      </c>
      <c r="H88" s="243" t="str">
        <f>+'3.0'!N33</f>
        <v>드림어스컴퍼니</v>
      </c>
      <c r="I88" s="5"/>
      <c r="J88" s="5"/>
      <c r="K88" s="5"/>
      <c r="L88" s="5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12"/>
    </row>
    <row r="89" spans="3:26" s="190" customFormat="1" ht="18" customHeight="1">
      <c r="C89" s="242"/>
      <c r="D89" s="268"/>
      <c r="E89" s="243"/>
      <c r="F89" s="243"/>
      <c r="G89" s="243"/>
      <c r="H89" s="243"/>
      <c r="I89" s="5"/>
      <c r="J89" s="5"/>
      <c r="K89" s="5"/>
      <c r="L89" s="5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212"/>
    </row>
    <row r="90" spans="3:26" s="190" customFormat="1" ht="18" customHeight="1">
      <c r="C90" s="266">
        <v>4</v>
      </c>
      <c r="D90" s="267" t="str">
        <f>+'4.0'!D38</f>
        <v>아이리버 &gt; iriver inc 하향판매</v>
      </c>
      <c r="E90" s="241"/>
      <c r="F90" s="241"/>
      <c r="G90" s="241"/>
      <c r="H90" s="241"/>
      <c r="I90" s="5"/>
      <c r="J90" s="5"/>
      <c r="K90" s="5"/>
      <c r="L90" s="5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12"/>
    </row>
    <row r="91" spans="3:26" s="190" customFormat="1" ht="18" customHeight="1">
      <c r="C91" s="242">
        <f>+C90</f>
        <v>4</v>
      </c>
      <c r="D91" s="268" t="str">
        <f>+'4.0'!D46</f>
        <v>115200</v>
      </c>
      <c r="E91" s="268" t="str">
        <f>+'4.0'!E46</f>
        <v>제품</v>
      </c>
      <c r="F91" s="243">
        <v>0</v>
      </c>
      <c r="G91" s="243">
        <v>0</v>
      </c>
      <c r="H91" s="243"/>
      <c r="I91" s="5">
        <f>+$F91-$G91</f>
        <v>0</v>
      </c>
      <c r="J91" s="5"/>
      <c r="K91" s="5"/>
      <c r="L91" s="5"/>
      <c r="M91" s="190" t="s">
        <v>1813</v>
      </c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212"/>
    </row>
    <row r="92" spans="3:26" s="190" customFormat="1" ht="18" customHeight="1">
      <c r="C92" s="242">
        <f>+C91</f>
        <v>4</v>
      </c>
      <c r="D92" s="268" t="str">
        <f>+'4.0'!D47</f>
        <v>420199</v>
      </c>
      <c r="E92" s="268" t="str">
        <f>+'4.0'!E47</f>
        <v>제품매출원가</v>
      </c>
      <c r="F92" s="243">
        <v>0</v>
      </c>
      <c r="G92" s="243">
        <v>0</v>
      </c>
      <c r="H92" s="243"/>
      <c r="I92" s="5"/>
      <c r="J92" s="5"/>
      <c r="K92" s="5"/>
      <c r="L92" s="5">
        <f>+$G92-$F92</f>
        <v>0</v>
      </c>
      <c r="M92" s="190" t="s">
        <v>1813</v>
      </c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212"/>
    </row>
    <row r="93" spans="3:26" s="190" customFormat="1" ht="18" customHeight="1">
      <c r="C93" s="242">
        <f>+C92</f>
        <v>4</v>
      </c>
      <c r="D93" s="268" t="str">
        <f>+'4.0'!D48</f>
        <v>340100</v>
      </c>
      <c r="E93" s="268" t="str">
        <f>+'4.0'!E48</f>
        <v>이월이익잉여금</v>
      </c>
      <c r="F93" s="243">
        <v>0</v>
      </c>
      <c r="G93" s="243">
        <v>0</v>
      </c>
      <c r="H93" s="243"/>
      <c r="I93" s="5"/>
      <c r="J93" s="5"/>
      <c r="K93" s="5">
        <f>+$G93-$F93</f>
        <v>0</v>
      </c>
      <c r="L93" s="5"/>
      <c r="M93" s="190" t="s">
        <v>1813</v>
      </c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212"/>
    </row>
    <row r="94" spans="3:26" s="190" customFormat="1" ht="18" customHeight="1">
      <c r="C94" s="242">
        <f>+C93</f>
        <v>4</v>
      </c>
      <c r="D94" s="268" t="str">
        <f>+'4.0'!D49</f>
        <v>420199</v>
      </c>
      <c r="E94" s="268" t="str">
        <f>+'4.0'!E49</f>
        <v>제품매출원가</v>
      </c>
      <c r="F94" s="243">
        <v>0</v>
      </c>
      <c r="G94" s="243">
        <v>0</v>
      </c>
      <c r="H94" s="243"/>
      <c r="I94" s="5"/>
      <c r="J94" s="5"/>
      <c r="K94" s="5"/>
      <c r="L94" s="5">
        <f>+$G94-$F94</f>
        <v>0</v>
      </c>
      <c r="M94" s="190" t="s">
        <v>1813</v>
      </c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212"/>
    </row>
    <row r="95" spans="3:26" s="190" customFormat="1" ht="18" customHeight="1">
      <c r="C95" s="242"/>
      <c r="D95" s="268"/>
      <c r="E95" s="268"/>
      <c r="F95" s="243"/>
      <c r="G95" s="243"/>
      <c r="H95" s="243"/>
      <c r="I95" s="5"/>
      <c r="J95" s="5"/>
      <c r="K95" s="5"/>
      <c r="L95" s="5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212"/>
    </row>
    <row r="96" spans="3:26" s="190" customFormat="1" ht="18" customHeight="1">
      <c r="C96" s="266">
        <v>4</v>
      </c>
      <c r="D96" s="267" t="str">
        <f>+'4.0'!D52</f>
        <v>아이리버 &gt; ent. 하향판매</v>
      </c>
      <c r="E96" s="241"/>
      <c r="F96" s="241"/>
      <c r="G96" s="241"/>
      <c r="H96" s="241"/>
      <c r="I96" s="5"/>
      <c r="J96" s="5"/>
      <c r="K96" s="5"/>
      <c r="L96" s="5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12"/>
    </row>
    <row r="97" spans="3:26" s="190" customFormat="1" ht="18" customHeight="1">
      <c r="C97" s="242">
        <f>+C96</f>
        <v>4</v>
      </c>
      <c r="D97" s="268" t="str">
        <f>+'4.0'!D66</f>
        <v>115200</v>
      </c>
      <c r="E97" s="268" t="str">
        <f>+'4.0'!E66</f>
        <v>제품</v>
      </c>
      <c r="F97" s="243">
        <v>0</v>
      </c>
      <c r="G97" s="243">
        <v>0</v>
      </c>
      <c r="H97" s="243"/>
      <c r="I97" s="5">
        <f>+$F97-$G97</f>
        <v>0</v>
      </c>
      <c r="J97" s="5"/>
      <c r="K97" s="5"/>
      <c r="L97" s="5"/>
      <c r="M97" s="190" t="s">
        <v>1813</v>
      </c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212"/>
    </row>
    <row r="98" spans="3:26" s="190" customFormat="1" ht="18" customHeight="1">
      <c r="C98" s="242">
        <f>+C97</f>
        <v>4</v>
      </c>
      <c r="D98" s="268" t="str">
        <f>+'4.0'!D67</f>
        <v>420199</v>
      </c>
      <c r="E98" s="268" t="str">
        <f>+'4.0'!E67</f>
        <v>제품매출원가</v>
      </c>
      <c r="F98" s="243">
        <v>0</v>
      </c>
      <c r="G98" s="243">
        <v>0</v>
      </c>
      <c r="H98" s="243"/>
      <c r="I98" s="5"/>
      <c r="J98" s="5"/>
      <c r="K98" s="5"/>
      <c r="L98" s="5">
        <f>+$G98-$F98</f>
        <v>0</v>
      </c>
      <c r="M98" s="190" t="s">
        <v>1813</v>
      </c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12"/>
    </row>
    <row r="99" spans="3:26" s="190" customFormat="1" ht="18" customHeight="1">
      <c r="C99" s="242">
        <f>+C98</f>
        <v>4</v>
      </c>
      <c r="D99" s="268" t="str">
        <f>+'4.0'!D68</f>
        <v>340100</v>
      </c>
      <c r="E99" s="268" t="str">
        <f>+'4.0'!E68</f>
        <v>이월이익잉여금</v>
      </c>
      <c r="F99" s="243">
        <v>0</v>
      </c>
      <c r="G99" s="243">
        <v>0</v>
      </c>
      <c r="H99" s="243"/>
      <c r="I99" s="5"/>
      <c r="J99" s="5"/>
      <c r="K99" s="5">
        <f>+$G99-$F99</f>
        <v>0</v>
      </c>
      <c r="L99" s="5"/>
      <c r="M99" s="190" t="s">
        <v>1813</v>
      </c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212"/>
    </row>
    <row r="100" spans="3:26" s="190" customFormat="1" ht="18" customHeight="1">
      <c r="C100" s="242">
        <f>+C99</f>
        <v>4</v>
      </c>
      <c r="D100" s="268" t="str">
        <f>+'4.0'!D69</f>
        <v>420199</v>
      </c>
      <c r="E100" s="268" t="str">
        <f>+'4.0'!E69</f>
        <v>제품매출원가</v>
      </c>
      <c r="F100" s="243">
        <v>0</v>
      </c>
      <c r="G100" s="243">
        <v>0</v>
      </c>
      <c r="H100" s="243"/>
      <c r="I100" s="5"/>
      <c r="J100" s="5"/>
      <c r="K100" s="5"/>
      <c r="L100" s="5">
        <f>+$G100-$F100</f>
        <v>0</v>
      </c>
      <c r="M100" s="190" t="s">
        <v>1813</v>
      </c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12"/>
    </row>
    <row r="101" spans="3:26" s="190" customFormat="1" ht="18" customHeight="1">
      <c r="C101" s="242"/>
      <c r="D101" s="268"/>
      <c r="E101" s="243"/>
      <c r="F101" s="243"/>
      <c r="G101" s="243"/>
      <c r="H101" s="243"/>
      <c r="I101" s="5"/>
      <c r="J101" s="5"/>
      <c r="K101" s="5"/>
      <c r="L101" s="5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212"/>
    </row>
    <row r="102" spans="3:26" s="190" customFormat="1" ht="18" customHeight="1">
      <c r="C102" s="266">
        <v>4</v>
      </c>
      <c r="D102" s="267" t="str">
        <f>+'4.0'!D6</f>
        <v>아이리버 &gt; LDC 하향판매</v>
      </c>
      <c r="E102" s="241"/>
      <c r="F102" s="241"/>
      <c r="G102" s="241"/>
      <c r="H102" s="241"/>
      <c r="I102" s="5"/>
      <c r="J102" s="5"/>
      <c r="K102" s="5"/>
      <c r="L102" s="5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12"/>
    </row>
    <row r="103" spans="3:26" s="190" customFormat="1" ht="18" customHeight="1">
      <c r="C103" s="242">
        <f>+C102</f>
        <v>4</v>
      </c>
      <c r="D103" s="268" t="str">
        <f>+'4.0'!D19</f>
        <v>115200</v>
      </c>
      <c r="E103" s="268" t="str">
        <f>+'4.0'!E19</f>
        <v>제품</v>
      </c>
      <c r="F103" s="243">
        <v>0</v>
      </c>
      <c r="G103" s="243">
        <v>3658730</v>
      </c>
      <c r="H103" s="243"/>
      <c r="I103" s="5">
        <f>+$F103-$G103</f>
        <v>-3658730</v>
      </c>
      <c r="J103" s="5"/>
      <c r="K103" s="5"/>
      <c r="L103" s="5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212"/>
    </row>
    <row r="104" spans="3:26" s="190" customFormat="1" ht="18" customHeight="1">
      <c r="C104" s="242">
        <f>+C103</f>
        <v>4</v>
      </c>
      <c r="D104" s="268" t="str">
        <f>+'4.0'!D18</f>
        <v>420199</v>
      </c>
      <c r="E104" s="268" t="str">
        <f>+'4.0'!E18</f>
        <v>제품매출원가</v>
      </c>
      <c r="F104" s="243">
        <v>3658730</v>
      </c>
      <c r="G104" s="243">
        <v>0</v>
      </c>
      <c r="H104" s="243"/>
      <c r="I104" s="5"/>
      <c r="J104" s="5"/>
      <c r="K104" s="5"/>
      <c r="L104" s="5">
        <f>+$G104-$F104</f>
        <v>-3658730</v>
      </c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12"/>
    </row>
    <row r="105" spans="3:26" s="190" customFormat="1" ht="18" customHeight="1">
      <c r="C105" s="242">
        <f>+C104</f>
        <v>4</v>
      </c>
      <c r="D105" s="268" t="str">
        <f>+'4.0'!D22</f>
        <v>340100</v>
      </c>
      <c r="E105" s="268" t="str">
        <f>+'4.0'!E22</f>
        <v>이월이익잉여금</v>
      </c>
      <c r="F105" s="243">
        <v>0</v>
      </c>
      <c r="G105" s="243">
        <v>0</v>
      </c>
      <c r="H105" s="243"/>
      <c r="I105" s="5"/>
      <c r="J105" s="5"/>
      <c r="K105" s="5">
        <f>+$G105-$F105</f>
        <v>0</v>
      </c>
      <c r="L105" s="5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212"/>
    </row>
    <row r="106" spans="3:26" s="190" customFormat="1" ht="18" customHeight="1">
      <c r="C106" s="242">
        <f>+C105</f>
        <v>4</v>
      </c>
      <c r="D106" s="268" t="str">
        <f>+'4.0'!D23</f>
        <v>420199</v>
      </c>
      <c r="E106" s="268" t="str">
        <f>+'4.0'!E23</f>
        <v>제품매출원가</v>
      </c>
      <c r="F106" s="243">
        <v>0</v>
      </c>
      <c r="G106" s="243">
        <v>0</v>
      </c>
      <c r="H106" s="243"/>
      <c r="I106" s="5"/>
      <c r="J106" s="5"/>
      <c r="K106" s="5"/>
      <c r="L106" s="5">
        <f>+$G106-$F106</f>
        <v>0</v>
      </c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12"/>
    </row>
    <row r="107" spans="3:26" s="190" customFormat="1" ht="18" customHeight="1">
      <c r="C107" s="242"/>
      <c r="D107" s="268"/>
      <c r="E107" s="243"/>
      <c r="F107" s="243"/>
      <c r="G107" s="243"/>
      <c r="H107" s="243"/>
      <c r="I107" s="5"/>
      <c r="J107" s="5"/>
      <c r="K107" s="5"/>
      <c r="L107" s="5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212"/>
    </row>
    <row r="108" spans="3:26" s="190" customFormat="1" ht="18" customHeight="1">
      <c r="C108" s="266">
        <v>4</v>
      </c>
      <c r="D108" s="267" t="str">
        <f>+'4.0'!D83</f>
        <v>그루버스_미실현손익 실현</v>
      </c>
      <c r="E108" s="241"/>
      <c r="F108" s="241"/>
      <c r="G108" s="241"/>
      <c r="H108" s="241"/>
      <c r="I108" s="5"/>
      <c r="J108" s="5"/>
      <c r="K108" s="5"/>
      <c r="L108" s="5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12"/>
    </row>
    <row r="109" spans="3:26" s="190" customFormat="1" ht="18" customHeight="1">
      <c r="C109" s="242">
        <f>+C108</f>
        <v>4</v>
      </c>
      <c r="D109" s="268" t="str">
        <f>+'4.0'!D84</f>
        <v>640000</v>
      </c>
      <c r="E109" s="268" t="str">
        <f>+'4.0'!E84</f>
        <v>지급수수료</v>
      </c>
      <c r="F109" s="243">
        <v>0</v>
      </c>
      <c r="G109" s="243">
        <v>0</v>
      </c>
      <c r="H109" s="243"/>
      <c r="I109" s="5"/>
      <c r="J109" s="5"/>
      <c r="K109" s="5"/>
      <c r="L109" s="5">
        <f>+$G109-$F109</f>
        <v>0</v>
      </c>
      <c r="M109" s="190" t="s">
        <v>1813</v>
      </c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212"/>
    </row>
    <row r="110" spans="3:26" s="190" customFormat="1" ht="18" customHeight="1">
      <c r="C110" s="242">
        <f>+C109</f>
        <v>4</v>
      </c>
      <c r="D110" s="268" t="str">
        <f>+'4.0'!D85</f>
        <v>340100</v>
      </c>
      <c r="E110" s="268" t="str">
        <f>+'4.0'!E85</f>
        <v>이월이익잉여금</v>
      </c>
      <c r="F110" s="243">
        <v>0</v>
      </c>
      <c r="G110" s="243">
        <v>0</v>
      </c>
      <c r="H110" s="243"/>
      <c r="I110" s="5"/>
      <c r="J110" s="5"/>
      <c r="K110" s="5">
        <f>+$G110-$F110</f>
        <v>0</v>
      </c>
      <c r="L110" s="5"/>
      <c r="M110" s="190" t="s">
        <v>1813</v>
      </c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212"/>
    </row>
    <row r="111" spans="3:26" s="190" customFormat="1" ht="18" customHeight="1">
      <c r="C111" s="242"/>
      <c r="D111" s="268"/>
      <c r="E111" s="243"/>
      <c r="F111" s="243"/>
      <c r="G111" s="243"/>
      <c r="H111" s="243"/>
      <c r="I111" s="5"/>
      <c r="J111" s="5"/>
      <c r="K111" s="5"/>
      <c r="L111" s="5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212"/>
    </row>
    <row r="112" spans="3:26" s="190" customFormat="1" ht="18" customHeight="1">
      <c r="C112" s="266">
        <v>6</v>
      </c>
      <c r="D112" s="267" t="str">
        <f>+'6.0'!$D6</f>
        <v>ENT,  INC., groovers jp 매출재분류 (연결관점에서는 Inc.의 매출이 제품매출)</v>
      </c>
      <c r="E112" s="241"/>
      <c r="F112" s="241"/>
      <c r="G112" s="241"/>
      <c r="H112" s="241"/>
      <c r="I112" s="5"/>
      <c r="J112" s="5"/>
      <c r="K112" s="5"/>
      <c r="L112" s="5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212"/>
    </row>
    <row r="113" spans="3:26" s="190" customFormat="1" ht="18" customHeight="1">
      <c r="C113" s="242">
        <v>6</v>
      </c>
      <c r="D113" s="268">
        <f>+'6.0'!$D7</f>
        <v>410100</v>
      </c>
      <c r="E113" s="243" t="str">
        <f>+'6.0'!$E7</f>
        <v>상품매출</v>
      </c>
      <c r="F113" s="243">
        <v>0</v>
      </c>
      <c r="G113" s="243">
        <v>0</v>
      </c>
      <c r="H113" s="243"/>
      <c r="I113" s="5"/>
      <c r="J113" s="5"/>
      <c r="K113" s="5"/>
      <c r="L113" s="5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212"/>
    </row>
    <row r="114" spans="3:26" s="190" customFormat="1" ht="18" customHeight="1">
      <c r="C114" s="242">
        <v>6</v>
      </c>
      <c r="D114" s="268">
        <f>+'6.0'!$D8</f>
        <v>410200</v>
      </c>
      <c r="E114" s="243" t="str">
        <f>+'6.0'!$E8</f>
        <v>제품매출</v>
      </c>
      <c r="F114" s="243">
        <v>0</v>
      </c>
      <c r="G114" s="243">
        <v>0</v>
      </c>
      <c r="H114" s="243"/>
      <c r="I114" s="5"/>
      <c r="J114" s="5"/>
      <c r="K114" s="5"/>
      <c r="L114" s="5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12"/>
    </row>
    <row r="115" spans="3:26" s="190" customFormat="1" ht="18" customHeight="1">
      <c r="C115" s="244">
        <v>6</v>
      </c>
      <c r="D115" s="268" t="str">
        <f>+'6.0'!$D9</f>
        <v>420090</v>
      </c>
      <c r="E115" s="243" t="str">
        <f>+'6.0'!$E9</f>
        <v>상품매출원가</v>
      </c>
      <c r="F115" s="243">
        <v>0</v>
      </c>
      <c r="G115" s="243">
        <v>0</v>
      </c>
      <c r="H115" s="243"/>
      <c r="I115" s="5"/>
      <c r="J115" s="5"/>
      <c r="K115" s="5"/>
      <c r="L115" s="5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212"/>
    </row>
    <row r="116" spans="3:26" s="190" customFormat="1" ht="18" customHeight="1">
      <c r="C116" s="245">
        <v>6</v>
      </c>
      <c r="D116" s="272" t="str">
        <f>+'6.0'!$D10</f>
        <v>420199</v>
      </c>
      <c r="E116" s="268" t="str">
        <f>+'6.0'!$E10</f>
        <v>제품매출원가</v>
      </c>
      <c r="F116" s="243">
        <v>0</v>
      </c>
      <c r="G116" s="243">
        <v>0</v>
      </c>
      <c r="H116" s="243"/>
      <c r="I116" s="5"/>
      <c r="J116" s="5"/>
      <c r="K116" s="5"/>
      <c r="L116" s="5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12"/>
    </row>
    <row r="117" spans="3:26" ht="18" customHeight="1">
      <c r="C117" s="266">
        <v>6</v>
      </c>
      <c r="D117" s="267" t="str">
        <f>+'6.0'!$D13</f>
        <v>기타조정</v>
      </c>
      <c r="E117" s="241"/>
      <c r="F117" s="241"/>
      <c r="G117" s="241"/>
      <c r="H117" s="241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212"/>
    </row>
    <row r="118" spans="3:26" s="190" customFormat="1" ht="18" customHeight="1">
      <c r="C118" s="242">
        <v>6</v>
      </c>
      <c r="D118" s="268" t="str">
        <f>+'6.0'!$D14</f>
        <v>643000</v>
      </c>
      <c r="E118" s="243" t="str">
        <f>+'6.0'!$E14</f>
        <v>대손상각비</v>
      </c>
      <c r="F118" s="243">
        <v>0</v>
      </c>
      <c r="G118" s="243">
        <v>0</v>
      </c>
      <c r="H118" s="243"/>
      <c r="I118" s="5"/>
      <c r="J118" s="5"/>
      <c r="K118" s="5"/>
      <c r="L118" s="5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12"/>
    </row>
    <row r="119" spans="3:26" s="190" customFormat="1" ht="18" customHeight="1">
      <c r="C119" s="242">
        <v>6</v>
      </c>
      <c r="D119" s="268" t="str">
        <f>+'6.0'!$D15</f>
        <v>640000</v>
      </c>
      <c r="E119" s="268" t="str">
        <f>+'6.0'!$E15</f>
        <v>지급수수료</v>
      </c>
      <c r="F119" s="243">
        <v>0</v>
      </c>
      <c r="G119" s="243">
        <v>0</v>
      </c>
      <c r="H119" s="243"/>
      <c r="I119" s="5"/>
      <c r="J119" s="5"/>
      <c r="K119" s="5"/>
      <c r="L119" s="5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212"/>
    </row>
    <row r="120" spans="3:26" s="190" customFormat="1" ht="18" customHeight="1">
      <c r="C120" s="266">
        <v>6</v>
      </c>
      <c r="D120" s="267" t="s">
        <v>1797</v>
      </c>
      <c r="E120" s="241"/>
      <c r="F120" s="241"/>
      <c r="G120" s="241"/>
      <c r="H120" s="241"/>
      <c r="I120" s="5"/>
      <c r="J120" s="5"/>
      <c r="K120" s="5"/>
      <c r="L120" s="5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12"/>
    </row>
    <row r="121" spans="3:26" s="190" customFormat="1" ht="18" customHeight="1">
      <c r="C121" s="246">
        <v>6</v>
      </c>
      <c r="D121" s="268" t="str">
        <f>+'6.0'!$D17</f>
        <v>111731</v>
      </c>
      <c r="E121" s="243" t="str">
        <f>+'6.0'!$E17</f>
        <v>외상매출금(외화)</v>
      </c>
      <c r="F121" s="243">
        <v>0</v>
      </c>
      <c r="G121" s="243">
        <v>327031541</v>
      </c>
      <c r="H121" s="243"/>
      <c r="I121" s="5"/>
      <c r="J121" s="5"/>
      <c r="K121" s="5"/>
      <c r="L121" s="5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212"/>
    </row>
    <row r="122" spans="3:26" s="190" customFormat="1" ht="18" customHeight="1">
      <c r="C122" s="246">
        <v>6</v>
      </c>
      <c r="D122" s="268" t="str">
        <f>+'6.0'!$D18</f>
        <v>112113</v>
      </c>
      <c r="E122" s="243" t="str">
        <f>+'6.0'!$E18</f>
        <v>미수금(외화_일반)</v>
      </c>
      <c r="F122" s="243">
        <v>327031541</v>
      </c>
      <c r="G122" s="243">
        <v>0</v>
      </c>
      <c r="H122" s="243"/>
      <c r="I122" s="5"/>
      <c r="J122" s="5"/>
      <c r="K122" s="5"/>
      <c r="L122" s="5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12"/>
    </row>
    <row r="123" spans="3:26" s="190" customFormat="1" ht="18" customHeight="1">
      <c r="C123" s="246">
        <v>6</v>
      </c>
      <c r="D123" s="268" t="str">
        <f>+'6.0'!$D19</f>
        <v>121800</v>
      </c>
      <c r="E123" s="243" t="str">
        <f>+'6.0'!$E19</f>
        <v>외상매출금(외화_비유동)</v>
      </c>
      <c r="F123" s="243">
        <v>0</v>
      </c>
      <c r="G123" s="243">
        <v>300136621</v>
      </c>
      <c r="H123" s="243"/>
      <c r="I123" s="5"/>
      <c r="J123" s="5"/>
      <c r="K123" s="5"/>
      <c r="L123" s="5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212"/>
    </row>
    <row r="124" spans="3:26" s="190" customFormat="1" ht="18" customHeight="1">
      <c r="C124" s="242">
        <v>6</v>
      </c>
      <c r="D124" s="268" t="str">
        <f>+'6.0'!$D20</f>
        <v>121805**</v>
      </c>
      <c r="E124" s="243" t="str">
        <f>+'6.0'!$E20</f>
        <v>장기미수금</v>
      </c>
      <c r="F124" s="243">
        <v>300136621</v>
      </c>
      <c r="G124" s="243">
        <v>0</v>
      </c>
      <c r="H124" s="243"/>
      <c r="I124" s="5"/>
      <c r="J124" s="5"/>
      <c r="K124" s="5"/>
      <c r="L124" s="5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12"/>
    </row>
    <row r="125" spans="3:26" s="190" customFormat="1" ht="18" customHeight="1">
      <c r="C125" s="242"/>
      <c r="D125" s="268"/>
      <c r="E125" s="243"/>
      <c r="F125" s="243"/>
      <c r="G125" s="243"/>
      <c r="H125" s="243"/>
      <c r="I125" s="5"/>
      <c r="J125" s="5"/>
      <c r="K125" s="5"/>
      <c r="L125" s="5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212"/>
    </row>
    <row r="126" spans="3:26" s="190" customFormat="1" ht="18" customHeight="1">
      <c r="C126" s="266" t="s">
        <v>1818</v>
      </c>
      <c r="D126" s="267" t="s">
        <v>1801</v>
      </c>
      <c r="E126" s="241"/>
      <c r="F126" s="241"/>
      <c r="G126" s="241"/>
      <c r="H126" s="241"/>
      <c r="I126" s="5"/>
      <c r="J126" s="5"/>
      <c r="K126" s="5"/>
      <c r="L126" s="5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12"/>
    </row>
    <row r="127" spans="3:26" ht="18" customHeight="1">
      <c r="C127" s="239" t="s">
        <v>1817</v>
      </c>
      <c r="D127" s="273">
        <v>310100</v>
      </c>
      <c r="E127" s="34" t="s">
        <v>10</v>
      </c>
      <c r="F127" s="34">
        <v>37013277500</v>
      </c>
      <c r="G127" s="34"/>
      <c r="H127" s="34"/>
      <c r="K127" s="269">
        <f>+$G127-$F127</f>
        <v>-37013277500</v>
      </c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212"/>
    </row>
    <row r="128" spans="3:26" ht="18" customHeight="1">
      <c r="C128" s="239" t="s">
        <v>1817</v>
      </c>
      <c r="D128" s="273">
        <v>900019</v>
      </c>
      <c r="E128" s="34" t="s">
        <v>81</v>
      </c>
      <c r="F128" s="34"/>
      <c r="G128" s="34">
        <v>2042283617</v>
      </c>
      <c r="H128" s="34"/>
      <c r="I128" s="269">
        <f>+$F128-$G128</f>
        <v>-2042283617</v>
      </c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212"/>
    </row>
    <row r="129" spans="3:26" ht="18" customHeight="1">
      <c r="C129" s="239" t="s">
        <v>1817</v>
      </c>
      <c r="D129" s="273" t="s">
        <v>378</v>
      </c>
      <c r="E129" s="274" t="s">
        <v>377</v>
      </c>
      <c r="F129" s="34">
        <v>-1401597960</v>
      </c>
      <c r="G129" s="34"/>
      <c r="H129" s="34"/>
      <c r="L129" s="269">
        <f>+$G129-$F129</f>
        <v>1401597960</v>
      </c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212"/>
    </row>
    <row r="130" spans="3:26" ht="18" customHeight="1">
      <c r="C130" s="239" t="s">
        <v>1817</v>
      </c>
      <c r="D130" s="273" t="s">
        <v>1354</v>
      </c>
      <c r="E130" s="34" t="s">
        <v>207</v>
      </c>
      <c r="F130" s="34"/>
      <c r="G130" s="34">
        <v>33569395923</v>
      </c>
      <c r="H130" s="34"/>
      <c r="K130" s="5">
        <f>+$G130-$F130</f>
        <v>33569395923</v>
      </c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</row>
    <row r="131" spans="3:26" ht="18" customHeight="1">
      <c r="C131" s="239" t="s">
        <v>1817</v>
      </c>
      <c r="D131" s="273"/>
      <c r="E131" s="34"/>
      <c r="F131" s="34"/>
      <c r="G131" s="34"/>
      <c r="H131" s="34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</row>
    <row r="132" spans="3:26" ht="18" customHeight="1">
      <c r="C132" s="266" t="s">
        <v>1817</v>
      </c>
      <c r="D132" s="267" t="s">
        <v>1802</v>
      </c>
      <c r="E132" s="241"/>
      <c r="F132" s="241"/>
      <c r="G132" s="241"/>
      <c r="H132" s="241"/>
    </row>
    <row r="133" spans="3:26" ht="18" customHeight="1">
      <c r="C133" s="239" t="s">
        <v>1817</v>
      </c>
      <c r="D133" s="273">
        <v>310100</v>
      </c>
      <c r="E133" s="34" t="s">
        <v>10</v>
      </c>
      <c r="F133" s="34">
        <v>511470000</v>
      </c>
      <c r="G133" s="34"/>
      <c r="H133" s="34" t="s">
        <v>1804</v>
      </c>
      <c r="K133" s="269">
        <f>+$G133-$F133</f>
        <v>-511470000</v>
      </c>
    </row>
    <row r="134" spans="3:26" ht="18" customHeight="1">
      <c r="C134" s="239" t="s">
        <v>1817</v>
      </c>
      <c r="D134" s="273">
        <v>900019</v>
      </c>
      <c r="E134" s="34" t="s">
        <v>81</v>
      </c>
      <c r="F134" s="34"/>
      <c r="G134" s="34">
        <v>29999999995</v>
      </c>
      <c r="H134" s="34"/>
      <c r="I134" s="269">
        <f>+$F134-$G134</f>
        <v>-29999999995</v>
      </c>
    </row>
    <row r="135" spans="3:26" ht="18" customHeight="1">
      <c r="C135" s="239" t="s">
        <v>1817</v>
      </c>
      <c r="D135" s="273" t="s">
        <v>128</v>
      </c>
      <c r="E135" s="34" t="s">
        <v>1803</v>
      </c>
      <c r="F135" s="34">
        <v>21748156278</v>
      </c>
      <c r="G135" s="34"/>
      <c r="H135" s="34"/>
      <c r="I135" s="269">
        <f>+$F135-$G135</f>
        <v>21748156278</v>
      </c>
    </row>
    <row r="136" spans="3:26" ht="18" customHeight="1">
      <c r="C136" s="239" t="s">
        <v>1817</v>
      </c>
      <c r="D136" s="273" t="s">
        <v>1354</v>
      </c>
      <c r="E136" s="34" t="s">
        <v>207</v>
      </c>
      <c r="F136" s="34">
        <v>3387647121</v>
      </c>
      <c r="G136" s="34"/>
      <c r="H136" s="34"/>
      <c r="K136" s="5">
        <f>+$G136-$F136</f>
        <v>-3387647121</v>
      </c>
    </row>
    <row r="137" spans="3:26" ht="18" customHeight="1">
      <c r="C137" s="239" t="s">
        <v>1817</v>
      </c>
      <c r="D137" s="273" t="s">
        <v>486</v>
      </c>
      <c r="E137" s="34" t="s">
        <v>449</v>
      </c>
      <c r="F137" s="34">
        <v>6676985115</v>
      </c>
      <c r="G137" s="34"/>
      <c r="H137" s="34"/>
      <c r="I137" s="269">
        <f>+$F137-$G137</f>
        <v>6676985115</v>
      </c>
    </row>
    <row r="138" spans="3:26" ht="18" customHeight="1">
      <c r="C138" s="239" t="s">
        <v>1817</v>
      </c>
      <c r="D138" s="273" t="s">
        <v>1346</v>
      </c>
      <c r="E138" s="34" t="s">
        <v>452</v>
      </c>
      <c r="F138" s="34"/>
      <c r="G138" s="34">
        <v>2324258519</v>
      </c>
      <c r="H138" s="34"/>
      <c r="J138" s="269">
        <f>+$G138-$F138</f>
        <v>2324258519</v>
      </c>
    </row>
    <row r="139" spans="3:26" ht="18" customHeight="1">
      <c r="C139" s="239" t="s">
        <v>1817</v>
      </c>
      <c r="D139" s="273"/>
      <c r="E139" s="34"/>
      <c r="F139" s="34"/>
      <c r="G139" s="34"/>
      <c r="H139" s="34"/>
    </row>
    <row r="140" spans="3:26" ht="18" customHeight="1">
      <c r="C140" s="239" t="s">
        <v>1817</v>
      </c>
      <c r="D140" s="273" t="s">
        <v>486</v>
      </c>
      <c r="E140" s="34" t="s">
        <v>449</v>
      </c>
      <c r="F140" s="34"/>
      <c r="G140" s="34">
        <v>222566171</v>
      </c>
      <c r="H140" s="275" t="s">
        <v>1805</v>
      </c>
      <c r="I140" s="269">
        <f>+$F140-$G140</f>
        <v>-222566171</v>
      </c>
    </row>
    <row r="141" spans="3:26" ht="18" customHeight="1">
      <c r="C141" s="239" t="s">
        <v>1817</v>
      </c>
      <c r="D141" s="273" t="s">
        <v>1354</v>
      </c>
      <c r="E141" s="34" t="s">
        <v>207</v>
      </c>
      <c r="F141" s="34">
        <v>222566171</v>
      </c>
      <c r="G141" s="34"/>
      <c r="H141" s="34"/>
      <c r="K141" s="5">
        <f>+$G141-$F141</f>
        <v>-222566171</v>
      </c>
    </row>
    <row r="142" spans="3:26" ht="18" customHeight="1">
      <c r="C142" s="239" t="s">
        <v>1817</v>
      </c>
      <c r="D142" s="273" t="s">
        <v>1354</v>
      </c>
      <c r="E142" s="34" t="s">
        <v>207</v>
      </c>
      <c r="F142" s="34"/>
      <c r="G142" s="34">
        <v>77475284</v>
      </c>
      <c r="H142" s="34"/>
      <c r="K142" s="5">
        <f>+$G142-$F142</f>
        <v>77475284</v>
      </c>
    </row>
    <row r="143" spans="3:26" ht="18" customHeight="1">
      <c r="C143" s="239" t="s">
        <v>1817</v>
      </c>
      <c r="D143" s="273" t="s">
        <v>1346</v>
      </c>
      <c r="E143" s="34" t="s">
        <v>452</v>
      </c>
      <c r="F143" s="34">
        <v>77475284</v>
      </c>
      <c r="G143" s="34"/>
      <c r="H143" s="34"/>
      <c r="J143" s="269">
        <f>+$G143-$F143</f>
        <v>-77475284</v>
      </c>
    </row>
    <row r="144" spans="3:26" ht="18" customHeight="1">
      <c r="C144" s="239" t="s">
        <v>1817</v>
      </c>
      <c r="D144" s="273"/>
      <c r="E144" s="34"/>
      <c r="F144" s="34"/>
      <c r="G144" s="34"/>
      <c r="H144" s="34"/>
    </row>
    <row r="145" spans="3:13" ht="18" customHeight="1">
      <c r="C145" s="239" t="s">
        <v>1817</v>
      </c>
      <c r="D145" s="273" t="s">
        <v>486</v>
      </c>
      <c r="E145" s="34" t="s">
        <v>449</v>
      </c>
      <c r="F145" s="34"/>
      <c r="G145" s="34">
        <v>722910343</v>
      </c>
      <c r="H145" s="275" t="s">
        <v>1806</v>
      </c>
      <c r="I145" s="269">
        <f>+$F145-$G145</f>
        <v>-722910343</v>
      </c>
    </row>
    <row r="146" spans="3:13" ht="18" customHeight="1">
      <c r="C146" s="239" t="s">
        <v>1817</v>
      </c>
      <c r="D146" s="273" t="s">
        <v>1354</v>
      </c>
      <c r="E146" s="34" t="s">
        <v>207</v>
      </c>
      <c r="F146" s="34">
        <v>640750760</v>
      </c>
      <c r="G146" s="34"/>
      <c r="H146" s="34"/>
      <c r="K146" s="5">
        <f>+$G146-$F146</f>
        <v>-640750760</v>
      </c>
    </row>
    <row r="147" spans="3:13" ht="18" customHeight="1">
      <c r="C147" s="239" t="s">
        <v>1817</v>
      </c>
      <c r="D147" s="273" t="s">
        <v>1354</v>
      </c>
      <c r="E147" s="34" t="s">
        <v>207</v>
      </c>
      <c r="F147" s="34"/>
      <c r="G147" s="34">
        <v>223045329</v>
      </c>
      <c r="H147" s="34"/>
      <c r="K147" s="5">
        <f>+$G147-$F147</f>
        <v>223045329</v>
      </c>
    </row>
    <row r="148" spans="3:13" ht="18" customHeight="1">
      <c r="C148" s="239" t="s">
        <v>1817</v>
      </c>
      <c r="D148" s="273" t="s">
        <v>1346</v>
      </c>
      <c r="E148" s="34" t="s">
        <v>452</v>
      </c>
      <c r="F148" s="34">
        <v>251645076</v>
      </c>
      <c r="G148" s="34"/>
      <c r="H148" s="34"/>
      <c r="J148" s="269">
        <f>+$G148-$F148</f>
        <v>-251645076</v>
      </c>
    </row>
    <row r="149" spans="3:13" ht="18" customHeight="1">
      <c r="C149" s="239" t="s">
        <v>1817</v>
      </c>
      <c r="D149" s="273" t="s">
        <v>1352</v>
      </c>
      <c r="E149" s="34" t="s">
        <v>204</v>
      </c>
      <c r="F149" s="34">
        <v>53559836</v>
      </c>
      <c r="G149" s="34"/>
      <c r="H149" s="34"/>
      <c r="K149" s="5">
        <f>+$G149-$F149</f>
        <v>-53559836</v>
      </c>
    </row>
    <row r="150" spans="3:13" ht="18" customHeight="1">
      <c r="C150" s="239" t="s">
        <v>1817</v>
      </c>
      <c r="D150" s="273"/>
      <c r="E150" s="34"/>
      <c r="F150" s="34"/>
      <c r="G150" s="34"/>
      <c r="H150" s="34"/>
      <c r="M150" s="5">
        <f>SUM('5.1'!M27:Q27)</f>
        <v>395704704</v>
      </c>
    </row>
    <row r="151" spans="3:13" ht="18" customHeight="1">
      <c r="C151" s="239" t="s">
        <v>1817</v>
      </c>
      <c r="D151" s="273" t="s">
        <v>486</v>
      </c>
      <c r="E151" s="34" t="s">
        <v>449</v>
      </c>
      <c r="F151" s="34"/>
      <c r="G151" s="34">
        <v>409665440</v>
      </c>
      <c r="H151" s="275" t="s">
        <v>1806</v>
      </c>
      <c r="I151" s="269">
        <f>+$F151-$G151</f>
        <v>-409665440</v>
      </c>
    </row>
    <row r="152" spans="3:13" ht="18" customHeight="1">
      <c r="C152" s="239" t="s">
        <v>1817</v>
      </c>
      <c r="D152" s="273" t="s">
        <v>390</v>
      </c>
      <c r="E152" s="34" t="s">
        <v>450</v>
      </c>
      <c r="F152" s="34">
        <v>685224178</v>
      </c>
      <c r="G152" s="34"/>
      <c r="H152" s="34"/>
      <c r="L152" s="269">
        <f>+$G152-$F152</f>
        <v>-685224178</v>
      </c>
    </row>
    <row r="153" spans="3:13" ht="18" customHeight="1">
      <c r="C153" s="239" t="s">
        <v>1817</v>
      </c>
      <c r="D153" s="273" t="s">
        <v>381</v>
      </c>
      <c r="E153" s="34" t="s">
        <v>451</v>
      </c>
      <c r="F153" s="34"/>
      <c r="G153" s="34">
        <v>238526523</v>
      </c>
      <c r="H153" s="34"/>
      <c r="L153" s="269">
        <f>+$G153-$F153</f>
        <v>238526523</v>
      </c>
    </row>
    <row r="154" spans="3:13" ht="18" customHeight="1">
      <c r="C154" s="239" t="s">
        <v>1817</v>
      </c>
      <c r="D154" s="273" t="s">
        <v>1346</v>
      </c>
      <c r="E154" s="34" t="s">
        <v>452</v>
      </c>
      <c r="F154" s="34">
        <v>142604525</v>
      </c>
      <c r="G154" s="34"/>
      <c r="H154" s="34"/>
      <c r="J154" s="269">
        <f>+$G154-$F154</f>
        <v>-142604525</v>
      </c>
    </row>
    <row r="155" spans="3:13" ht="18" customHeight="1">
      <c r="C155" s="239" t="s">
        <v>1817</v>
      </c>
      <c r="D155" s="273" t="s">
        <v>1352</v>
      </c>
      <c r="E155" s="34" t="s">
        <v>204</v>
      </c>
      <c r="F155" s="34">
        <v>-179636740</v>
      </c>
      <c r="G155" s="34"/>
      <c r="H155" s="34"/>
      <c r="K155" s="5">
        <f>+$G155-$F155</f>
        <v>179636740</v>
      </c>
    </row>
    <row r="156" spans="3:13" ht="18" customHeight="1">
      <c r="C156" s="239" t="s">
        <v>1817</v>
      </c>
      <c r="D156" s="273"/>
      <c r="E156" s="34"/>
      <c r="F156" s="34"/>
      <c r="G156" s="34"/>
      <c r="H156" s="34"/>
      <c r="M156" s="5">
        <f>SUM('5.1'!R27:U27)</f>
        <v>-81295376</v>
      </c>
    </row>
    <row r="157" spans="3:13" ht="18" customHeight="1">
      <c r="C157" s="239" t="s">
        <v>1817</v>
      </c>
      <c r="D157" s="273" t="s">
        <v>128</v>
      </c>
      <c r="E157" s="34" t="s">
        <v>129</v>
      </c>
      <c r="F157" s="34"/>
      <c r="G157" s="34">
        <v>207501906</v>
      </c>
      <c r="H157" s="275" t="s">
        <v>1807</v>
      </c>
      <c r="I157" s="269">
        <f>+$F157-$G157</f>
        <v>-207501906</v>
      </c>
    </row>
    <row r="158" spans="3:13" ht="18" customHeight="1">
      <c r="C158" s="239" t="s">
        <v>1817</v>
      </c>
      <c r="D158" s="273" t="s">
        <v>1352</v>
      </c>
      <c r="E158" s="34" t="s">
        <v>204</v>
      </c>
      <c r="F158" s="34"/>
      <c r="G158" s="34">
        <v>-207501906</v>
      </c>
      <c r="H158" s="34"/>
      <c r="K158" s="5">
        <f>+$G158-$F158</f>
        <v>-207501906</v>
      </c>
    </row>
    <row r="159" spans="3:13" ht="18" customHeight="1">
      <c r="C159" s="239" t="s">
        <v>1817</v>
      </c>
      <c r="D159" s="273"/>
      <c r="E159" s="34"/>
      <c r="F159" s="34"/>
      <c r="G159" s="34"/>
      <c r="H159" s="34"/>
    </row>
    <row r="160" spans="3:13" ht="18" customHeight="1">
      <c r="C160" s="239" t="s">
        <v>1817</v>
      </c>
      <c r="D160" s="273" t="s">
        <v>128</v>
      </c>
      <c r="E160" s="34" t="s">
        <v>129</v>
      </c>
      <c r="F160" s="34"/>
      <c r="G160" s="34">
        <v>-1069187616</v>
      </c>
      <c r="H160" s="275" t="s">
        <v>1808</v>
      </c>
      <c r="I160" s="269">
        <f>+$F160-$G160</f>
        <v>1069187616</v>
      </c>
    </row>
    <row r="161" spans="3:12" ht="18" customHeight="1">
      <c r="C161" s="239" t="s">
        <v>1817</v>
      </c>
      <c r="D161" s="273" t="s">
        <v>1352</v>
      </c>
      <c r="E161" s="34" t="s">
        <v>204</v>
      </c>
      <c r="F161" s="34"/>
      <c r="G161" s="34">
        <f>-G160</f>
        <v>1069187616</v>
      </c>
      <c r="H161" s="34"/>
      <c r="K161" s="5">
        <f>+$G161-$F161</f>
        <v>1069187616</v>
      </c>
    </row>
    <row r="162" spans="3:12" ht="18" customHeight="1">
      <c r="C162" s="239" t="s">
        <v>1817</v>
      </c>
      <c r="D162" s="273"/>
      <c r="E162" s="34"/>
      <c r="F162" s="34"/>
      <c r="G162" s="34"/>
      <c r="H162" s="34"/>
    </row>
    <row r="163" spans="3:12" ht="18" customHeight="1">
      <c r="C163" s="239" t="s">
        <v>1817</v>
      </c>
      <c r="D163" s="273">
        <v>2508</v>
      </c>
      <c r="E163" s="34" t="s">
        <v>131</v>
      </c>
      <c r="F163" s="34"/>
      <c r="G163" s="34">
        <v>20593687255</v>
      </c>
      <c r="H163" s="275" t="s">
        <v>1809</v>
      </c>
      <c r="I163" s="269">
        <f>+$F163-$G163</f>
        <v>-20593687255</v>
      </c>
    </row>
    <row r="164" spans="3:12" ht="18" customHeight="1">
      <c r="C164" s="239" t="s">
        <v>1817</v>
      </c>
      <c r="D164" s="273" t="s">
        <v>362</v>
      </c>
      <c r="E164" s="34" t="s">
        <v>485</v>
      </c>
      <c r="F164" s="34">
        <v>20593687255</v>
      </c>
      <c r="G164" s="34"/>
      <c r="H164" s="34"/>
      <c r="L164" s="269">
        <f>+$G164-$F164</f>
        <v>-20593687255</v>
      </c>
    </row>
    <row r="165" spans="3:12" ht="18" customHeight="1">
      <c r="C165" s="239" t="s">
        <v>1817</v>
      </c>
      <c r="D165" s="273"/>
      <c r="E165" s="34"/>
      <c r="F165" s="34"/>
      <c r="G165" s="34"/>
      <c r="H165" s="34"/>
    </row>
    <row r="166" spans="3:12" ht="18" customHeight="1">
      <c r="C166" s="239" t="s">
        <v>1817</v>
      </c>
      <c r="D166" s="273">
        <v>900019</v>
      </c>
      <c r="E166" s="34" t="s">
        <v>81</v>
      </c>
      <c r="F166" s="34"/>
      <c r="G166" s="34">
        <v>-24071000000</v>
      </c>
      <c r="H166" s="275" t="s">
        <v>1810</v>
      </c>
      <c r="I166" s="269">
        <f>+$F166-$G166</f>
        <v>24071000000</v>
      </c>
    </row>
    <row r="167" spans="3:12" ht="18" customHeight="1">
      <c r="C167" s="239" t="s">
        <v>1817</v>
      </c>
      <c r="D167" s="273" t="s">
        <v>378</v>
      </c>
      <c r="E167" s="274" t="s">
        <v>377</v>
      </c>
      <c r="F167" s="34">
        <v>-24071000000</v>
      </c>
      <c r="G167" s="34"/>
      <c r="H167" s="34"/>
      <c r="L167" s="269">
        <f>+$G167-$F167</f>
        <v>24071000000</v>
      </c>
    </row>
    <row r="168" spans="3:12" ht="18" customHeight="1">
      <c r="C168" s="239" t="s">
        <v>1817</v>
      </c>
      <c r="D168" s="273"/>
      <c r="E168" s="34"/>
      <c r="F168" s="34"/>
      <c r="G168" s="34"/>
      <c r="H168" s="34"/>
    </row>
    <row r="169" spans="3:12" ht="18" customHeight="1">
      <c r="C169" s="239" t="s">
        <v>1817</v>
      </c>
      <c r="D169" s="273"/>
      <c r="E169" s="34"/>
      <c r="F169" s="34"/>
      <c r="G169" s="34"/>
      <c r="H169" s="34"/>
    </row>
    <row r="170" spans="3:12" ht="18" customHeight="1">
      <c r="C170" s="239" t="s">
        <v>1817</v>
      </c>
      <c r="D170" s="273"/>
      <c r="E170" s="34"/>
      <c r="F170" s="34"/>
      <c r="G170" s="34"/>
      <c r="H170" s="34"/>
    </row>
    <row r="171" spans="3:12" ht="18" customHeight="1">
      <c r="C171" s="239"/>
      <c r="D171" s="273"/>
      <c r="E171" s="34"/>
      <c r="F171" s="34"/>
      <c r="G171" s="34"/>
      <c r="H171" s="34"/>
    </row>
    <row r="172" spans="3:12" ht="18" customHeight="1">
      <c r="C172" s="239"/>
      <c r="D172" s="273"/>
      <c r="E172" s="34"/>
      <c r="F172" s="34"/>
      <c r="G172" s="34"/>
      <c r="H172" s="34"/>
    </row>
    <row r="173" spans="3:12" ht="18" customHeight="1" thickBot="1">
      <c r="C173" s="240"/>
      <c r="D173" s="276"/>
      <c r="E173" s="37"/>
      <c r="F173" s="37"/>
      <c r="G173" s="37"/>
      <c r="H173" s="37"/>
    </row>
  </sheetData>
  <autoFilter ref="C5:AA173" xr:uid="{00000000-0009-0000-0000-000011000000}"/>
  <phoneticPr fontId="2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30A0"/>
  </sheetPr>
  <dimension ref="D2:U317"/>
  <sheetViews>
    <sheetView showGridLines="0" topLeftCell="A2" zoomScale="80" zoomScaleNormal="80" workbookViewId="0">
      <pane xSplit="8" ySplit="3" topLeftCell="I287" activePane="bottomRight" state="frozen"/>
      <selection activeCell="J13" sqref="J13"/>
      <selection pane="topRight" activeCell="J13" sqref="J13"/>
      <selection pane="bottomLeft" activeCell="J13" sqref="J13"/>
      <selection pane="bottomRight" activeCell="R329" sqref="R329"/>
    </sheetView>
  </sheetViews>
  <sheetFormatPr defaultColWidth="8.75" defaultRowHeight="18" customHeight="1"/>
  <cols>
    <col min="1" max="3" width="2.375" style="5" customWidth="1"/>
    <col min="4" max="4" width="9.875" style="203" customWidth="1"/>
    <col min="5" max="7" width="9.875" style="201" customWidth="1"/>
    <col min="8" max="8" width="37.375" style="201" bestFit="1" customWidth="1"/>
    <col min="9" max="9" width="2.25" style="201" bestFit="1" customWidth="1"/>
    <col min="10" max="10" width="18.125" style="201" customWidth="1"/>
    <col min="11" max="11" width="16.75" style="201" hidden="1" customWidth="1"/>
    <col min="12" max="13" width="21.875" style="201" customWidth="1"/>
    <col min="14" max="14" width="2.125" style="5" customWidth="1"/>
    <col min="15" max="15" width="17.375" style="171" customWidth="1"/>
    <col min="16" max="16" width="17.375" style="201" customWidth="1"/>
    <col min="17" max="17" width="17.375" style="202" customWidth="1"/>
    <col min="18" max="18" width="11.25" style="5" bestFit="1" customWidth="1"/>
    <col min="19" max="20" width="8.75" style="5"/>
    <col min="21" max="21" width="15" style="5" bestFit="1" customWidth="1"/>
    <col min="22" max="16384" width="8.75" style="5"/>
  </cols>
  <sheetData>
    <row r="2" spans="4:21" ht="18" customHeight="1">
      <c r="K2" s="460"/>
    </row>
    <row r="3" spans="4:21" s="25" customFormat="1" ht="18" customHeight="1" thickBot="1">
      <c r="D3" s="170"/>
      <c r="K3" s="25" t="b">
        <f>K317=0</f>
        <v>0</v>
      </c>
      <c r="L3" s="25" t="b">
        <f>L317=0</f>
        <v>1</v>
      </c>
      <c r="M3" s="25" t="b">
        <f>M317=0</f>
        <v>1</v>
      </c>
      <c r="O3" s="171" t="s">
        <v>2052</v>
      </c>
      <c r="P3" s="171"/>
      <c r="Q3" s="172"/>
    </row>
    <row r="4" spans="4:21" s="8" customFormat="1" ht="18" customHeight="1" thickBot="1">
      <c r="D4" s="173" t="s">
        <v>1478</v>
      </c>
      <c r="E4" s="174" t="s">
        <v>1479</v>
      </c>
      <c r="F4" s="174" t="s">
        <v>1480</v>
      </c>
      <c r="G4" s="174" t="s">
        <v>1481</v>
      </c>
      <c r="H4" s="174" t="s">
        <v>691</v>
      </c>
      <c r="I4" s="174"/>
      <c r="J4" s="174" t="s">
        <v>1482</v>
      </c>
      <c r="K4" s="174" t="s">
        <v>1530</v>
      </c>
      <c r="L4" s="174" t="s">
        <v>1529</v>
      </c>
      <c r="M4" s="175" t="s">
        <v>1528</v>
      </c>
      <c r="O4" s="176" t="s">
        <v>18</v>
      </c>
      <c r="P4" s="177" t="s">
        <v>610</v>
      </c>
      <c r="Q4" s="178" t="s">
        <v>477</v>
      </c>
    </row>
    <row r="5" spans="4:21" ht="18" customHeight="1">
      <c r="D5" s="179">
        <v>2020</v>
      </c>
      <c r="E5" s="180">
        <v>12</v>
      </c>
      <c r="F5" s="180" t="s">
        <v>1483</v>
      </c>
      <c r="G5" s="180" t="s">
        <v>692</v>
      </c>
      <c r="H5" s="180" t="s">
        <v>693</v>
      </c>
      <c r="I5" s="180">
        <v>1</v>
      </c>
      <c r="J5" s="180" t="s">
        <v>1484</v>
      </c>
      <c r="K5" s="180">
        <f>SUM(K6,K8,K63,K107,K150)</f>
        <v>47737309368</v>
      </c>
      <c r="L5" s="180">
        <f>SUM(L6,L8,L63,L107,L150)</f>
        <v>11134172774</v>
      </c>
      <c r="M5" s="181">
        <f>SUM(M6,M8,M63,M107,M150)</f>
        <v>-42551674990</v>
      </c>
      <c r="O5" s="182"/>
      <c r="P5" s="183">
        <f>O5-L5</f>
        <v>-11134172774</v>
      </c>
      <c r="Q5" s="184"/>
    </row>
    <row r="6" spans="4:21" ht="18" customHeight="1">
      <c r="D6" s="179">
        <v>2020</v>
      </c>
      <c r="E6" s="180">
        <v>12</v>
      </c>
      <c r="F6" s="180" t="s">
        <v>632</v>
      </c>
      <c r="G6" s="180" t="s">
        <v>694</v>
      </c>
      <c r="H6" s="180" t="s">
        <v>209</v>
      </c>
      <c r="I6" s="180">
        <v>2</v>
      </c>
      <c r="J6" s="180" t="s">
        <v>473</v>
      </c>
      <c r="K6" s="180">
        <f>K7</f>
        <v>45209287556</v>
      </c>
      <c r="L6" s="180">
        <f>L7</f>
        <v>-15789338077</v>
      </c>
      <c r="M6" s="181">
        <f>L6-K6</f>
        <v>-60998625633</v>
      </c>
      <c r="O6" s="182"/>
      <c r="P6" s="183">
        <f t="shared" ref="P6:P70" si="0">O6-L6</f>
        <v>15789338077</v>
      </c>
      <c r="Q6" s="184"/>
    </row>
    <row r="7" spans="4:21" ht="18" customHeight="1">
      <c r="D7" s="185">
        <v>2020</v>
      </c>
      <c r="E7" s="183">
        <v>12</v>
      </c>
      <c r="F7" s="183" t="s">
        <v>632</v>
      </c>
      <c r="G7" s="183" t="s">
        <v>695</v>
      </c>
      <c r="H7" s="183" t="s">
        <v>696</v>
      </c>
      <c r="I7" s="183">
        <v>3</v>
      </c>
      <c r="J7" s="183" t="s">
        <v>473</v>
      </c>
      <c r="K7" s="183">
        <f>SUMIF('CF.1'!$D:$D,'CFS(2개월)'!G7,'CF.1'!$U:$U)</f>
        <v>45209287556</v>
      </c>
      <c r="L7" s="183">
        <f>SUMIF('CF.1_2개월(단순차감)'!D:D,'CFS(2개월)'!G7,'CF.1_2개월(단순차감)'!AB:AB)</f>
        <v>-15789338077</v>
      </c>
      <c r="M7" s="186">
        <f>L7-K7</f>
        <v>-60998625633</v>
      </c>
      <c r="O7" s="182"/>
      <c r="P7" s="183">
        <f t="shared" si="0"/>
        <v>15789338077</v>
      </c>
      <c r="Q7" s="184"/>
      <c r="T7" s="5" t="s">
        <v>1816</v>
      </c>
      <c r="U7" s="5">
        <f>-SUMIF(T198_TB!M:M,'CFS(2개월)'!T7,T198_TB!$L:$L)</f>
        <v>274224112673</v>
      </c>
    </row>
    <row r="8" spans="4:21" ht="18" customHeight="1">
      <c r="D8" s="179">
        <v>2020</v>
      </c>
      <c r="E8" s="180">
        <v>12</v>
      </c>
      <c r="F8" s="180" t="s">
        <v>632</v>
      </c>
      <c r="G8" s="180" t="s">
        <v>697</v>
      </c>
      <c r="H8" s="180" t="s">
        <v>1485</v>
      </c>
      <c r="I8" s="180">
        <v>2</v>
      </c>
      <c r="J8" s="180" t="s">
        <v>473</v>
      </c>
      <c r="K8" s="180">
        <f>SUM(K9:K62)</f>
        <v>6972491912</v>
      </c>
      <c r="L8" s="180">
        <f>SUM(L9:L62)</f>
        <v>18011232721</v>
      </c>
      <c r="M8" s="181">
        <f>SUM(M9:M62)</f>
        <v>11038740809</v>
      </c>
      <c r="O8" s="182"/>
      <c r="P8" s="183">
        <f t="shared" si="0"/>
        <v>-18011232721</v>
      </c>
      <c r="Q8" s="184"/>
      <c r="T8" s="5" t="s">
        <v>1915</v>
      </c>
      <c r="U8" s="5">
        <f>-SUMIF(T198_TB!M:M,'CFS(2개월)'!T8,T198_TB!$L:$L)</f>
        <v>0</v>
      </c>
    </row>
    <row r="9" spans="4:21" s="190" customFormat="1" ht="18" customHeight="1">
      <c r="D9" s="187">
        <v>2020</v>
      </c>
      <c r="E9" s="188">
        <v>12</v>
      </c>
      <c r="F9" s="188" t="s">
        <v>632</v>
      </c>
      <c r="G9" s="188" t="s">
        <v>699</v>
      </c>
      <c r="H9" s="188" t="s">
        <v>488</v>
      </c>
      <c r="I9" s="188">
        <v>3</v>
      </c>
      <c r="J9" s="188" t="s">
        <v>473</v>
      </c>
      <c r="K9" s="183">
        <f>SUMIF('CF.1'!$D:$D,'CFS(2개월)'!G9,'CF.1'!$U:$U)</f>
        <v>1054349734</v>
      </c>
      <c r="L9" s="183">
        <f>SUMIF('CF.1_2개월(단순차감)'!D:D,'CFS(2개월)'!G9,'CF.1_2개월(단순차감)'!AB:AB)</f>
        <v>914025569</v>
      </c>
      <c r="M9" s="189">
        <f t="shared" ref="M9:M62" si="1">L9-K9</f>
        <v>-140324165</v>
      </c>
      <c r="O9" s="191"/>
      <c r="P9" s="183">
        <f t="shared" si="0"/>
        <v>-914025569</v>
      </c>
      <c r="Q9" s="192" t="s">
        <v>1677</v>
      </c>
      <c r="R9" s="190">
        <f>L9-T_IS!X47-T_IS!X48-T_IS!X49-T_IS!X50-T_IS!X51-T_IS!X52</f>
        <v>-2784378237</v>
      </c>
      <c r="T9" s="190" t="s">
        <v>1916</v>
      </c>
      <c r="U9" s="190">
        <f>SUM(U7:U8)</f>
        <v>274224112673</v>
      </c>
    </row>
    <row r="10" spans="4:21" ht="18" customHeight="1">
      <c r="D10" s="185">
        <v>2020</v>
      </c>
      <c r="E10" s="183">
        <v>12</v>
      </c>
      <c r="F10" s="183" t="s">
        <v>632</v>
      </c>
      <c r="G10" s="183" t="s">
        <v>700</v>
      </c>
      <c r="H10" s="183" t="s">
        <v>386</v>
      </c>
      <c r="I10" s="188">
        <v>3</v>
      </c>
      <c r="J10" s="183" t="s">
        <v>473</v>
      </c>
      <c r="K10" s="183">
        <f>SUMIF('CF.1'!$D:$D,'CFS(2개월)'!G10,'CF.1'!$U:$U)</f>
        <v>2714238500</v>
      </c>
      <c r="L10" s="183">
        <f>SUMIF('CF.1_2개월(단순차감)'!D:D,'CFS(2개월)'!G10,'CF.1_2개월(단순차감)'!AB:AB)</f>
        <v>662686099</v>
      </c>
      <c r="M10" s="186">
        <f t="shared" si="1"/>
        <v>-2051552401</v>
      </c>
      <c r="O10" s="191"/>
      <c r="P10" s="183">
        <f t="shared" si="0"/>
        <v>-662686099</v>
      </c>
      <c r="Q10" s="184"/>
      <c r="R10" s="5">
        <v>114157326</v>
      </c>
      <c r="U10" s="5">
        <f>L7-U9</f>
        <v>-290013450750</v>
      </c>
    </row>
    <row r="11" spans="4:21" ht="18" customHeight="1">
      <c r="D11" s="185">
        <v>2020</v>
      </c>
      <c r="E11" s="183">
        <v>12</v>
      </c>
      <c r="F11" s="183" t="s">
        <v>632</v>
      </c>
      <c r="G11" s="183" t="s">
        <v>701</v>
      </c>
      <c r="H11" s="183" t="s">
        <v>262</v>
      </c>
      <c r="I11" s="188">
        <v>3</v>
      </c>
      <c r="J11" s="183" t="s">
        <v>473</v>
      </c>
      <c r="K11" s="183">
        <f>SUMIF('CF.1'!$D:$D,'CFS(2개월)'!G11,'CF.1'!$U:$U)</f>
        <v>1438114849</v>
      </c>
      <c r="L11" s="183">
        <f>SUMIF('CF.1_2개월(단순차감)'!D:D,'CFS(2개월)'!G11,'CF.1_2개월(단순차감)'!AB:AB)</f>
        <v>318619230</v>
      </c>
      <c r="M11" s="186">
        <f t="shared" si="1"/>
        <v>-1119495619</v>
      </c>
      <c r="O11" s="191"/>
      <c r="P11" s="183">
        <f t="shared" si="0"/>
        <v>-318619230</v>
      </c>
      <c r="Q11" s="184"/>
      <c r="R11" s="5">
        <f>R9-R10</f>
        <v>-2898535563</v>
      </c>
    </row>
    <row r="12" spans="4:21" ht="18" customHeight="1">
      <c r="D12" s="185">
        <v>2020</v>
      </c>
      <c r="E12" s="183">
        <v>12</v>
      </c>
      <c r="F12" s="183" t="s">
        <v>632</v>
      </c>
      <c r="G12" s="183" t="s">
        <v>702</v>
      </c>
      <c r="H12" s="183" t="s">
        <v>302</v>
      </c>
      <c r="I12" s="188">
        <v>3</v>
      </c>
      <c r="J12" s="183" t="s">
        <v>473</v>
      </c>
      <c r="K12" s="183">
        <f>SUMIF('CF.1'!$D:$D,'CFS(2개월)'!G12,'CF.1'!$U:$U)</f>
        <v>11147782</v>
      </c>
      <c r="L12" s="183">
        <f>SUMIF('CF.1_2개월(단순차감)'!D:D,'CFS(2개월)'!G12,'CF.1_2개월(단순차감)'!AB:AB)</f>
        <v>-187445938</v>
      </c>
      <c r="M12" s="186">
        <f t="shared" si="1"/>
        <v>-198593720</v>
      </c>
      <c r="O12" s="191"/>
      <c r="P12" s="183">
        <f t="shared" si="0"/>
        <v>187445938</v>
      </c>
      <c r="Q12" s="184"/>
    </row>
    <row r="13" spans="4:21" ht="18" customHeight="1">
      <c r="D13" s="185">
        <v>2020</v>
      </c>
      <c r="E13" s="183">
        <v>12</v>
      </c>
      <c r="F13" s="183" t="s">
        <v>632</v>
      </c>
      <c r="G13" s="183" t="s">
        <v>703</v>
      </c>
      <c r="H13" s="183" t="s">
        <v>683</v>
      </c>
      <c r="I13" s="188">
        <v>3</v>
      </c>
      <c r="J13" s="183" t="s">
        <v>473</v>
      </c>
      <c r="K13" s="183">
        <f>SUMIF('CF.1'!$D:$D,'CFS(2개월)'!G13,'CF.1'!$U:$U)</f>
        <v>103356804</v>
      </c>
      <c r="L13" s="183">
        <f>SUMIF('CF.1_2개월(단순차감)'!D:D,'CFS(2개월)'!G13,'CF.1_2개월(단순차감)'!AB:AB)</f>
        <v>-2767196</v>
      </c>
      <c r="M13" s="186">
        <f t="shared" si="1"/>
        <v>-106124000</v>
      </c>
      <c r="O13" s="191"/>
      <c r="P13" s="183">
        <f t="shared" si="0"/>
        <v>2767196</v>
      </c>
      <c r="Q13" s="184"/>
    </row>
    <row r="14" spans="4:21" ht="18" customHeight="1">
      <c r="D14" s="185">
        <v>2020</v>
      </c>
      <c r="E14" s="183">
        <v>12</v>
      </c>
      <c r="F14" s="183" t="s">
        <v>632</v>
      </c>
      <c r="G14" s="183" t="s">
        <v>704</v>
      </c>
      <c r="H14" s="183" t="s">
        <v>705</v>
      </c>
      <c r="I14" s="188">
        <v>3</v>
      </c>
      <c r="J14" s="183" t="s">
        <v>473</v>
      </c>
      <c r="K14" s="183">
        <f>SUMIF('CF.1'!$D:$D,'CFS(2개월)'!G14,'CF.1'!$U:$U)</f>
        <v>0</v>
      </c>
      <c r="L14" s="183">
        <f>SUMIF('CF.1_2개월(단순차감)'!D:D,'CFS(2개월)'!G14,'CF.1_2개월(단순차감)'!AB:AB)</f>
        <v>0</v>
      </c>
      <c r="M14" s="186">
        <f t="shared" si="1"/>
        <v>0</v>
      </c>
      <c r="O14" s="191"/>
      <c r="P14" s="183">
        <f t="shared" si="0"/>
        <v>0</v>
      </c>
      <c r="Q14" s="184"/>
    </row>
    <row r="15" spans="4:21" ht="18" customHeight="1">
      <c r="D15" s="185">
        <v>2020</v>
      </c>
      <c r="E15" s="183">
        <v>12</v>
      </c>
      <c r="F15" s="183" t="s">
        <v>632</v>
      </c>
      <c r="G15" s="183" t="s">
        <v>706</v>
      </c>
      <c r="H15" s="183" t="s">
        <v>707</v>
      </c>
      <c r="I15" s="188">
        <v>3</v>
      </c>
      <c r="J15" s="183" t="s">
        <v>473</v>
      </c>
      <c r="K15" s="183">
        <f>SUMIF('CF.1'!$D:$D,'CFS(2개월)'!G15,'CF.1'!$U:$U)</f>
        <v>0</v>
      </c>
      <c r="L15" s="183">
        <f>SUMIF('CF.1_2개월(단순차감)'!D:D,'CFS(2개월)'!G15,'CF.1_2개월(단순차감)'!AB:AB)</f>
        <v>0</v>
      </c>
      <c r="M15" s="186">
        <f t="shared" si="1"/>
        <v>0</v>
      </c>
      <c r="O15" s="191"/>
      <c r="P15" s="183">
        <f t="shared" si="0"/>
        <v>0</v>
      </c>
      <c r="Q15" s="184"/>
    </row>
    <row r="16" spans="4:21" ht="18" customHeight="1">
      <c r="D16" s="185">
        <v>2020</v>
      </c>
      <c r="E16" s="183">
        <v>12</v>
      </c>
      <c r="F16" s="183" t="s">
        <v>632</v>
      </c>
      <c r="G16" s="183" t="s">
        <v>1486</v>
      </c>
      <c r="H16" s="183" t="s">
        <v>1487</v>
      </c>
      <c r="I16" s="188">
        <v>3</v>
      </c>
      <c r="J16" s="183" t="s">
        <v>473</v>
      </c>
      <c r="K16" s="183">
        <f>SUMIF('CF.1'!$D:$D,'CFS(2개월)'!G16,'CF.1'!$U:$U)</f>
        <v>0</v>
      </c>
      <c r="L16" s="183">
        <f>SUMIF('CF.1_2개월(단순차감)'!D:D,'CFS(2개월)'!G16,'CF.1_2개월(단순차감)'!AB:AB)</f>
        <v>0</v>
      </c>
      <c r="M16" s="186">
        <f t="shared" si="1"/>
        <v>0</v>
      </c>
      <c r="O16" s="191"/>
      <c r="P16" s="183">
        <f t="shared" si="0"/>
        <v>0</v>
      </c>
      <c r="Q16" s="184"/>
    </row>
    <row r="17" spans="4:17" ht="18" customHeight="1">
      <c r="D17" s="185">
        <v>2020</v>
      </c>
      <c r="E17" s="183">
        <v>12</v>
      </c>
      <c r="F17" s="183" t="s">
        <v>632</v>
      </c>
      <c r="G17" s="183" t="s">
        <v>1488</v>
      </c>
      <c r="H17" s="183" t="s">
        <v>1489</v>
      </c>
      <c r="I17" s="188">
        <v>3</v>
      </c>
      <c r="J17" s="183" t="s">
        <v>473</v>
      </c>
      <c r="K17" s="183">
        <f>SUMIF('CF.1'!$D:$D,'CFS(2개월)'!G17,'CF.1'!$U:$U)</f>
        <v>0</v>
      </c>
      <c r="L17" s="183">
        <f>SUMIF('CF.1_2개월(단순차감)'!D:D,'CFS(2개월)'!G17,'CF.1_2개월(단순차감)'!AB:AB)</f>
        <v>0</v>
      </c>
      <c r="M17" s="186">
        <f t="shared" si="1"/>
        <v>0</v>
      </c>
      <c r="O17" s="191"/>
      <c r="P17" s="183">
        <f t="shared" si="0"/>
        <v>0</v>
      </c>
      <c r="Q17" s="184"/>
    </row>
    <row r="18" spans="4:17" ht="18" customHeight="1">
      <c r="D18" s="185">
        <v>2020</v>
      </c>
      <c r="E18" s="183">
        <v>12</v>
      </c>
      <c r="F18" s="183" t="s">
        <v>632</v>
      </c>
      <c r="G18" s="183" t="s">
        <v>708</v>
      </c>
      <c r="H18" s="183" t="s">
        <v>709</v>
      </c>
      <c r="I18" s="188">
        <v>3</v>
      </c>
      <c r="J18" s="183" t="s">
        <v>473</v>
      </c>
      <c r="K18" s="183">
        <f>SUMIF('CF.1'!$D:$D,'CFS(2개월)'!G18,'CF.1'!$U:$U)</f>
        <v>0</v>
      </c>
      <c r="L18" s="183">
        <f>SUMIF('CF.1_2개월(단순차감)'!D:D,'CFS(2개월)'!G18,'CF.1_2개월(단순차감)'!AB:AB)</f>
        <v>0</v>
      </c>
      <c r="M18" s="186">
        <f t="shared" si="1"/>
        <v>0</v>
      </c>
      <c r="O18" s="191"/>
      <c r="P18" s="183">
        <f t="shared" si="0"/>
        <v>0</v>
      </c>
      <c r="Q18" s="184"/>
    </row>
    <row r="19" spans="4:17" ht="18" customHeight="1">
      <c r="D19" s="185">
        <v>2020</v>
      </c>
      <c r="E19" s="183">
        <v>12</v>
      </c>
      <c r="F19" s="183" t="s">
        <v>632</v>
      </c>
      <c r="G19" s="183" t="s">
        <v>710</v>
      </c>
      <c r="H19" s="183" t="s">
        <v>711</v>
      </c>
      <c r="I19" s="188">
        <v>3</v>
      </c>
      <c r="J19" s="183" t="s">
        <v>473</v>
      </c>
      <c r="K19" s="183">
        <f>SUMIF('CF.1'!$D:$D,'CFS(2개월)'!G19,'CF.1'!$U:$U)</f>
        <v>0</v>
      </c>
      <c r="L19" s="183">
        <f>SUMIF('CF.1_2개월(단순차감)'!D:D,'CFS(2개월)'!G19,'CF.1_2개월(단순차감)'!AB:AB)</f>
        <v>0</v>
      </c>
      <c r="M19" s="186">
        <f t="shared" si="1"/>
        <v>0</v>
      </c>
      <c r="O19" s="191"/>
      <c r="P19" s="183">
        <f t="shared" si="0"/>
        <v>0</v>
      </c>
      <c r="Q19" s="184"/>
    </row>
    <row r="20" spans="4:17" ht="18" customHeight="1">
      <c r="D20" s="185">
        <v>2020</v>
      </c>
      <c r="E20" s="183">
        <v>12</v>
      </c>
      <c r="F20" s="183" t="s">
        <v>632</v>
      </c>
      <c r="G20" s="183" t="s">
        <v>712</v>
      </c>
      <c r="H20" s="183" t="s">
        <v>713</v>
      </c>
      <c r="I20" s="188">
        <v>3</v>
      </c>
      <c r="J20" s="183" t="s">
        <v>473</v>
      </c>
      <c r="K20" s="183">
        <f>SUMIF('CF.1'!$D:$D,'CFS(2개월)'!G20,'CF.1'!$U:$U)</f>
        <v>0</v>
      </c>
      <c r="L20" s="183">
        <f>SUMIF('CF.1_2개월(단순차감)'!D:D,'CFS(2개월)'!G20,'CF.1_2개월(단순차감)'!AB:AB)</f>
        <v>0</v>
      </c>
      <c r="M20" s="186">
        <f t="shared" si="1"/>
        <v>0</v>
      </c>
      <c r="O20" s="191"/>
      <c r="P20" s="183">
        <f t="shared" si="0"/>
        <v>0</v>
      </c>
      <c r="Q20" s="184"/>
    </row>
    <row r="21" spans="4:17" ht="18" customHeight="1">
      <c r="D21" s="185">
        <v>2020</v>
      </c>
      <c r="E21" s="183">
        <v>12</v>
      </c>
      <c r="F21" s="183" t="s">
        <v>632</v>
      </c>
      <c r="G21" s="183" t="s">
        <v>714</v>
      </c>
      <c r="H21" s="183" t="s">
        <v>715</v>
      </c>
      <c r="I21" s="188">
        <v>3</v>
      </c>
      <c r="J21" s="183" t="s">
        <v>473</v>
      </c>
      <c r="K21" s="183">
        <f>SUMIF('CF.1'!$D:$D,'CFS(2개월)'!G21,'CF.1'!$U:$U)</f>
        <v>201029108</v>
      </c>
      <c r="L21" s="183">
        <f>SUMIF('CF.1_2개월(단순차감)'!D:D,'CFS(2개월)'!G21,'CF.1_2개월(단순차감)'!AB:AB)</f>
        <v>0</v>
      </c>
      <c r="M21" s="186">
        <f t="shared" si="1"/>
        <v>-201029108</v>
      </c>
      <c r="O21" s="191"/>
      <c r="P21" s="183">
        <f t="shared" si="0"/>
        <v>0</v>
      </c>
      <c r="Q21" s="184"/>
    </row>
    <row r="22" spans="4:17" ht="18" customHeight="1">
      <c r="D22" s="185">
        <v>2020</v>
      </c>
      <c r="E22" s="183">
        <v>12</v>
      </c>
      <c r="F22" s="183" t="s">
        <v>632</v>
      </c>
      <c r="G22" s="183" t="s">
        <v>716</v>
      </c>
      <c r="H22" s="183" t="s">
        <v>717</v>
      </c>
      <c r="I22" s="188">
        <v>3</v>
      </c>
      <c r="J22" s="183" t="s">
        <v>473</v>
      </c>
      <c r="K22" s="183">
        <f>SUMIF('CF.1'!$D:$D,'CFS(2개월)'!G22,'CF.1'!$U:$U)</f>
        <v>0</v>
      </c>
      <c r="L22" s="183">
        <f>SUMIF('CF.1_2개월(단순차감)'!D:D,'CFS(2개월)'!G22,'CF.1_2개월(단순차감)'!AB:AB)</f>
        <v>0</v>
      </c>
      <c r="M22" s="186">
        <f t="shared" si="1"/>
        <v>0</v>
      </c>
      <c r="O22" s="191"/>
      <c r="P22" s="183">
        <f t="shared" si="0"/>
        <v>0</v>
      </c>
      <c r="Q22" s="184"/>
    </row>
    <row r="23" spans="4:17" ht="18" customHeight="1">
      <c r="D23" s="185">
        <v>2020</v>
      </c>
      <c r="E23" s="183">
        <v>12</v>
      </c>
      <c r="F23" s="183" t="s">
        <v>632</v>
      </c>
      <c r="G23" s="183" t="s">
        <v>718</v>
      </c>
      <c r="H23" s="183" t="s">
        <v>719</v>
      </c>
      <c r="I23" s="188">
        <v>3</v>
      </c>
      <c r="J23" s="183" t="s">
        <v>473</v>
      </c>
      <c r="K23" s="183">
        <f>SUMIF('CF.1'!$D:$D,'CFS(2개월)'!G23,'CF.1'!$U:$U)</f>
        <v>0</v>
      </c>
      <c r="L23" s="183">
        <f>SUMIF('CF.1_2개월(단순차감)'!D:D,'CFS(2개월)'!G23,'CF.1_2개월(단순차감)'!AB:AB)</f>
        <v>0</v>
      </c>
      <c r="M23" s="186">
        <f t="shared" si="1"/>
        <v>0</v>
      </c>
      <c r="O23" s="191"/>
      <c r="P23" s="183">
        <f t="shared" si="0"/>
        <v>0</v>
      </c>
      <c r="Q23" s="184"/>
    </row>
    <row r="24" spans="4:17" ht="18" customHeight="1">
      <c r="D24" s="185">
        <v>2020</v>
      </c>
      <c r="E24" s="183">
        <v>12</v>
      </c>
      <c r="F24" s="183" t="s">
        <v>632</v>
      </c>
      <c r="G24" s="183" t="s">
        <v>720</v>
      </c>
      <c r="H24" s="183" t="s">
        <v>721</v>
      </c>
      <c r="I24" s="188">
        <v>3</v>
      </c>
      <c r="J24" s="183" t="s">
        <v>473</v>
      </c>
      <c r="K24" s="183">
        <f>SUMIF('CF.1'!$D:$D,'CFS(2개월)'!G24,'CF.1'!$U:$U)</f>
        <v>0</v>
      </c>
      <c r="L24" s="183">
        <f>SUMIF('CF.1_2개월(단순차감)'!D:D,'CFS(2개월)'!G24,'CF.1_2개월(단순차감)'!AB:AB)</f>
        <v>0</v>
      </c>
      <c r="M24" s="186">
        <f t="shared" si="1"/>
        <v>0</v>
      </c>
      <c r="O24" s="191"/>
      <c r="P24" s="183">
        <f t="shared" si="0"/>
        <v>0</v>
      </c>
      <c r="Q24" s="184"/>
    </row>
    <row r="25" spans="4:17" ht="18" customHeight="1">
      <c r="D25" s="185">
        <v>2020</v>
      </c>
      <c r="E25" s="183">
        <v>12</v>
      </c>
      <c r="F25" s="183" t="s">
        <v>632</v>
      </c>
      <c r="G25" s="183" t="s">
        <v>722</v>
      </c>
      <c r="H25" s="183" t="s">
        <v>723</v>
      </c>
      <c r="I25" s="188">
        <v>3</v>
      </c>
      <c r="J25" s="183" t="s">
        <v>473</v>
      </c>
      <c r="K25" s="183">
        <f>SUMIF('CF.1'!$D:$D,'CFS(2개월)'!G25,'CF.1'!$U:$U)</f>
        <v>0</v>
      </c>
      <c r="L25" s="183">
        <f>SUMIF('CF.1_2개월(단순차감)'!D:D,'CFS(2개월)'!G25,'CF.1_2개월(단순차감)'!AB:AB)</f>
        <v>0</v>
      </c>
      <c r="M25" s="186">
        <f t="shared" si="1"/>
        <v>0</v>
      </c>
      <c r="O25" s="191"/>
      <c r="P25" s="183">
        <f t="shared" si="0"/>
        <v>0</v>
      </c>
      <c r="Q25" s="184"/>
    </row>
    <row r="26" spans="4:17" ht="18" customHeight="1">
      <c r="D26" s="185">
        <v>2020</v>
      </c>
      <c r="E26" s="183">
        <v>12</v>
      </c>
      <c r="F26" s="183" t="s">
        <v>632</v>
      </c>
      <c r="G26" s="183" t="s">
        <v>724</v>
      </c>
      <c r="H26" s="183" t="s">
        <v>725</v>
      </c>
      <c r="I26" s="188">
        <v>3</v>
      </c>
      <c r="J26" s="183" t="s">
        <v>473</v>
      </c>
      <c r="K26" s="183">
        <f>SUMIF('CF.1'!$D:$D,'CFS(2개월)'!G26,'CF.1'!$U:$U)</f>
        <v>0</v>
      </c>
      <c r="L26" s="183">
        <f>SUMIF('CF.1_2개월(단순차감)'!D:D,'CFS(2개월)'!G26,'CF.1_2개월(단순차감)'!AB:AB)</f>
        <v>0</v>
      </c>
      <c r="M26" s="186">
        <f t="shared" si="1"/>
        <v>0</v>
      </c>
      <c r="O26" s="191"/>
      <c r="P26" s="183">
        <f t="shared" si="0"/>
        <v>0</v>
      </c>
      <c r="Q26" s="184"/>
    </row>
    <row r="27" spans="4:17" ht="18" customHeight="1">
      <c r="D27" s="185">
        <v>2020</v>
      </c>
      <c r="E27" s="183">
        <v>12</v>
      </c>
      <c r="F27" s="183" t="s">
        <v>632</v>
      </c>
      <c r="G27" s="183" t="s">
        <v>726</v>
      </c>
      <c r="H27" s="183" t="s">
        <v>727</v>
      </c>
      <c r="I27" s="188">
        <v>3</v>
      </c>
      <c r="J27" s="183" t="s">
        <v>473</v>
      </c>
      <c r="K27" s="183">
        <f>SUMIF('CF.1'!$D:$D,'CFS(2개월)'!G27,'CF.1'!$U:$U)</f>
        <v>0</v>
      </c>
      <c r="L27" s="183">
        <f>SUMIF('CF.1_2개월(단순차감)'!D:D,'CFS(2개월)'!G27,'CF.1_2개월(단순차감)'!AB:AB)</f>
        <v>0</v>
      </c>
      <c r="M27" s="186">
        <f t="shared" si="1"/>
        <v>0</v>
      </c>
      <c r="O27" s="191"/>
      <c r="P27" s="183">
        <f t="shared" si="0"/>
        <v>0</v>
      </c>
      <c r="Q27" s="184"/>
    </row>
    <row r="28" spans="4:17" ht="18" customHeight="1">
      <c r="D28" s="185">
        <v>2020</v>
      </c>
      <c r="E28" s="183">
        <v>12</v>
      </c>
      <c r="F28" s="183" t="s">
        <v>632</v>
      </c>
      <c r="G28" s="183" t="s">
        <v>728</v>
      </c>
      <c r="H28" s="183" t="s">
        <v>729</v>
      </c>
      <c r="I28" s="188">
        <v>3</v>
      </c>
      <c r="J28" s="183" t="s">
        <v>473</v>
      </c>
      <c r="K28" s="183">
        <f>SUMIF('CF.1'!$D:$D,'CFS(2개월)'!G28,'CF.1'!$U:$U)</f>
        <v>0</v>
      </c>
      <c r="L28" s="183">
        <f>SUMIF('CF.1_2개월(단순차감)'!D:D,'CFS(2개월)'!G28,'CF.1_2개월(단순차감)'!AB:AB)</f>
        <v>0</v>
      </c>
      <c r="M28" s="186">
        <f t="shared" si="1"/>
        <v>0</v>
      </c>
      <c r="O28" s="191"/>
      <c r="P28" s="183">
        <f t="shared" si="0"/>
        <v>0</v>
      </c>
      <c r="Q28" s="184"/>
    </row>
    <row r="29" spans="4:17" ht="18" customHeight="1">
      <c r="D29" s="185">
        <v>2020</v>
      </c>
      <c r="E29" s="183">
        <v>12</v>
      </c>
      <c r="F29" s="183" t="s">
        <v>632</v>
      </c>
      <c r="G29" s="183" t="s">
        <v>730</v>
      </c>
      <c r="H29" s="183" t="s">
        <v>687</v>
      </c>
      <c r="I29" s="188">
        <v>3</v>
      </c>
      <c r="J29" s="183" t="s">
        <v>473</v>
      </c>
      <c r="K29" s="183">
        <f>SUMIF('CF.1'!$D:$D,'CFS(2개월)'!G29,'CF.1'!$U:$U)</f>
        <v>0</v>
      </c>
      <c r="L29" s="183">
        <f>SUMIF('CF.1_2개월(단순차감)'!D:D,'CFS(2개월)'!G29,'CF.1_2개월(단순차감)'!AB:AB)</f>
        <v>0</v>
      </c>
      <c r="M29" s="186">
        <f t="shared" si="1"/>
        <v>0</v>
      </c>
      <c r="O29" s="191"/>
      <c r="P29" s="183">
        <f t="shared" si="0"/>
        <v>0</v>
      </c>
      <c r="Q29" s="184"/>
    </row>
    <row r="30" spans="4:17" ht="18" customHeight="1">
      <c r="D30" s="185">
        <v>2020</v>
      </c>
      <c r="E30" s="183">
        <v>12</v>
      </c>
      <c r="F30" s="183" t="s">
        <v>632</v>
      </c>
      <c r="G30" s="183" t="s">
        <v>731</v>
      </c>
      <c r="H30" s="183" t="s">
        <v>732</v>
      </c>
      <c r="I30" s="188">
        <v>3</v>
      </c>
      <c r="J30" s="183" t="s">
        <v>473</v>
      </c>
      <c r="K30" s="183">
        <f>SUMIF('CF.1'!$D:$D,'CFS(2개월)'!G30,'CF.1'!$U:$U)</f>
        <v>62881122</v>
      </c>
      <c r="L30" s="183">
        <f>SUMIF('CF.1_2개월(단순차감)'!D:D,'CFS(2개월)'!G30,'CF.1_2개월(단순차감)'!AB:AB)</f>
        <v>0</v>
      </c>
      <c r="M30" s="186">
        <f t="shared" si="1"/>
        <v>-62881122</v>
      </c>
      <c r="O30" s="191"/>
      <c r="P30" s="183">
        <f t="shared" si="0"/>
        <v>0</v>
      </c>
      <c r="Q30" s="184"/>
    </row>
    <row r="31" spans="4:17" ht="18" customHeight="1">
      <c r="D31" s="185">
        <v>2020</v>
      </c>
      <c r="E31" s="183">
        <v>12</v>
      </c>
      <c r="F31" s="183" t="s">
        <v>632</v>
      </c>
      <c r="G31" s="183" t="s">
        <v>733</v>
      </c>
      <c r="H31" s="183" t="s">
        <v>734</v>
      </c>
      <c r="I31" s="188">
        <v>3</v>
      </c>
      <c r="J31" s="183" t="s">
        <v>473</v>
      </c>
      <c r="K31" s="183">
        <f>SUMIF('CF.1'!$D:$D,'CFS(2개월)'!G31,'CF.1'!$U:$U)</f>
        <v>216671</v>
      </c>
      <c r="L31" s="183">
        <f>SUMIF('CF.1_2개월(단순차감)'!D:D,'CFS(2개월)'!G31,'CF.1_2개월(단순차감)'!AB:AB)</f>
        <v>1790214</v>
      </c>
      <c r="M31" s="186">
        <f t="shared" si="1"/>
        <v>1573543</v>
      </c>
      <c r="O31" s="191"/>
      <c r="P31" s="183">
        <f t="shared" si="0"/>
        <v>-1790214</v>
      </c>
      <c r="Q31" s="184"/>
    </row>
    <row r="32" spans="4:17" ht="18" customHeight="1">
      <c r="D32" s="185">
        <v>2020</v>
      </c>
      <c r="E32" s="183">
        <v>12</v>
      </c>
      <c r="F32" s="183" t="s">
        <v>632</v>
      </c>
      <c r="G32" s="183" t="s">
        <v>735</v>
      </c>
      <c r="H32" s="183" t="s">
        <v>481</v>
      </c>
      <c r="I32" s="188">
        <v>3</v>
      </c>
      <c r="J32" s="183" t="s">
        <v>473</v>
      </c>
      <c r="K32" s="183">
        <f>SUMIF('CF.1'!$D:$D,'CFS(2개월)'!G32,'CF.1'!$U:$U)</f>
        <v>0</v>
      </c>
      <c r="L32" s="183">
        <f>SUMIF('CF.1_2개월(단순차감)'!D:D,'CFS(2개월)'!G32,'CF.1_2개월(단순차감)'!AB:AB)</f>
        <v>0</v>
      </c>
      <c r="M32" s="186">
        <f t="shared" si="1"/>
        <v>0</v>
      </c>
      <c r="O32" s="191"/>
      <c r="P32" s="183">
        <f t="shared" si="0"/>
        <v>0</v>
      </c>
      <c r="Q32" s="184"/>
    </row>
    <row r="33" spans="4:17" ht="18" customHeight="1">
      <c r="D33" s="185">
        <v>2020</v>
      </c>
      <c r="E33" s="183">
        <v>12</v>
      </c>
      <c r="F33" s="183" t="s">
        <v>632</v>
      </c>
      <c r="G33" s="183" t="s">
        <v>736</v>
      </c>
      <c r="H33" s="183" t="s">
        <v>686</v>
      </c>
      <c r="I33" s="188">
        <v>3</v>
      </c>
      <c r="J33" s="183" t="s">
        <v>473</v>
      </c>
      <c r="K33" s="183">
        <f>SUMIF('CF.1'!$D:$D,'CFS(2개월)'!G33,'CF.1'!$U:$U)</f>
        <v>242686686</v>
      </c>
      <c r="L33" s="183">
        <f>SUMIF('CF.1_2개월(단순차감)'!D:D,'CFS(2개월)'!G33,'CF.1_2개월(단순차감)'!AB:AB)</f>
        <v>585423259</v>
      </c>
      <c r="M33" s="186">
        <f t="shared" si="1"/>
        <v>342736573</v>
      </c>
      <c r="O33" s="191"/>
      <c r="P33" s="183">
        <f t="shared" si="0"/>
        <v>-585423259</v>
      </c>
      <c r="Q33" s="184"/>
    </row>
    <row r="34" spans="4:17" ht="18" customHeight="1">
      <c r="D34" s="185">
        <v>2020</v>
      </c>
      <c r="E34" s="183">
        <v>12</v>
      </c>
      <c r="F34" s="183" t="s">
        <v>632</v>
      </c>
      <c r="G34" s="183" t="s">
        <v>737</v>
      </c>
      <c r="H34" s="183" t="s">
        <v>738</v>
      </c>
      <c r="I34" s="188">
        <v>3</v>
      </c>
      <c r="J34" s="183" t="s">
        <v>473</v>
      </c>
      <c r="K34" s="183">
        <f>SUMIF('CF.1'!$D:$D,'CFS(2개월)'!G34,'CF.1'!$U:$U)</f>
        <v>150801848</v>
      </c>
      <c r="L34" s="183">
        <f>SUMIF('CF.1_2개월(단순차감)'!D:D,'CFS(2개월)'!G34,'CF.1_2개월(단순차감)'!AB:AB)</f>
        <v>0</v>
      </c>
      <c r="M34" s="186">
        <f t="shared" si="1"/>
        <v>-150801848</v>
      </c>
      <c r="O34" s="191"/>
      <c r="P34" s="183">
        <f t="shared" si="0"/>
        <v>0</v>
      </c>
      <c r="Q34" s="184" t="s">
        <v>1678</v>
      </c>
    </row>
    <row r="35" spans="4:17" ht="18" customHeight="1">
      <c r="D35" s="185">
        <v>2020</v>
      </c>
      <c r="E35" s="183">
        <v>12</v>
      </c>
      <c r="F35" s="183" t="s">
        <v>632</v>
      </c>
      <c r="G35" s="183" t="s">
        <v>739</v>
      </c>
      <c r="H35" s="183" t="s">
        <v>740</v>
      </c>
      <c r="I35" s="188">
        <v>3</v>
      </c>
      <c r="J35" s="183" t="s">
        <v>473</v>
      </c>
      <c r="K35" s="183">
        <f>SUMIF('CF.1'!$D:$D,'CFS(2개월)'!G35,'CF.1'!$U:$U)</f>
        <v>0</v>
      </c>
      <c r="L35" s="183">
        <f>SUMIF('CF.1_2개월(단순차감)'!D:D,'CFS(2개월)'!G35,'CF.1_2개월(단순차감)'!AB:AB)</f>
        <v>0</v>
      </c>
      <c r="M35" s="186">
        <f t="shared" si="1"/>
        <v>0</v>
      </c>
      <c r="O35" s="191"/>
      <c r="P35" s="183">
        <f t="shared" si="0"/>
        <v>0</v>
      </c>
      <c r="Q35" s="184"/>
    </row>
    <row r="36" spans="4:17" ht="18" customHeight="1">
      <c r="D36" s="185">
        <v>2020</v>
      </c>
      <c r="E36" s="183">
        <v>12</v>
      </c>
      <c r="F36" s="183" t="s">
        <v>632</v>
      </c>
      <c r="G36" s="183" t="s">
        <v>741</v>
      </c>
      <c r="H36" s="183" t="s">
        <v>742</v>
      </c>
      <c r="I36" s="188">
        <v>3</v>
      </c>
      <c r="J36" s="183" t="s">
        <v>473</v>
      </c>
      <c r="K36" s="183">
        <f>SUMIF('CF.1'!$D:$D,'CFS(2개월)'!G36,'CF.1'!$U:$U)</f>
        <v>0</v>
      </c>
      <c r="L36" s="183">
        <f>SUMIF('CF.1_2개월(단순차감)'!D:D,'CFS(2개월)'!G36,'CF.1_2개월(단순차감)'!AB:AB)</f>
        <v>0</v>
      </c>
      <c r="M36" s="186">
        <f t="shared" si="1"/>
        <v>0</v>
      </c>
      <c r="O36" s="191"/>
      <c r="P36" s="183">
        <f t="shared" si="0"/>
        <v>0</v>
      </c>
      <c r="Q36" s="184"/>
    </row>
    <row r="37" spans="4:17" ht="18" customHeight="1">
      <c r="D37" s="185">
        <v>2020</v>
      </c>
      <c r="E37" s="183">
        <v>12</v>
      </c>
      <c r="F37" s="183" t="s">
        <v>632</v>
      </c>
      <c r="G37" s="183" t="s">
        <v>743</v>
      </c>
      <c r="H37" s="183" t="s">
        <v>744</v>
      </c>
      <c r="I37" s="188">
        <v>3</v>
      </c>
      <c r="J37" s="183" t="s">
        <v>473</v>
      </c>
      <c r="K37" s="183">
        <f>SUMIF('CF.1'!$D:$D,'CFS(2개월)'!G37,'CF.1'!$U:$U)</f>
        <v>418674455</v>
      </c>
      <c r="L37" s="183">
        <f>SUMIF('CF.1_2개월(단순차감)'!D:D,'CFS(2개월)'!G37,'CF.1_2개월(단순차감)'!AB:AB)</f>
        <v>30108708</v>
      </c>
      <c r="M37" s="186">
        <f t="shared" si="1"/>
        <v>-388565747</v>
      </c>
      <c r="O37" s="191"/>
      <c r="P37" s="183">
        <f t="shared" si="0"/>
        <v>-30108708</v>
      </c>
      <c r="Q37" s="184"/>
    </row>
    <row r="38" spans="4:17" ht="18" customHeight="1">
      <c r="D38" s="185">
        <v>2020</v>
      </c>
      <c r="E38" s="183">
        <v>12</v>
      </c>
      <c r="F38" s="183" t="s">
        <v>632</v>
      </c>
      <c r="G38" s="183" t="s">
        <v>745</v>
      </c>
      <c r="H38" s="183" t="s">
        <v>746</v>
      </c>
      <c r="I38" s="188">
        <v>3</v>
      </c>
      <c r="J38" s="183" t="s">
        <v>473</v>
      </c>
      <c r="K38" s="183">
        <f>SUMIF('CF.1'!$D:$D,'CFS(2개월)'!G38,'CF.1'!$U:$U)</f>
        <v>0</v>
      </c>
      <c r="L38" s="183">
        <f>SUMIF('CF.1_2개월(단순차감)'!D:D,'CFS(2개월)'!G38,'CF.1_2개월(단순차감)'!AB:AB)</f>
        <v>0</v>
      </c>
      <c r="M38" s="186">
        <f t="shared" si="1"/>
        <v>0</v>
      </c>
      <c r="O38" s="191"/>
      <c r="P38" s="183">
        <f t="shared" si="0"/>
        <v>0</v>
      </c>
      <c r="Q38" s="184"/>
    </row>
    <row r="39" spans="4:17" ht="18" customHeight="1">
      <c r="D39" s="185">
        <v>2020</v>
      </c>
      <c r="E39" s="183">
        <v>12</v>
      </c>
      <c r="F39" s="183" t="s">
        <v>632</v>
      </c>
      <c r="G39" s="183" t="s">
        <v>747</v>
      </c>
      <c r="H39" s="183" t="s">
        <v>748</v>
      </c>
      <c r="I39" s="188">
        <v>3</v>
      </c>
      <c r="J39" s="183" t="s">
        <v>473</v>
      </c>
      <c r="K39" s="183">
        <f>SUMIF('CF.1'!$D:$D,'CFS(2개월)'!G39,'CF.1'!$U:$U)</f>
        <v>0</v>
      </c>
      <c r="L39" s="183">
        <f>SUMIF('CF.1_2개월(단순차감)'!D:D,'CFS(2개월)'!G39,'CF.1_2개월(단순차감)'!AB:AB)</f>
        <v>0</v>
      </c>
      <c r="M39" s="186">
        <f t="shared" si="1"/>
        <v>0</v>
      </c>
      <c r="O39" s="191"/>
      <c r="P39" s="183">
        <f t="shared" si="0"/>
        <v>0</v>
      </c>
      <c r="Q39" s="184"/>
    </row>
    <row r="40" spans="4:17" ht="18" customHeight="1">
      <c r="D40" s="185">
        <v>2020</v>
      </c>
      <c r="E40" s="183">
        <v>12</v>
      </c>
      <c r="F40" s="183" t="s">
        <v>632</v>
      </c>
      <c r="G40" s="183" t="s">
        <v>749</v>
      </c>
      <c r="H40" s="183" t="s">
        <v>750</v>
      </c>
      <c r="I40" s="188">
        <v>3</v>
      </c>
      <c r="J40" s="183" t="s">
        <v>473</v>
      </c>
      <c r="K40" s="183">
        <f>SUMIF('CF.1'!$D:$D,'CFS(2개월)'!G40,'CF.1'!$U:$U)</f>
        <v>0</v>
      </c>
      <c r="L40" s="183">
        <f>SUMIF('CF.1_2개월(단순차감)'!D:D,'CFS(2개월)'!G40,'CF.1_2개월(단순차감)'!AB:AB)</f>
        <v>0</v>
      </c>
      <c r="M40" s="186">
        <f t="shared" si="1"/>
        <v>0</v>
      </c>
      <c r="O40" s="191"/>
      <c r="P40" s="183">
        <f t="shared" si="0"/>
        <v>0</v>
      </c>
      <c r="Q40" s="184"/>
    </row>
    <row r="41" spans="4:17" ht="18" customHeight="1">
      <c r="D41" s="185">
        <v>2020</v>
      </c>
      <c r="E41" s="183">
        <v>12</v>
      </c>
      <c r="F41" s="183" t="s">
        <v>632</v>
      </c>
      <c r="G41" s="183" t="s">
        <v>751</v>
      </c>
      <c r="H41" s="183" t="s">
        <v>752</v>
      </c>
      <c r="I41" s="188">
        <v>3</v>
      </c>
      <c r="J41" s="183" t="s">
        <v>473</v>
      </c>
      <c r="K41" s="183">
        <f>SUMIF('CF.1'!$D:$D,'CFS(2개월)'!G41,'CF.1'!$U:$U)</f>
        <v>0</v>
      </c>
      <c r="L41" s="183">
        <f>SUMIF('CF.1_2개월(단순차감)'!D:D,'CFS(2개월)'!G41,'CF.1_2개월(단순차감)'!AB:AB)</f>
        <v>0</v>
      </c>
      <c r="M41" s="186">
        <f t="shared" si="1"/>
        <v>0</v>
      </c>
      <c r="O41" s="191"/>
      <c r="P41" s="183">
        <f t="shared" si="0"/>
        <v>0</v>
      </c>
      <c r="Q41" s="184"/>
    </row>
    <row r="42" spans="4:17" ht="18" customHeight="1">
      <c r="D42" s="185">
        <v>2020</v>
      </c>
      <c r="E42" s="183">
        <v>12</v>
      </c>
      <c r="F42" s="183" t="s">
        <v>632</v>
      </c>
      <c r="G42" s="183" t="s">
        <v>753</v>
      </c>
      <c r="H42" s="183" t="s">
        <v>754</v>
      </c>
      <c r="I42" s="188">
        <v>3</v>
      </c>
      <c r="J42" s="183" t="s">
        <v>473</v>
      </c>
      <c r="K42" s="183">
        <f>SUMIF('CF.1'!$D:$D,'CFS(2개월)'!G42,'CF.1'!$U:$U)</f>
        <v>0</v>
      </c>
      <c r="L42" s="183">
        <f>SUMIF('CF.1_2개월(단순차감)'!D:D,'CFS(2개월)'!G42,'CF.1_2개월(단순차감)'!AB:AB)</f>
        <v>0</v>
      </c>
      <c r="M42" s="186">
        <f t="shared" si="1"/>
        <v>0</v>
      </c>
      <c r="O42" s="191"/>
      <c r="P42" s="183">
        <f t="shared" si="0"/>
        <v>0</v>
      </c>
      <c r="Q42" s="184"/>
    </row>
    <row r="43" spans="4:17" ht="18" customHeight="1">
      <c r="D43" s="185">
        <v>2020</v>
      </c>
      <c r="E43" s="183">
        <v>12</v>
      </c>
      <c r="F43" s="183" t="s">
        <v>632</v>
      </c>
      <c r="G43" s="183" t="s">
        <v>755</v>
      </c>
      <c r="H43" s="183" t="s">
        <v>756</v>
      </c>
      <c r="I43" s="188">
        <v>3</v>
      </c>
      <c r="J43" s="183" t="s">
        <v>473</v>
      </c>
      <c r="K43" s="183">
        <f>SUMIF('CF.1'!$D:$D,'CFS(2개월)'!G43,'CF.1'!$U:$U)</f>
        <v>0</v>
      </c>
      <c r="L43" s="183">
        <f>SUMIF('CF.1_2개월(단순차감)'!D:D,'CFS(2개월)'!G43,'CF.1_2개월(단순차감)'!AB:AB)</f>
        <v>0</v>
      </c>
      <c r="M43" s="186">
        <f t="shared" si="1"/>
        <v>0</v>
      </c>
      <c r="O43" s="191"/>
      <c r="P43" s="183">
        <f t="shared" si="0"/>
        <v>0</v>
      </c>
      <c r="Q43" s="184"/>
    </row>
    <row r="44" spans="4:17" ht="18" customHeight="1">
      <c r="D44" s="185">
        <v>2020</v>
      </c>
      <c r="E44" s="183">
        <v>12</v>
      </c>
      <c r="F44" s="183" t="s">
        <v>632</v>
      </c>
      <c r="G44" s="183" t="s">
        <v>757</v>
      </c>
      <c r="H44" s="183" t="s">
        <v>758</v>
      </c>
      <c r="I44" s="188">
        <v>3</v>
      </c>
      <c r="J44" s="183" t="s">
        <v>473</v>
      </c>
      <c r="K44" s="183">
        <f>SUMIF('CF.1'!$D:$D,'CFS(2개월)'!G44,'CF.1'!$U:$U)</f>
        <v>-56133700</v>
      </c>
      <c r="L44" s="183">
        <f>SUMIF('CF.1_2개월(단순차감)'!D:D,'CFS(2개월)'!G44,'CF.1_2개월(단순차감)'!AB:AB)</f>
        <v>32978699</v>
      </c>
      <c r="M44" s="186">
        <f t="shared" si="1"/>
        <v>89112399</v>
      </c>
      <c r="O44" s="191"/>
      <c r="P44" s="183">
        <f t="shared" si="0"/>
        <v>-32978699</v>
      </c>
      <c r="Q44" s="184"/>
    </row>
    <row r="45" spans="4:17" ht="18" customHeight="1">
      <c r="D45" s="185">
        <v>2020</v>
      </c>
      <c r="E45" s="183">
        <v>12</v>
      </c>
      <c r="F45" s="183" t="s">
        <v>632</v>
      </c>
      <c r="G45" s="183" t="s">
        <v>759</v>
      </c>
      <c r="H45" s="183" t="s">
        <v>760</v>
      </c>
      <c r="I45" s="188">
        <v>3</v>
      </c>
      <c r="J45" s="183" t="s">
        <v>473</v>
      </c>
      <c r="K45" s="183">
        <f>SUMIF('CF.1'!$D:$D,'CFS(2개월)'!G45,'CF.1'!$U:$U)</f>
        <v>0</v>
      </c>
      <c r="L45" s="183">
        <f>SUMIF('CF.1_2개월(단순차감)'!D:D,'CFS(2개월)'!G45,'CF.1_2개월(단순차감)'!AB:AB)</f>
        <v>0</v>
      </c>
      <c r="M45" s="186">
        <f t="shared" si="1"/>
        <v>0</v>
      </c>
      <c r="O45" s="191"/>
      <c r="P45" s="183">
        <f t="shared" si="0"/>
        <v>0</v>
      </c>
      <c r="Q45" s="184"/>
    </row>
    <row r="46" spans="4:17" ht="18" customHeight="1">
      <c r="D46" s="187">
        <v>2020</v>
      </c>
      <c r="E46" s="188">
        <v>12</v>
      </c>
      <c r="F46" s="188" t="s">
        <v>632</v>
      </c>
      <c r="G46" s="188" t="s">
        <v>761</v>
      </c>
      <c r="H46" s="188" t="s">
        <v>762</v>
      </c>
      <c r="I46" s="188">
        <v>3</v>
      </c>
      <c r="J46" s="188" t="s">
        <v>473</v>
      </c>
      <c r="K46" s="188">
        <f>SUMIF('CF.1'!$D:$D,'CFS(2개월)'!G46,'CF.1'!$U:$U)</f>
        <v>0</v>
      </c>
      <c r="L46" s="183">
        <f>SUMIF('CF.1_2개월(단순차감)'!D:D,'CFS(2개월)'!G46,'CF.1_2개월(단순차감)'!AB:AB)</f>
        <v>636996048</v>
      </c>
      <c r="M46" s="189">
        <f t="shared" si="1"/>
        <v>636996048</v>
      </c>
      <c r="N46" s="190"/>
      <c r="O46" s="191"/>
      <c r="P46" s="183">
        <f t="shared" si="0"/>
        <v>-636996048</v>
      </c>
      <c r="Q46" s="192"/>
    </row>
    <row r="47" spans="4:17" ht="18" customHeight="1">
      <c r="D47" s="185">
        <v>2020</v>
      </c>
      <c r="E47" s="183">
        <v>12</v>
      </c>
      <c r="F47" s="183" t="s">
        <v>632</v>
      </c>
      <c r="G47" s="183" t="s">
        <v>763</v>
      </c>
      <c r="H47" s="183" t="s">
        <v>764</v>
      </c>
      <c r="I47" s="188">
        <v>3</v>
      </c>
      <c r="J47" s="183" t="s">
        <v>473</v>
      </c>
      <c r="K47" s="183">
        <f>SUMIF('CF.1'!$D:$D,'CFS(2개월)'!G47,'CF.1'!$U:$U)</f>
        <v>0</v>
      </c>
      <c r="L47" s="183">
        <f>SUMIF('CF.1_2개월(단순차감)'!D:D,'CFS(2개월)'!G47,'CF.1_2개월(단순차감)'!AB:AB)</f>
        <v>0</v>
      </c>
      <c r="M47" s="186">
        <f t="shared" si="1"/>
        <v>0</v>
      </c>
      <c r="O47" s="191"/>
      <c r="P47" s="183">
        <f t="shared" si="0"/>
        <v>0</v>
      </c>
      <c r="Q47" s="184"/>
    </row>
    <row r="48" spans="4:17" ht="18" customHeight="1">
      <c r="D48" s="185">
        <v>2020</v>
      </c>
      <c r="E48" s="183">
        <v>12</v>
      </c>
      <c r="F48" s="183" t="s">
        <v>632</v>
      </c>
      <c r="G48" s="183" t="s">
        <v>765</v>
      </c>
      <c r="H48" s="183" t="s">
        <v>1490</v>
      </c>
      <c r="I48" s="188">
        <v>3</v>
      </c>
      <c r="J48" s="183" t="s">
        <v>473</v>
      </c>
      <c r="K48" s="183">
        <f>SUMIF('CF.1'!$D:$D,'CFS(2개월)'!G48,'CF.1'!$U:$U)</f>
        <v>77779216</v>
      </c>
      <c r="L48" s="183">
        <f>SUMIF('CF.1_2개월(단순차감)'!D:D,'CFS(2개월)'!G48,'CF.1_2개월(단순차감)'!AB:AB)</f>
        <v>44777274</v>
      </c>
      <c r="M48" s="186">
        <f t="shared" si="1"/>
        <v>-33001942</v>
      </c>
      <c r="O48" s="191"/>
      <c r="P48" s="183">
        <f t="shared" si="0"/>
        <v>-44777274</v>
      </c>
      <c r="Q48" s="184" t="s">
        <v>1881</v>
      </c>
    </row>
    <row r="49" spans="4:17" ht="18" customHeight="1">
      <c r="D49" s="185">
        <v>2020</v>
      </c>
      <c r="E49" s="183">
        <v>12</v>
      </c>
      <c r="F49" s="183" t="s">
        <v>632</v>
      </c>
      <c r="G49" s="183" t="s">
        <v>766</v>
      </c>
      <c r="H49" s="183" t="s">
        <v>767</v>
      </c>
      <c r="I49" s="188">
        <v>3</v>
      </c>
      <c r="J49" s="183" t="s">
        <v>473</v>
      </c>
      <c r="K49" s="183">
        <f>SUMIF('CF.1'!$D:$D,'CFS(2개월)'!G49,'CF.1'!$U:$U)</f>
        <v>0</v>
      </c>
      <c r="L49" s="183">
        <f>SUMIF('CF.1_2개월(단순차감)'!D:D,'CFS(2개월)'!G49,'CF.1_2개월(단순차감)'!AB:AB)</f>
        <v>0</v>
      </c>
      <c r="M49" s="186">
        <f t="shared" si="1"/>
        <v>0</v>
      </c>
      <c r="O49" s="191"/>
      <c r="P49" s="183">
        <f t="shared" si="0"/>
        <v>0</v>
      </c>
      <c r="Q49" s="184"/>
    </row>
    <row r="50" spans="4:17" ht="18" customHeight="1">
      <c r="D50" s="185">
        <v>2020</v>
      </c>
      <c r="E50" s="183">
        <v>12</v>
      </c>
      <c r="F50" s="183" t="s">
        <v>632</v>
      </c>
      <c r="G50" s="183" t="s">
        <v>768</v>
      </c>
      <c r="H50" s="183" t="s">
        <v>769</v>
      </c>
      <c r="I50" s="188">
        <v>3</v>
      </c>
      <c r="J50" s="183" t="s">
        <v>473</v>
      </c>
      <c r="K50" s="183">
        <f>SUMIF('CF.1'!$D:$D,'CFS(2개월)'!G50,'CF.1'!$U:$U)</f>
        <v>0</v>
      </c>
      <c r="L50" s="183">
        <f>SUMIF('CF.1_2개월(단순차감)'!D:D,'CFS(2개월)'!G50,'CF.1_2개월(단순차감)'!AB:AB)</f>
        <v>0</v>
      </c>
      <c r="M50" s="186">
        <f t="shared" si="1"/>
        <v>0</v>
      </c>
      <c r="O50" s="191"/>
      <c r="P50" s="183">
        <f t="shared" si="0"/>
        <v>0</v>
      </c>
      <c r="Q50" s="184"/>
    </row>
    <row r="51" spans="4:17" ht="18" customHeight="1">
      <c r="D51" s="185">
        <v>2020</v>
      </c>
      <c r="E51" s="183">
        <v>12</v>
      </c>
      <c r="F51" s="183" t="s">
        <v>632</v>
      </c>
      <c r="G51" s="183" t="s">
        <v>770</v>
      </c>
      <c r="H51" s="183" t="s">
        <v>771</v>
      </c>
      <c r="I51" s="188">
        <v>3</v>
      </c>
      <c r="J51" s="183" t="s">
        <v>473</v>
      </c>
      <c r="K51" s="183">
        <f>SUMIF('CF.1'!$D:$D,'CFS(2개월)'!G51,'CF.1'!$U:$U)</f>
        <v>0</v>
      </c>
      <c r="L51" s="183">
        <f>SUMIF('CF.1_2개월(단순차감)'!D:D,'CFS(2개월)'!G51,'CF.1_2개월(단순차감)'!AB:AB)</f>
        <v>0</v>
      </c>
      <c r="M51" s="186">
        <f t="shared" si="1"/>
        <v>0</v>
      </c>
      <c r="O51" s="191"/>
      <c r="P51" s="183">
        <f t="shared" si="0"/>
        <v>0</v>
      </c>
      <c r="Q51" s="184"/>
    </row>
    <row r="52" spans="4:17" ht="18" customHeight="1">
      <c r="D52" s="185">
        <v>2020</v>
      </c>
      <c r="E52" s="183">
        <v>12</v>
      </c>
      <c r="F52" s="183" t="s">
        <v>632</v>
      </c>
      <c r="G52" s="183" t="s">
        <v>772</v>
      </c>
      <c r="H52" s="183" t="s">
        <v>260</v>
      </c>
      <c r="I52" s="188">
        <v>3</v>
      </c>
      <c r="J52" s="183" t="s">
        <v>473</v>
      </c>
      <c r="K52" s="183">
        <f>SUMIF('CF.1'!$D:$D,'CFS(2개월)'!G52,'CF.1'!$U:$U)</f>
        <v>0</v>
      </c>
      <c r="L52" s="183">
        <f>SUMIF('CF.1_2개월(단순차감)'!D:D,'CFS(2개월)'!G52,'CF.1_2개월(단순차감)'!AB:AB)</f>
        <v>0</v>
      </c>
      <c r="M52" s="186">
        <f t="shared" si="1"/>
        <v>0</v>
      </c>
      <c r="O52" s="191"/>
      <c r="P52" s="183">
        <f t="shared" si="0"/>
        <v>0</v>
      </c>
      <c r="Q52" s="184"/>
    </row>
    <row r="53" spans="4:17" ht="18" customHeight="1">
      <c r="D53" s="185">
        <v>2020</v>
      </c>
      <c r="E53" s="183">
        <v>12</v>
      </c>
      <c r="F53" s="183" t="s">
        <v>632</v>
      </c>
      <c r="G53" s="183" t="s">
        <v>773</v>
      </c>
      <c r="H53" s="183" t="s">
        <v>774</v>
      </c>
      <c r="I53" s="188">
        <v>3</v>
      </c>
      <c r="J53" s="183" t="s">
        <v>473</v>
      </c>
      <c r="K53" s="183">
        <f>SUMIF('CF.1'!$D:$D,'CFS(2개월)'!G53,'CF.1'!$U:$U)</f>
        <v>0</v>
      </c>
      <c r="L53" s="183">
        <f>SUMIF('CF.1_2개월(단순차감)'!D:D,'CFS(2개월)'!G53,'CF.1_2개월(단순차감)'!AB:AB)</f>
        <v>0</v>
      </c>
      <c r="M53" s="186">
        <f t="shared" si="1"/>
        <v>0</v>
      </c>
      <c r="O53" s="191"/>
      <c r="P53" s="183">
        <f t="shared" si="0"/>
        <v>0</v>
      </c>
      <c r="Q53" s="184"/>
    </row>
    <row r="54" spans="4:17" ht="18" customHeight="1">
      <c r="D54" s="185">
        <v>2020</v>
      </c>
      <c r="E54" s="183">
        <v>12</v>
      </c>
      <c r="F54" s="183" t="s">
        <v>632</v>
      </c>
      <c r="G54" s="183" t="s">
        <v>775</v>
      </c>
      <c r="H54" s="183" t="s">
        <v>776</v>
      </c>
      <c r="I54" s="188">
        <v>3</v>
      </c>
      <c r="J54" s="183" t="s">
        <v>473</v>
      </c>
      <c r="K54" s="183">
        <f>SUMIF('CF.1'!$D:$D,'CFS(2개월)'!G54,'CF.1'!$U:$U)</f>
        <v>0</v>
      </c>
      <c r="L54" s="183">
        <f>SUMIF('CF.1_2개월(단순차감)'!D:D,'CFS(2개월)'!G54,'CF.1_2개월(단순차감)'!AB:AB)</f>
        <v>0</v>
      </c>
      <c r="M54" s="186">
        <f t="shared" si="1"/>
        <v>0</v>
      </c>
      <c r="O54" s="191"/>
      <c r="P54" s="183">
        <f t="shared" si="0"/>
        <v>0</v>
      </c>
      <c r="Q54" s="184"/>
    </row>
    <row r="55" spans="4:17" ht="18" customHeight="1">
      <c r="D55" s="185">
        <v>2020</v>
      </c>
      <c r="E55" s="183">
        <v>12</v>
      </c>
      <c r="F55" s="183" t="s">
        <v>632</v>
      </c>
      <c r="G55" s="183" t="s">
        <v>777</v>
      </c>
      <c r="H55" s="183" t="s">
        <v>778</v>
      </c>
      <c r="I55" s="188">
        <v>3</v>
      </c>
      <c r="J55" s="183" t="s">
        <v>473</v>
      </c>
      <c r="K55" s="183">
        <f>SUMIF('CF.1'!$D:$D,'CFS(2개월)'!G55,'CF.1'!$U:$U)</f>
        <v>0</v>
      </c>
      <c r="L55" s="183">
        <f>SUMIF('CF.1_2개월(단순차감)'!D:D,'CFS(2개월)'!G55,'CF.1_2개월(단순차감)'!AB:AB)</f>
        <v>0</v>
      </c>
      <c r="M55" s="186">
        <f t="shared" si="1"/>
        <v>0</v>
      </c>
      <c r="O55" s="191"/>
      <c r="P55" s="183">
        <f t="shared" si="0"/>
        <v>0</v>
      </c>
      <c r="Q55" s="184"/>
    </row>
    <row r="56" spans="4:17" ht="18" customHeight="1">
      <c r="D56" s="185">
        <v>2020</v>
      </c>
      <c r="E56" s="183">
        <v>12</v>
      </c>
      <c r="F56" s="183" t="s">
        <v>632</v>
      </c>
      <c r="G56" s="183" t="s">
        <v>779</v>
      </c>
      <c r="H56" s="183" t="s">
        <v>780</v>
      </c>
      <c r="I56" s="188">
        <v>3</v>
      </c>
      <c r="J56" s="183" t="s">
        <v>473</v>
      </c>
      <c r="K56" s="183">
        <f>SUMIF('CF.1'!$D:$D,'CFS(2개월)'!G56,'CF.1'!$U:$U)</f>
        <v>0</v>
      </c>
      <c r="L56" s="183">
        <f>SUMIF('CF.1_2개월(단순차감)'!D:D,'CFS(2개월)'!G56,'CF.1_2개월(단순차감)'!AB:AB)</f>
        <v>0</v>
      </c>
      <c r="M56" s="186">
        <f t="shared" si="1"/>
        <v>0</v>
      </c>
      <c r="O56" s="191"/>
      <c r="P56" s="183">
        <f t="shared" si="0"/>
        <v>0</v>
      </c>
      <c r="Q56" s="184"/>
    </row>
    <row r="57" spans="4:17" ht="18" customHeight="1">
      <c r="D57" s="185">
        <v>2020</v>
      </c>
      <c r="E57" s="183">
        <v>12</v>
      </c>
      <c r="F57" s="183" t="s">
        <v>632</v>
      </c>
      <c r="G57" s="183" t="s">
        <v>781</v>
      </c>
      <c r="H57" s="183" t="s">
        <v>688</v>
      </c>
      <c r="I57" s="188">
        <v>3</v>
      </c>
      <c r="J57" s="183" t="s">
        <v>473</v>
      </c>
      <c r="K57" s="183">
        <f>SUMIF('CF.1'!$D:$D,'CFS(2개월)'!G57,'CF.1'!$U:$U)</f>
        <v>0</v>
      </c>
      <c r="L57" s="183">
        <f>SUMIF('CF.1_2개월(단순차감)'!D:D,'CFS(2개월)'!G57,'CF.1_2개월(단순차감)'!AB:AB)</f>
        <v>0</v>
      </c>
      <c r="M57" s="186">
        <f t="shared" si="1"/>
        <v>0</v>
      </c>
      <c r="O57" s="191"/>
      <c r="P57" s="183">
        <f t="shared" si="0"/>
        <v>0</v>
      </c>
      <c r="Q57" s="184"/>
    </row>
    <row r="58" spans="4:17" ht="18" customHeight="1">
      <c r="D58" s="185">
        <v>2020</v>
      </c>
      <c r="E58" s="183">
        <v>12</v>
      </c>
      <c r="F58" s="183" t="s">
        <v>632</v>
      </c>
      <c r="G58" s="183" t="s">
        <v>782</v>
      </c>
      <c r="H58" s="183" t="s">
        <v>681</v>
      </c>
      <c r="I58" s="188">
        <v>3</v>
      </c>
      <c r="J58" s="183" t="s">
        <v>473</v>
      </c>
      <c r="K58" s="183">
        <f>SUMIF('CF.1'!$D:$D,'CFS(2개월)'!G58,'CF.1'!$U:$U)</f>
        <v>195958275</v>
      </c>
      <c r="L58" s="183">
        <f>SUMIF('CF.1_2개월(단순차감)'!D:D,'CFS(2개월)'!G58,'CF.1_2개월(단순차감)'!AB:AB)</f>
        <v>46277451</v>
      </c>
      <c r="M58" s="186">
        <f t="shared" si="1"/>
        <v>-149680824</v>
      </c>
      <c r="O58" s="191"/>
      <c r="P58" s="183">
        <f t="shared" si="0"/>
        <v>-46277451</v>
      </c>
      <c r="Q58" s="184"/>
    </row>
    <row r="59" spans="4:17" ht="18" customHeight="1">
      <c r="D59" s="185">
        <v>2020</v>
      </c>
      <c r="E59" s="183">
        <v>12</v>
      </c>
      <c r="F59" s="183" t="s">
        <v>632</v>
      </c>
      <c r="G59" s="183" t="s">
        <v>783</v>
      </c>
      <c r="H59" s="183" t="s">
        <v>380</v>
      </c>
      <c r="I59" s="188">
        <v>3</v>
      </c>
      <c r="J59" s="183" t="s">
        <v>473</v>
      </c>
      <c r="K59" s="183">
        <f>SUMIF('CF.1'!$D:$D,'CFS(2개월)'!G59,'CF.1'!$U:$U)</f>
        <v>315254908</v>
      </c>
      <c r="L59" s="183">
        <f>SUMIF('CF.1_2개월(단순차감)'!D:D,'CFS(2개월)'!G59,'CF.1_2개월(단순차감)'!AB:AB)</f>
        <v>-222318921</v>
      </c>
      <c r="M59" s="186">
        <f t="shared" si="1"/>
        <v>-537573829</v>
      </c>
      <c r="O59" s="191"/>
      <c r="P59" s="183">
        <f t="shared" si="0"/>
        <v>222318921</v>
      </c>
      <c r="Q59" s="184"/>
    </row>
    <row r="60" spans="4:17" ht="18" customHeight="1">
      <c r="D60" s="185">
        <v>2020</v>
      </c>
      <c r="E60" s="183">
        <v>12</v>
      </c>
      <c r="F60" s="183" t="s">
        <v>632</v>
      </c>
      <c r="G60" s="183" t="s">
        <v>1491</v>
      </c>
      <c r="H60" s="183" t="s">
        <v>1492</v>
      </c>
      <c r="I60" s="188">
        <v>3</v>
      </c>
      <c r="J60" s="183" t="s">
        <v>473</v>
      </c>
      <c r="K60" s="183">
        <f>SUMIF('CF.1'!$D:$D,'CFS(2개월)'!G60,'CF.1'!$U:$U)</f>
        <v>0</v>
      </c>
      <c r="L60" s="183">
        <f>SUMIF('CF.1_2개월(단순차감)'!D:D,'CFS(2개월)'!G60,'CF.1_2개월(단순차감)'!AB:AB)</f>
        <v>0</v>
      </c>
      <c r="M60" s="186">
        <f t="shared" si="1"/>
        <v>0</v>
      </c>
      <c r="O60" s="191"/>
      <c r="P60" s="183">
        <f t="shared" si="0"/>
        <v>0</v>
      </c>
      <c r="Q60" s="184"/>
    </row>
    <row r="61" spans="4:17" ht="18" customHeight="1">
      <c r="D61" s="185">
        <v>2020</v>
      </c>
      <c r="E61" s="183">
        <v>12</v>
      </c>
      <c r="F61" s="183" t="s">
        <v>632</v>
      </c>
      <c r="G61" s="183" t="s">
        <v>2203</v>
      </c>
      <c r="H61" s="183" t="s">
        <v>801</v>
      </c>
      <c r="I61" s="188">
        <v>3</v>
      </c>
      <c r="J61" s="183" t="s">
        <v>473</v>
      </c>
      <c r="K61" s="183">
        <f>SUMIF('CF.1'!$D:$D,'CFS(2개월)'!G61,'CF.1'!$U:$U)</f>
        <v>0</v>
      </c>
      <c r="L61" s="183">
        <f>SUMIF('CF.1_2개월(단순차감)'!D:D,'CFS(2개월)'!G61,'CF.1_2개월(단순차감)'!AB:AB)</f>
        <v>15150082225</v>
      </c>
      <c r="M61" s="186">
        <f t="shared" si="1"/>
        <v>15150082225</v>
      </c>
      <c r="O61" s="191"/>
      <c r="P61" s="183">
        <f t="shared" si="0"/>
        <v>-15150082225</v>
      </c>
      <c r="Q61" s="184"/>
    </row>
    <row r="62" spans="4:17" ht="18" customHeight="1">
      <c r="D62" s="185">
        <v>2020</v>
      </c>
      <c r="E62" s="183">
        <v>12</v>
      </c>
      <c r="F62" s="183" t="s">
        <v>632</v>
      </c>
      <c r="G62" s="183" t="s">
        <v>802</v>
      </c>
      <c r="H62" s="183" t="s">
        <v>1493</v>
      </c>
      <c r="I62" s="188">
        <v>3</v>
      </c>
      <c r="J62" s="183" t="s">
        <v>473</v>
      </c>
      <c r="K62" s="183">
        <f>SUMIF('CF.1'!$D:$D,'CFS(2개월)'!G62,'CF.1'!$U:$U)</f>
        <v>42135654</v>
      </c>
      <c r="L62" s="183">
        <f>SUMIF('CF.1_2개월(단순차감)'!D:D,'CFS(2개월)'!G62,'CF.1_2개월(단순차감)'!AB:AB)</f>
        <v>0</v>
      </c>
      <c r="M62" s="186">
        <f t="shared" si="1"/>
        <v>-42135654</v>
      </c>
      <c r="O62" s="191"/>
      <c r="P62" s="183">
        <f t="shared" si="0"/>
        <v>0</v>
      </c>
      <c r="Q62" s="184"/>
    </row>
    <row r="63" spans="4:17" ht="18" customHeight="1">
      <c r="D63" s="179">
        <v>2020</v>
      </c>
      <c r="E63" s="180">
        <v>12</v>
      </c>
      <c r="F63" s="180" t="s">
        <v>632</v>
      </c>
      <c r="G63" s="180" t="s">
        <v>804</v>
      </c>
      <c r="H63" s="180" t="s">
        <v>805</v>
      </c>
      <c r="I63" s="180">
        <v>2</v>
      </c>
      <c r="J63" s="180" t="s">
        <v>473</v>
      </c>
      <c r="K63" s="180">
        <f>SUM(K64:K106)</f>
        <v>-7846130976</v>
      </c>
      <c r="L63" s="180">
        <f>SUM(L64:L106)</f>
        <v>-1778586844</v>
      </c>
      <c r="M63" s="181">
        <f>SUM(M64:M106)</f>
        <v>2556918445</v>
      </c>
      <c r="O63" s="182"/>
      <c r="P63" s="183">
        <f t="shared" si="0"/>
        <v>1778586844</v>
      </c>
      <c r="Q63" s="184"/>
    </row>
    <row r="64" spans="4:17" ht="18" customHeight="1">
      <c r="D64" s="187">
        <v>2020</v>
      </c>
      <c r="E64" s="188">
        <v>12</v>
      </c>
      <c r="F64" s="188" t="s">
        <v>632</v>
      </c>
      <c r="G64" s="188" t="s">
        <v>806</v>
      </c>
      <c r="H64" s="188" t="s">
        <v>675</v>
      </c>
      <c r="I64" s="188">
        <v>3</v>
      </c>
      <c r="J64" s="188" t="s">
        <v>473</v>
      </c>
      <c r="K64" s="188">
        <f>SUMIF('CF.1'!$D:$D,'CFS(2개월)'!G64,'CF.1'!$U:$U)</f>
        <v>-1557307639</v>
      </c>
      <c r="L64" s="183">
        <f>SUMIF('CF.1_2개월(단순차감)'!D:D,'CFS(2개월)'!G64,'CF.1_2개월(단순차감)'!AB:AB)</f>
        <v>-140323834</v>
      </c>
      <c r="M64" s="189">
        <f t="shared" ref="M64:M106" si="2">L64-K64</f>
        <v>1416983805</v>
      </c>
      <c r="O64" s="191"/>
      <c r="P64" s="183">
        <f t="shared" si="0"/>
        <v>140323834</v>
      </c>
      <c r="Q64" s="184"/>
    </row>
    <row r="65" spans="4:17" s="190" customFormat="1" ht="18" customHeight="1">
      <c r="D65" s="187">
        <v>2020</v>
      </c>
      <c r="E65" s="188">
        <v>12</v>
      </c>
      <c r="F65" s="188" t="s">
        <v>632</v>
      </c>
      <c r="G65" s="188" t="s">
        <v>807</v>
      </c>
      <c r="H65" s="188" t="s">
        <v>808</v>
      </c>
      <c r="I65" s="188">
        <v>3</v>
      </c>
      <c r="J65" s="188" t="s">
        <v>473</v>
      </c>
      <c r="K65" s="188">
        <v>0</v>
      </c>
      <c r="L65" s="183">
        <f>SUMIF('CF.1_2개월(단순차감)'!D:D,'CFS(2개월)'!G65,'CF.1_2개월(단순차감)'!AB:AB)</f>
        <v>0</v>
      </c>
      <c r="M65" s="189">
        <f t="shared" si="2"/>
        <v>0</v>
      </c>
      <c r="O65" s="191"/>
      <c r="P65" s="183">
        <f t="shared" si="0"/>
        <v>0</v>
      </c>
      <c r="Q65" s="192"/>
    </row>
    <row r="66" spans="4:17" s="190" customFormat="1" ht="18" customHeight="1">
      <c r="D66" s="187">
        <v>2020</v>
      </c>
      <c r="E66" s="188">
        <v>12</v>
      </c>
      <c r="F66" s="188" t="s">
        <v>632</v>
      </c>
      <c r="G66" s="188" t="s">
        <v>809</v>
      </c>
      <c r="H66" s="188" t="s">
        <v>810</v>
      </c>
      <c r="I66" s="188">
        <v>3</v>
      </c>
      <c r="J66" s="188" t="s">
        <v>473</v>
      </c>
      <c r="K66" s="188">
        <f>SUMIF('CF.1'!$D:$D,'CFS(2개월)'!G66,'CF.1'!$U:$U)</f>
        <v>0</v>
      </c>
      <c r="L66" s="183">
        <f>SUMIF('CF.1_2개월(단순차감)'!D:D,'CFS(2개월)'!G66,'CF.1_2개월(단순차감)'!AB:AB)</f>
        <v>-770071633</v>
      </c>
      <c r="M66" s="189">
        <f t="shared" si="2"/>
        <v>-770071633</v>
      </c>
      <c r="O66" s="191"/>
      <c r="P66" s="183">
        <f t="shared" si="0"/>
        <v>770071633</v>
      </c>
      <c r="Q66" s="192"/>
    </row>
    <row r="67" spans="4:17" s="190" customFormat="1" ht="18" customHeight="1">
      <c r="D67" s="187">
        <v>2020</v>
      </c>
      <c r="E67" s="188">
        <v>12</v>
      </c>
      <c r="F67" s="188" t="s">
        <v>632</v>
      </c>
      <c r="G67" s="188" t="s">
        <v>1494</v>
      </c>
      <c r="H67" s="188" t="s">
        <v>1495</v>
      </c>
      <c r="I67" s="188">
        <v>3</v>
      </c>
      <c r="J67" s="188" t="s">
        <v>473</v>
      </c>
      <c r="K67" s="188">
        <f>SUMIF('CF.1'!$D:$D,'CFS(2개월)'!G67,'CF.1'!$U:$U)</f>
        <v>0</v>
      </c>
      <c r="L67" s="183">
        <f>SUMIF('CF.1_2개월(단순차감)'!D:D,'CFS(2개월)'!G67,'CF.1_2개월(단순차감)'!AB:AB)</f>
        <v>0</v>
      </c>
      <c r="M67" s="189">
        <f t="shared" si="2"/>
        <v>0</v>
      </c>
      <c r="O67" s="191"/>
      <c r="P67" s="183">
        <f t="shared" si="0"/>
        <v>0</v>
      </c>
      <c r="Q67" s="192"/>
    </row>
    <row r="68" spans="4:17" ht="18" customHeight="1">
      <c r="D68" s="187">
        <v>2020</v>
      </c>
      <c r="E68" s="188">
        <v>12</v>
      </c>
      <c r="F68" s="188" t="s">
        <v>632</v>
      </c>
      <c r="G68" s="188" t="s">
        <v>1496</v>
      </c>
      <c r="H68" s="188" t="s">
        <v>1497</v>
      </c>
      <c r="I68" s="188">
        <v>3</v>
      </c>
      <c r="J68" s="188" t="s">
        <v>473</v>
      </c>
      <c r="K68" s="188">
        <f>SUMIF('CF.1'!$D:$D,'CFS(2개월)'!G68,'CF.1'!$U:$U)</f>
        <v>0</v>
      </c>
      <c r="L68" s="183">
        <f>SUMIF('CF.1_2개월(단순차감)'!D:D,'CFS(2개월)'!G68,'CF.1_2개월(단순차감)'!AB:AB)</f>
        <v>0</v>
      </c>
      <c r="M68" s="189">
        <f t="shared" si="2"/>
        <v>0</v>
      </c>
      <c r="O68" s="191"/>
      <c r="P68" s="183">
        <f t="shared" si="0"/>
        <v>0</v>
      </c>
      <c r="Q68" s="184"/>
    </row>
    <row r="69" spans="4:17" ht="18" customHeight="1">
      <c r="D69" s="187">
        <v>2020</v>
      </c>
      <c r="E69" s="188">
        <v>12</v>
      </c>
      <c r="F69" s="188" t="s">
        <v>632</v>
      </c>
      <c r="G69" s="188" t="s">
        <v>811</v>
      </c>
      <c r="H69" s="188" t="s">
        <v>812</v>
      </c>
      <c r="I69" s="188">
        <v>3</v>
      </c>
      <c r="J69" s="188" t="s">
        <v>473</v>
      </c>
      <c r="K69" s="188">
        <f>SUMIF('CF.1'!$D:$D,'CFS(2개월)'!G69,'CF.1'!$U:$U)</f>
        <v>0</v>
      </c>
      <c r="L69" s="183">
        <f>SUMIF('CF.1_2개월(단순차감)'!D:D,'CFS(2개월)'!G69,'CF.1_2개월(단순차감)'!AB:AB)</f>
        <v>0</v>
      </c>
      <c r="M69" s="189">
        <f t="shared" si="2"/>
        <v>0</v>
      </c>
      <c r="O69" s="191"/>
      <c r="P69" s="183">
        <f t="shared" si="0"/>
        <v>0</v>
      </c>
      <c r="Q69" s="184"/>
    </row>
    <row r="70" spans="4:17" ht="18" customHeight="1">
      <c r="D70" s="187">
        <v>2020</v>
      </c>
      <c r="E70" s="188">
        <v>12</v>
      </c>
      <c r="F70" s="188" t="s">
        <v>632</v>
      </c>
      <c r="G70" s="188" t="s">
        <v>880</v>
      </c>
      <c r="H70" s="188" t="s">
        <v>881</v>
      </c>
      <c r="I70" s="188">
        <v>3</v>
      </c>
      <c r="J70" s="188" t="s">
        <v>473</v>
      </c>
      <c r="K70" s="188">
        <f>SUMIF('CF.1'!$D:$D,'CFS(2개월)'!G70,'CF.1'!$U:$U)</f>
        <v>0</v>
      </c>
      <c r="L70" s="183">
        <f>SUMIF('CF.1_2개월(단순차감)'!D:D,'CFS(2개월)'!G70,'CF.1_2개월(단순차감)'!AB:AB)</f>
        <v>0</v>
      </c>
      <c r="M70" s="189"/>
      <c r="O70" s="191"/>
      <c r="P70" s="183">
        <f t="shared" si="0"/>
        <v>0</v>
      </c>
      <c r="Q70" s="184"/>
    </row>
    <row r="71" spans="4:17" ht="18" customHeight="1">
      <c r="D71" s="187">
        <v>2020</v>
      </c>
      <c r="E71" s="188">
        <v>12</v>
      </c>
      <c r="F71" s="188" t="s">
        <v>632</v>
      </c>
      <c r="G71" s="188" t="s">
        <v>882</v>
      </c>
      <c r="H71" s="188" t="s">
        <v>883</v>
      </c>
      <c r="I71" s="188">
        <v>3</v>
      </c>
      <c r="J71" s="188" t="s">
        <v>473</v>
      </c>
      <c r="K71" s="188">
        <f>SUMIF('CF.1'!$D:$D,'CFS(2개월)'!G71,'CF.1'!$U:$U)</f>
        <v>-3510625687</v>
      </c>
      <c r="L71" s="183">
        <f>SUMIF('CF.1_2개월(단순차감)'!D:D,'CFS(2개월)'!G71,'CF.1_2개월(단순차감)'!AB:AB)</f>
        <v>0</v>
      </c>
      <c r="M71" s="189"/>
      <c r="O71" s="191"/>
      <c r="P71" s="183">
        <f t="shared" ref="P71:P136" si="3">O71-L71</f>
        <v>0</v>
      </c>
      <c r="Q71" s="184"/>
    </row>
    <row r="72" spans="4:17" ht="18" customHeight="1">
      <c r="D72" s="185">
        <v>2020</v>
      </c>
      <c r="E72" s="183">
        <v>12</v>
      </c>
      <c r="F72" s="183" t="s">
        <v>632</v>
      </c>
      <c r="G72" s="183" t="s">
        <v>813</v>
      </c>
      <c r="H72" s="183" t="s">
        <v>814</v>
      </c>
      <c r="I72" s="183">
        <v>3</v>
      </c>
      <c r="J72" s="183" t="s">
        <v>473</v>
      </c>
      <c r="K72" s="183">
        <f>SUMIF('CF.1'!$D:$D,'CFS(2개월)'!G72,'CF.1'!$U:$U)</f>
        <v>0</v>
      </c>
      <c r="L72" s="183">
        <f>SUMIF('CF.1_2개월(단순차감)'!D:D,'CFS(2개월)'!G72,'CF.1_2개월(단순차감)'!AB:AB)</f>
        <v>0</v>
      </c>
      <c r="M72" s="186">
        <f t="shared" si="2"/>
        <v>0</v>
      </c>
      <c r="O72" s="191"/>
      <c r="P72" s="183">
        <f t="shared" si="3"/>
        <v>0</v>
      </c>
      <c r="Q72" s="184"/>
    </row>
    <row r="73" spans="4:17" ht="18" customHeight="1">
      <c r="D73" s="185">
        <v>2020</v>
      </c>
      <c r="E73" s="183">
        <v>12</v>
      </c>
      <c r="F73" s="183" t="s">
        <v>632</v>
      </c>
      <c r="G73" s="183" t="s">
        <v>815</v>
      </c>
      <c r="H73" s="183" t="s">
        <v>816</v>
      </c>
      <c r="I73" s="183">
        <v>3</v>
      </c>
      <c r="J73" s="183" t="s">
        <v>473</v>
      </c>
      <c r="K73" s="183">
        <f>SUMIF('CF.1'!$D:$D,'CFS(2개월)'!G73,'CF.1'!$U:$U)</f>
        <v>5865724</v>
      </c>
      <c r="L73" s="183">
        <f>SUMIF('CF.1_2개월(단순차감)'!D:D,'CFS(2개월)'!G73,'CF.1_2개월(단순차감)'!AB:AB)</f>
        <v>0</v>
      </c>
      <c r="M73" s="186">
        <f t="shared" si="2"/>
        <v>-5865724</v>
      </c>
      <c r="O73" s="191"/>
      <c r="P73" s="183">
        <f t="shared" si="3"/>
        <v>0</v>
      </c>
      <c r="Q73" s="184"/>
    </row>
    <row r="74" spans="4:17" ht="18" customHeight="1">
      <c r="D74" s="185">
        <v>2020</v>
      </c>
      <c r="E74" s="183">
        <v>12</v>
      </c>
      <c r="F74" s="183" t="s">
        <v>632</v>
      </c>
      <c r="G74" s="183" t="s">
        <v>817</v>
      </c>
      <c r="H74" s="183" t="s">
        <v>818</v>
      </c>
      <c r="I74" s="183">
        <v>3</v>
      </c>
      <c r="J74" s="183" t="s">
        <v>473</v>
      </c>
      <c r="K74" s="183">
        <f>SUMIF('CF.1'!$D:$D,'CFS(2개월)'!G74,'CF.1'!$U:$U)</f>
        <v>0</v>
      </c>
      <c r="L74" s="183">
        <f>SUMIF('CF.1_2개월(단순차감)'!D:D,'CFS(2개월)'!G74,'CF.1_2개월(단순차감)'!AB:AB)</f>
        <v>-24157280</v>
      </c>
      <c r="M74" s="186">
        <f t="shared" si="2"/>
        <v>-24157280</v>
      </c>
      <c r="O74" s="191"/>
      <c r="P74" s="183">
        <f t="shared" si="3"/>
        <v>24157280</v>
      </c>
      <c r="Q74" s="184"/>
    </row>
    <row r="75" spans="4:17" ht="18" customHeight="1">
      <c r="D75" s="185">
        <v>2020</v>
      </c>
      <c r="E75" s="183">
        <v>12</v>
      </c>
      <c r="F75" s="183" t="s">
        <v>632</v>
      </c>
      <c r="G75" s="183" t="s">
        <v>819</v>
      </c>
      <c r="H75" s="183" t="s">
        <v>820</v>
      </c>
      <c r="I75" s="183">
        <v>3</v>
      </c>
      <c r="J75" s="183" t="s">
        <v>473</v>
      </c>
      <c r="K75" s="183">
        <f>SUMIF('CF.1'!$D:$D,'CFS(2개월)'!G75,'CF.1'!$U:$U)</f>
        <v>0</v>
      </c>
      <c r="L75" s="183">
        <f>SUMIF('CF.1_2개월(단순차감)'!D:D,'CFS(2개월)'!G75,'CF.1_2개월(단순차감)'!AB:AB)</f>
        <v>0</v>
      </c>
      <c r="M75" s="186">
        <f t="shared" si="2"/>
        <v>0</v>
      </c>
      <c r="O75" s="191"/>
      <c r="P75" s="183">
        <f t="shared" si="3"/>
        <v>0</v>
      </c>
      <c r="Q75" s="184"/>
    </row>
    <row r="76" spans="4:17" ht="18" customHeight="1">
      <c r="D76" s="185">
        <v>2020</v>
      </c>
      <c r="E76" s="183">
        <v>12</v>
      </c>
      <c r="F76" s="183" t="s">
        <v>632</v>
      </c>
      <c r="G76" s="183" t="s">
        <v>821</v>
      </c>
      <c r="H76" s="183" t="s">
        <v>822</v>
      </c>
      <c r="I76" s="183">
        <v>3</v>
      </c>
      <c r="J76" s="183" t="s">
        <v>473</v>
      </c>
      <c r="K76" s="183">
        <f>SUMIF('CF.1'!$D:$D,'CFS(2개월)'!G76,'CF.1'!$U:$U)</f>
        <v>0</v>
      </c>
      <c r="L76" s="183">
        <f>SUMIF('CF.1_2개월(단순차감)'!D:D,'CFS(2개월)'!G76,'CF.1_2개월(단순차감)'!AB:AB)</f>
        <v>0</v>
      </c>
      <c r="M76" s="186">
        <f t="shared" si="2"/>
        <v>0</v>
      </c>
      <c r="O76" s="191"/>
      <c r="P76" s="183">
        <f t="shared" si="3"/>
        <v>0</v>
      </c>
      <c r="Q76" s="184"/>
    </row>
    <row r="77" spans="4:17" ht="18" customHeight="1">
      <c r="D77" s="185">
        <v>2020</v>
      </c>
      <c r="E77" s="183">
        <v>12</v>
      </c>
      <c r="F77" s="183" t="s">
        <v>632</v>
      </c>
      <c r="G77" s="183" t="s">
        <v>823</v>
      </c>
      <c r="H77" s="183" t="s">
        <v>824</v>
      </c>
      <c r="I77" s="183">
        <v>3</v>
      </c>
      <c r="J77" s="183" t="s">
        <v>473</v>
      </c>
      <c r="K77" s="183">
        <f>SUMIF('CF.1'!$D:$D,'CFS(2개월)'!G77,'CF.1'!$U:$U)</f>
        <v>0</v>
      </c>
      <c r="L77" s="183">
        <f>SUMIF('CF.1_2개월(단순차감)'!D:D,'CFS(2개월)'!G77,'CF.1_2개월(단순차감)'!AB:AB)</f>
        <v>0</v>
      </c>
      <c r="M77" s="186">
        <f t="shared" si="2"/>
        <v>0</v>
      </c>
      <c r="O77" s="191"/>
      <c r="P77" s="183">
        <f t="shared" si="3"/>
        <v>0</v>
      </c>
      <c r="Q77" s="184"/>
    </row>
    <row r="78" spans="4:17" ht="18" customHeight="1">
      <c r="D78" s="185">
        <v>2020</v>
      </c>
      <c r="E78" s="183">
        <v>12</v>
      </c>
      <c r="F78" s="183" t="s">
        <v>632</v>
      </c>
      <c r="G78" s="183" t="s">
        <v>825</v>
      </c>
      <c r="H78" s="183" t="s">
        <v>826</v>
      </c>
      <c r="I78" s="183">
        <v>3</v>
      </c>
      <c r="J78" s="183" t="s">
        <v>473</v>
      </c>
      <c r="K78" s="183">
        <f>SUMIF('CF.1'!$D:$D,'CFS(2개월)'!G78,'CF.1'!$U:$U)</f>
        <v>0</v>
      </c>
      <c r="L78" s="183">
        <f>SUMIF('CF.1_2개월(단순차감)'!D:D,'CFS(2개월)'!G78,'CF.1_2개월(단순차감)'!AB:AB)</f>
        <v>0</v>
      </c>
      <c r="M78" s="186">
        <f t="shared" si="2"/>
        <v>0</v>
      </c>
      <c r="O78" s="191"/>
      <c r="P78" s="183">
        <f t="shared" si="3"/>
        <v>0</v>
      </c>
      <c r="Q78" s="184"/>
    </row>
    <row r="79" spans="4:17" ht="18" customHeight="1">
      <c r="D79" s="185">
        <v>2020</v>
      </c>
      <c r="E79" s="183">
        <v>12</v>
      </c>
      <c r="F79" s="183" t="s">
        <v>632</v>
      </c>
      <c r="G79" s="183" t="s">
        <v>827</v>
      </c>
      <c r="H79" s="183" t="s">
        <v>828</v>
      </c>
      <c r="I79" s="183">
        <v>3</v>
      </c>
      <c r="J79" s="183" t="s">
        <v>473</v>
      </c>
      <c r="K79" s="183">
        <f>SUMIF('CF.1'!$D:$D,'CFS(2개월)'!G79,'CF.1'!$U:$U)</f>
        <v>0</v>
      </c>
      <c r="L79" s="183">
        <f>SUMIF('CF.1_2개월(단순차감)'!D:D,'CFS(2개월)'!G79,'CF.1_2개월(단순차감)'!AB:AB)</f>
        <v>0</v>
      </c>
      <c r="M79" s="186">
        <f t="shared" si="2"/>
        <v>0</v>
      </c>
      <c r="O79" s="191"/>
      <c r="P79" s="183">
        <f t="shared" si="3"/>
        <v>0</v>
      </c>
      <c r="Q79" s="184"/>
    </row>
    <row r="80" spans="4:17" ht="18" customHeight="1">
      <c r="D80" s="185">
        <v>2020</v>
      </c>
      <c r="E80" s="183">
        <v>12</v>
      </c>
      <c r="F80" s="183" t="s">
        <v>632</v>
      </c>
      <c r="G80" s="183" t="s">
        <v>829</v>
      </c>
      <c r="H80" s="183" t="s">
        <v>830</v>
      </c>
      <c r="I80" s="183">
        <v>3</v>
      </c>
      <c r="J80" s="183" t="s">
        <v>473</v>
      </c>
      <c r="K80" s="183">
        <f>SUMIF('CF.1'!$D:$D,'CFS(2개월)'!G80,'CF.1'!$U:$U)</f>
        <v>0</v>
      </c>
      <c r="L80" s="183">
        <f>SUMIF('CF.1_2개월(단순차감)'!D:D,'CFS(2개월)'!G80,'CF.1_2개월(단순차감)'!AB:AB)</f>
        <v>0</v>
      </c>
      <c r="M80" s="186">
        <f t="shared" si="2"/>
        <v>0</v>
      </c>
      <c r="O80" s="191"/>
      <c r="P80" s="183">
        <f t="shared" si="3"/>
        <v>0</v>
      </c>
      <c r="Q80" s="184"/>
    </row>
    <row r="81" spans="4:17" ht="18" customHeight="1">
      <c r="D81" s="185">
        <v>2020</v>
      </c>
      <c r="E81" s="183">
        <v>12</v>
      </c>
      <c r="F81" s="183" t="s">
        <v>632</v>
      </c>
      <c r="G81" s="183" t="s">
        <v>831</v>
      </c>
      <c r="H81" s="183" t="s">
        <v>832</v>
      </c>
      <c r="I81" s="183">
        <v>3</v>
      </c>
      <c r="J81" s="183" t="s">
        <v>473</v>
      </c>
      <c r="K81" s="183">
        <f>SUMIF('CF.1'!$D:$D,'CFS(2개월)'!G81,'CF.1'!$U:$U)</f>
        <v>0</v>
      </c>
      <c r="L81" s="183">
        <f>SUMIF('CF.1_2개월(단순차감)'!D:D,'CFS(2개월)'!G81,'CF.1_2개월(단순차감)'!AB:AB)</f>
        <v>0</v>
      </c>
      <c r="M81" s="186">
        <f t="shared" si="2"/>
        <v>0</v>
      </c>
      <c r="O81" s="191"/>
      <c r="P81" s="183">
        <f t="shared" si="3"/>
        <v>0</v>
      </c>
      <c r="Q81" s="184"/>
    </row>
    <row r="82" spans="4:17" ht="18" customHeight="1">
      <c r="D82" s="185">
        <v>2020</v>
      </c>
      <c r="E82" s="183">
        <v>12</v>
      </c>
      <c r="F82" s="183" t="s">
        <v>632</v>
      </c>
      <c r="G82" s="183" t="s">
        <v>833</v>
      </c>
      <c r="H82" s="183" t="s">
        <v>678</v>
      </c>
      <c r="I82" s="183">
        <v>3</v>
      </c>
      <c r="J82" s="183" t="s">
        <v>473</v>
      </c>
      <c r="K82" s="183">
        <f>SUMIF('CF.1'!$D:$D,'CFS(2개월)'!G82,'CF.1'!$U:$U)</f>
        <v>-63636363</v>
      </c>
      <c r="L82" s="183">
        <f>SUMIF('CF.1_2개월(단순차감)'!D:D,'CFS(2개월)'!G82,'CF.1_2개월(단순차감)'!AB:AB)</f>
        <v>0</v>
      </c>
      <c r="M82" s="186">
        <f t="shared" si="2"/>
        <v>63636363</v>
      </c>
      <c r="O82" s="191"/>
      <c r="P82" s="183">
        <f t="shared" si="3"/>
        <v>0</v>
      </c>
      <c r="Q82" s="184"/>
    </row>
    <row r="83" spans="4:17" ht="18" customHeight="1">
      <c r="D83" s="185">
        <v>2020</v>
      </c>
      <c r="E83" s="183">
        <v>12</v>
      </c>
      <c r="F83" s="183" t="s">
        <v>632</v>
      </c>
      <c r="G83" s="183" t="s">
        <v>834</v>
      </c>
      <c r="H83" s="183" t="s">
        <v>835</v>
      </c>
      <c r="I83" s="183">
        <v>3</v>
      </c>
      <c r="J83" s="183" t="s">
        <v>473</v>
      </c>
      <c r="K83" s="183">
        <f>SUMIF('CF.1'!$D:$D,'CFS(2개월)'!G83,'CF.1'!$U:$U)</f>
        <v>0</v>
      </c>
      <c r="L83" s="183">
        <f>SUMIF('CF.1_2개월(단순차감)'!D:D,'CFS(2개월)'!G83,'CF.1_2개월(단순차감)'!AB:AB)</f>
        <v>0</v>
      </c>
      <c r="M83" s="186">
        <f t="shared" si="2"/>
        <v>0</v>
      </c>
      <c r="O83" s="191"/>
      <c r="P83" s="183">
        <f t="shared" si="3"/>
        <v>0</v>
      </c>
      <c r="Q83" s="184"/>
    </row>
    <row r="84" spans="4:17" ht="18" customHeight="1">
      <c r="D84" s="185">
        <v>2020</v>
      </c>
      <c r="E84" s="183">
        <v>12</v>
      </c>
      <c r="F84" s="183" t="s">
        <v>632</v>
      </c>
      <c r="G84" s="183" t="s">
        <v>836</v>
      </c>
      <c r="H84" s="183" t="s">
        <v>679</v>
      </c>
      <c r="I84" s="183">
        <v>3</v>
      </c>
      <c r="J84" s="183" t="s">
        <v>473</v>
      </c>
      <c r="K84" s="183">
        <f>SUMIF('CF.1'!$D:$D,'CFS(2개월)'!G84,'CF.1'!$U:$U)</f>
        <v>0</v>
      </c>
      <c r="L84" s="183">
        <f>SUMIF('CF.1_2개월(단순차감)'!D:D,'CFS(2개월)'!G84,'CF.1_2개월(단순차감)'!AB:AB)</f>
        <v>0</v>
      </c>
      <c r="M84" s="186">
        <f t="shared" si="2"/>
        <v>0</v>
      </c>
      <c r="O84" s="191"/>
      <c r="P84" s="183">
        <f t="shared" si="3"/>
        <v>0</v>
      </c>
      <c r="Q84" s="184"/>
    </row>
    <row r="85" spans="4:17" ht="18" customHeight="1">
      <c r="D85" s="185">
        <v>2020</v>
      </c>
      <c r="E85" s="183">
        <v>12</v>
      </c>
      <c r="F85" s="183" t="s">
        <v>632</v>
      </c>
      <c r="G85" s="183" t="s">
        <v>837</v>
      </c>
      <c r="H85" s="183" t="s">
        <v>838</v>
      </c>
      <c r="I85" s="183">
        <v>3</v>
      </c>
      <c r="J85" s="183" t="s">
        <v>473</v>
      </c>
      <c r="K85" s="183">
        <f>SUMIF('CF.1'!$D:$D,'CFS(2개월)'!G85,'CF.1'!$U:$U)</f>
        <v>0</v>
      </c>
      <c r="L85" s="183">
        <f>SUMIF('CF.1_2개월(단순차감)'!D:D,'CFS(2개월)'!G85,'CF.1_2개월(단순차감)'!AB:AB)</f>
        <v>0</v>
      </c>
      <c r="M85" s="186">
        <f t="shared" si="2"/>
        <v>0</v>
      </c>
      <c r="O85" s="191"/>
      <c r="P85" s="183">
        <f t="shared" si="3"/>
        <v>0</v>
      </c>
      <c r="Q85" s="184"/>
    </row>
    <row r="86" spans="4:17" ht="18" customHeight="1">
      <c r="D86" s="185">
        <v>2020</v>
      </c>
      <c r="E86" s="183">
        <v>12</v>
      </c>
      <c r="F86" s="183" t="s">
        <v>632</v>
      </c>
      <c r="G86" s="183" t="s">
        <v>839</v>
      </c>
      <c r="H86" s="183" t="s">
        <v>840</v>
      </c>
      <c r="I86" s="183">
        <v>3</v>
      </c>
      <c r="J86" s="183" t="s">
        <v>473</v>
      </c>
      <c r="K86" s="183">
        <f>SUMIF('CF.1'!$D:$D,'CFS(2개월)'!G86,'CF.1'!$U:$U)</f>
        <v>-175168445</v>
      </c>
      <c r="L86" s="183">
        <f>SUMIF('CF.1_2개월(단순차감)'!D:D,'CFS(2개월)'!G86,'CF.1_2개월(단순차감)'!AB:AB)</f>
        <v>-594384997</v>
      </c>
      <c r="M86" s="186">
        <f t="shared" si="2"/>
        <v>-419216552</v>
      </c>
      <c r="O86" s="191"/>
      <c r="P86" s="183">
        <f t="shared" si="3"/>
        <v>594384997</v>
      </c>
      <c r="Q86" s="184"/>
    </row>
    <row r="87" spans="4:17" ht="18" customHeight="1">
      <c r="D87" s="185">
        <v>2020</v>
      </c>
      <c r="E87" s="183">
        <v>12</v>
      </c>
      <c r="F87" s="183" t="s">
        <v>632</v>
      </c>
      <c r="G87" s="183" t="s">
        <v>841</v>
      </c>
      <c r="H87" s="183" t="s">
        <v>842</v>
      </c>
      <c r="I87" s="183">
        <v>3</v>
      </c>
      <c r="J87" s="183" t="s">
        <v>473</v>
      </c>
      <c r="K87" s="183">
        <f>SUMIF('CF.1'!$D:$D,'CFS(2개월)'!G87,'CF.1'!$U:$U)</f>
        <v>0</v>
      </c>
      <c r="L87" s="183">
        <f>SUMIF('CF.1_2개월(단순차감)'!D:D,'CFS(2개월)'!G87,'CF.1_2개월(단순차감)'!AB:AB)</f>
        <v>0</v>
      </c>
      <c r="M87" s="186">
        <f t="shared" si="2"/>
        <v>0</v>
      </c>
      <c r="O87" s="191"/>
      <c r="P87" s="183">
        <f t="shared" si="3"/>
        <v>0</v>
      </c>
      <c r="Q87" s="184"/>
    </row>
    <row r="88" spans="4:17" ht="18" customHeight="1">
      <c r="D88" s="185">
        <v>2020</v>
      </c>
      <c r="E88" s="183">
        <v>12</v>
      </c>
      <c r="F88" s="183" t="s">
        <v>632</v>
      </c>
      <c r="G88" s="183" t="s">
        <v>843</v>
      </c>
      <c r="H88" s="183" t="s">
        <v>844</v>
      </c>
      <c r="I88" s="183">
        <v>3</v>
      </c>
      <c r="J88" s="183" t="s">
        <v>473</v>
      </c>
      <c r="K88" s="183">
        <f>SUMIF('CF.1'!$D:$D,'CFS(2개월)'!G88,'CF.1'!$U:$U)</f>
        <v>-816498671</v>
      </c>
      <c r="L88" s="183">
        <f>SUMIF('CF.1_2개월(단순차감)'!D:D,'CFS(2개월)'!G88,'CF.1_2개월(단순차감)'!AB:AB)</f>
        <v>0</v>
      </c>
      <c r="M88" s="186">
        <f t="shared" si="2"/>
        <v>816498671</v>
      </c>
      <c r="O88" s="191"/>
      <c r="P88" s="183">
        <f t="shared" si="3"/>
        <v>0</v>
      </c>
      <c r="Q88" s="184"/>
    </row>
    <row r="89" spans="4:17" ht="18" customHeight="1">
      <c r="D89" s="185">
        <v>2020</v>
      </c>
      <c r="E89" s="183">
        <v>12</v>
      </c>
      <c r="F89" s="183" t="s">
        <v>632</v>
      </c>
      <c r="G89" s="183" t="s">
        <v>845</v>
      </c>
      <c r="H89" s="183" t="s">
        <v>846</v>
      </c>
      <c r="I89" s="183">
        <v>3</v>
      </c>
      <c r="J89" s="183" t="s">
        <v>473</v>
      </c>
      <c r="K89" s="183">
        <f>SUMIF('CF.1'!$D:$D,'CFS(2개월)'!G89,'CF.1'!$U:$U)</f>
        <v>0</v>
      </c>
      <c r="L89" s="183">
        <f>SUMIF('CF.1_2개월(단순차감)'!D:D,'CFS(2개월)'!G89,'CF.1_2개월(단순차감)'!AB:AB)</f>
        <v>0</v>
      </c>
      <c r="M89" s="186">
        <f t="shared" si="2"/>
        <v>0</v>
      </c>
      <c r="O89" s="191"/>
      <c r="P89" s="183">
        <f t="shared" si="3"/>
        <v>0</v>
      </c>
      <c r="Q89" s="184"/>
    </row>
    <row r="90" spans="4:17" ht="18" customHeight="1">
      <c r="D90" s="185">
        <v>2020</v>
      </c>
      <c r="E90" s="183">
        <v>12</v>
      </c>
      <c r="F90" s="183" t="s">
        <v>632</v>
      </c>
      <c r="G90" s="183" t="s">
        <v>847</v>
      </c>
      <c r="H90" s="183" t="s">
        <v>848</v>
      </c>
      <c r="I90" s="183">
        <v>3</v>
      </c>
      <c r="J90" s="183" t="s">
        <v>473</v>
      </c>
      <c r="K90" s="183">
        <f>SUMIF('CF.1'!$D:$D,'CFS(2개월)'!G90,'CF.1'!$U:$U)</f>
        <v>0</v>
      </c>
      <c r="L90" s="183">
        <f>SUMIF('CF.1_2개월(단순차감)'!D:D,'CFS(2개월)'!G90,'CF.1_2개월(단순차감)'!AB:AB)</f>
        <v>0</v>
      </c>
      <c r="M90" s="186">
        <f t="shared" si="2"/>
        <v>0</v>
      </c>
      <c r="O90" s="191"/>
      <c r="P90" s="183">
        <f t="shared" si="3"/>
        <v>0</v>
      </c>
      <c r="Q90" s="184"/>
    </row>
    <row r="91" spans="4:17" ht="18" customHeight="1">
      <c r="D91" s="185">
        <v>2020</v>
      </c>
      <c r="E91" s="183">
        <v>12</v>
      </c>
      <c r="F91" s="183" t="s">
        <v>632</v>
      </c>
      <c r="G91" s="183" t="s">
        <v>849</v>
      </c>
      <c r="H91" s="183" t="s">
        <v>850</v>
      </c>
      <c r="I91" s="183">
        <v>3</v>
      </c>
      <c r="J91" s="183" t="s">
        <v>473</v>
      </c>
      <c r="K91" s="183">
        <f>SUMIF('CF.1'!$D:$D,'CFS(2개월)'!G91,'CF.1'!$U:$U)</f>
        <v>0</v>
      </c>
      <c r="L91" s="183">
        <f>SUMIF('CF.1_2개월(단순차감)'!D:D,'CFS(2개월)'!G91,'CF.1_2개월(단순차감)'!AB:AB)</f>
        <v>0</v>
      </c>
      <c r="M91" s="186">
        <f t="shared" si="2"/>
        <v>0</v>
      </c>
      <c r="O91" s="191"/>
      <c r="P91" s="183">
        <f t="shared" si="3"/>
        <v>0</v>
      </c>
      <c r="Q91" s="184"/>
    </row>
    <row r="92" spans="4:17" ht="18" customHeight="1">
      <c r="D92" s="185">
        <v>2020</v>
      </c>
      <c r="E92" s="183">
        <v>12</v>
      </c>
      <c r="F92" s="183" t="s">
        <v>632</v>
      </c>
      <c r="G92" s="183" t="s">
        <v>851</v>
      </c>
      <c r="H92" s="183" t="s">
        <v>852</v>
      </c>
      <c r="I92" s="183">
        <v>3</v>
      </c>
      <c r="J92" s="183" t="s">
        <v>473</v>
      </c>
      <c r="K92" s="183">
        <f>SUMIF('CF.1'!$D:$D,'CFS(2개월)'!G92,'CF.1'!$U:$U)</f>
        <v>0</v>
      </c>
      <c r="L92" s="183">
        <f>SUMIF('CF.1_2개월(단순차감)'!D:D,'CFS(2개월)'!G92,'CF.1_2개월(단순차감)'!AB:AB)</f>
        <v>0</v>
      </c>
      <c r="M92" s="186">
        <f t="shared" si="2"/>
        <v>0</v>
      </c>
      <c r="O92" s="191"/>
      <c r="P92" s="183">
        <f t="shared" si="3"/>
        <v>0</v>
      </c>
      <c r="Q92" s="184"/>
    </row>
    <row r="93" spans="4:17" ht="18" customHeight="1">
      <c r="D93" s="185">
        <v>2020</v>
      </c>
      <c r="E93" s="183">
        <v>12</v>
      </c>
      <c r="F93" s="183" t="s">
        <v>632</v>
      </c>
      <c r="G93" s="183" t="s">
        <v>853</v>
      </c>
      <c r="H93" s="183" t="s">
        <v>854</v>
      </c>
      <c r="I93" s="183">
        <v>3</v>
      </c>
      <c r="J93" s="183" t="s">
        <v>473</v>
      </c>
      <c r="K93" s="183">
        <f>SUMIF('CF.1'!$D:$D,'CFS(2개월)'!G93,'CF.1'!$U:$U)</f>
        <v>0</v>
      </c>
      <c r="L93" s="183">
        <f>SUMIF('CF.1_2개월(단순차감)'!D:D,'CFS(2개월)'!G93,'CF.1_2개월(단순차감)'!AB:AB)</f>
        <v>0</v>
      </c>
      <c r="M93" s="186">
        <f t="shared" si="2"/>
        <v>0</v>
      </c>
      <c r="O93" s="191"/>
      <c r="P93" s="183">
        <f t="shared" si="3"/>
        <v>0</v>
      </c>
      <c r="Q93" s="184"/>
    </row>
    <row r="94" spans="4:17" ht="18" customHeight="1">
      <c r="D94" s="185">
        <v>2020</v>
      </c>
      <c r="E94" s="183">
        <v>12</v>
      </c>
      <c r="F94" s="183" t="s">
        <v>632</v>
      </c>
      <c r="G94" s="183" t="s">
        <v>855</v>
      </c>
      <c r="H94" s="183" t="s">
        <v>856</v>
      </c>
      <c r="I94" s="183">
        <v>3</v>
      </c>
      <c r="J94" s="183" t="s">
        <v>473</v>
      </c>
      <c r="K94" s="183">
        <f>SUMIF('CF.1'!$D:$D,'CFS(2개월)'!G94,'CF.1'!$U:$U)</f>
        <v>0</v>
      </c>
      <c r="L94" s="183">
        <f>SUMIF('CF.1_2개월(단순차감)'!D:D,'CFS(2개월)'!G94,'CF.1_2개월(단순차감)'!AB:AB)</f>
        <v>0</v>
      </c>
      <c r="M94" s="186">
        <f t="shared" si="2"/>
        <v>0</v>
      </c>
      <c r="O94" s="191"/>
      <c r="P94" s="183">
        <f t="shared" si="3"/>
        <v>0</v>
      </c>
      <c r="Q94" s="184"/>
    </row>
    <row r="95" spans="4:17" ht="18" customHeight="1">
      <c r="D95" s="185">
        <v>2020</v>
      </c>
      <c r="E95" s="183">
        <v>12</v>
      </c>
      <c r="F95" s="183" t="s">
        <v>632</v>
      </c>
      <c r="G95" s="183" t="s">
        <v>857</v>
      </c>
      <c r="H95" s="183" t="s">
        <v>858</v>
      </c>
      <c r="I95" s="183">
        <v>3</v>
      </c>
      <c r="J95" s="183" t="s">
        <v>473</v>
      </c>
      <c r="K95" s="183">
        <f>SUMIF('CF.1'!$D:$D,'CFS(2개월)'!G95,'CF.1'!$U:$U)</f>
        <v>0</v>
      </c>
      <c r="L95" s="183">
        <f>SUMIF('CF.1_2개월(단순차감)'!D:D,'CFS(2개월)'!G95,'CF.1_2개월(단순차감)'!AB:AB)</f>
        <v>0</v>
      </c>
      <c r="M95" s="186">
        <f t="shared" si="2"/>
        <v>0</v>
      </c>
      <c r="O95" s="191"/>
      <c r="P95" s="183">
        <f t="shared" si="3"/>
        <v>0</v>
      </c>
      <c r="Q95" s="184"/>
    </row>
    <row r="96" spans="4:17" ht="18" customHeight="1">
      <c r="D96" s="185">
        <v>2020</v>
      </c>
      <c r="E96" s="183">
        <v>12</v>
      </c>
      <c r="F96" s="183" t="s">
        <v>632</v>
      </c>
      <c r="G96" s="183" t="s">
        <v>859</v>
      </c>
      <c r="H96" s="183" t="s">
        <v>860</v>
      </c>
      <c r="I96" s="183">
        <v>3</v>
      </c>
      <c r="J96" s="183" t="s">
        <v>473</v>
      </c>
      <c r="K96" s="183">
        <f>SUMIF('CF.1'!$D:$D,'CFS(2개월)'!G96,'CF.1'!$U:$U)</f>
        <v>0</v>
      </c>
      <c r="L96" s="183">
        <f>SUMIF('CF.1_2개월(단순차감)'!D:D,'CFS(2개월)'!G96,'CF.1_2개월(단순차감)'!AB:AB)</f>
        <v>0</v>
      </c>
      <c r="M96" s="186">
        <f t="shared" si="2"/>
        <v>0</v>
      </c>
      <c r="O96" s="191"/>
      <c r="P96" s="183">
        <f t="shared" si="3"/>
        <v>0</v>
      </c>
      <c r="Q96" s="184"/>
    </row>
    <row r="97" spans="4:17" ht="18" customHeight="1">
      <c r="D97" s="185">
        <v>2020</v>
      </c>
      <c r="E97" s="183">
        <v>12</v>
      </c>
      <c r="F97" s="183" t="s">
        <v>632</v>
      </c>
      <c r="G97" s="183" t="s">
        <v>861</v>
      </c>
      <c r="H97" s="183" t="s">
        <v>862</v>
      </c>
      <c r="I97" s="183">
        <v>3</v>
      </c>
      <c r="J97" s="183" t="s">
        <v>473</v>
      </c>
      <c r="K97" s="183">
        <f>SUMIF('CF.1'!$D:$D,'CFS(2개월)'!G97,'CF.1'!$U:$U)</f>
        <v>0</v>
      </c>
      <c r="L97" s="183">
        <f>SUMIF('CF.1_2개월(단순차감)'!D:D,'CFS(2개월)'!G97,'CF.1_2개월(단순차감)'!AB:AB)</f>
        <v>0</v>
      </c>
      <c r="M97" s="186">
        <f t="shared" si="2"/>
        <v>0</v>
      </c>
      <c r="O97" s="191"/>
      <c r="P97" s="183">
        <f t="shared" si="3"/>
        <v>0</v>
      </c>
      <c r="Q97" s="184"/>
    </row>
    <row r="98" spans="4:17" ht="18" customHeight="1">
      <c r="D98" s="185">
        <v>2020</v>
      </c>
      <c r="E98" s="183">
        <v>12</v>
      </c>
      <c r="F98" s="183" t="s">
        <v>632</v>
      </c>
      <c r="G98" s="183" t="s">
        <v>863</v>
      </c>
      <c r="H98" s="183" t="s">
        <v>864</v>
      </c>
      <c r="I98" s="183">
        <v>3</v>
      </c>
      <c r="J98" s="183" t="s">
        <v>473</v>
      </c>
      <c r="K98" s="183">
        <f>SUMIF('CF.1'!$D:$D,'CFS(2개월)'!G98,'CF.1'!$U:$U)</f>
        <v>0</v>
      </c>
      <c r="L98" s="183">
        <f>SUMIF('CF.1_2개월(단순차감)'!D:D,'CFS(2개월)'!G98,'CF.1_2개월(단순차감)'!AB:AB)</f>
        <v>0</v>
      </c>
      <c r="M98" s="186">
        <f t="shared" si="2"/>
        <v>0</v>
      </c>
      <c r="O98" s="191"/>
      <c r="P98" s="183">
        <f t="shared" si="3"/>
        <v>0</v>
      </c>
      <c r="Q98" s="184"/>
    </row>
    <row r="99" spans="4:17" ht="18" customHeight="1">
      <c r="D99" s="185">
        <v>2020</v>
      </c>
      <c r="E99" s="183">
        <v>12</v>
      </c>
      <c r="F99" s="183" t="s">
        <v>632</v>
      </c>
      <c r="G99" s="183" t="s">
        <v>865</v>
      </c>
      <c r="H99" s="183" t="s">
        <v>866</v>
      </c>
      <c r="I99" s="183">
        <v>3</v>
      </c>
      <c r="J99" s="183" t="s">
        <v>473</v>
      </c>
      <c r="K99" s="183">
        <f>SUMIF('CF.1'!$D:$D,'CFS(2개월)'!G99,'CF.1'!$U:$U)</f>
        <v>0</v>
      </c>
      <c r="L99" s="183">
        <f>SUMIF('CF.1_2개월(단순차감)'!D:D,'CFS(2개월)'!G99,'CF.1_2개월(단순차감)'!AB:AB)</f>
        <v>0</v>
      </c>
      <c r="M99" s="186">
        <f t="shared" si="2"/>
        <v>0</v>
      </c>
      <c r="O99" s="191"/>
      <c r="P99" s="183">
        <f t="shared" si="3"/>
        <v>0</v>
      </c>
      <c r="Q99" s="184"/>
    </row>
    <row r="100" spans="4:17" ht="18" customHeight="1">
      <c r="D100" s="185">
        <v>2020</v>
      </c>
      <c r="E100" s="183">
        <v>12</v>
      </c>
      <c r="F100" s="183" t="s">
        <v>632</v>
      </c>
      <c r="G100" s="183" t="s">
        <v>867</v>
      </c>
      <c r="H100" s="183" t="s">
        <v>868</v>
      </c>
      <c r="I100" s="183">
        <v>3</v>
      </c>
      <c r="J100" s="183" t="s">
        <v>473</v>
      </c>
      <c r="K100" s="183">
        <f>SUMIF('CF.1'!$D:$D,'CFS(2개월)'!G100,'CF.1'!$U:$U)</f>
        <v>0</v>
      </c>
      <c r="L100" s="183">
        <f>SUMIF('CF.1_2개월(단순차감)'!D:D,'CFS(2개월)'!G100,'CF.1_2개월(단순차감)'!AB:AB)</f>
        <v>0</v>
      </c>
      <c r="M100" s="186">
        <f t="shared" si="2"/>
        <v>0</v>
      </c>
      <c r="O100" s="191"/>
      <c r="P100" s="183">
        <f t="shared" si="3"/>
        <v>0</v>
      </c>
      <c r="Q100" s="184"/>
    </row>
    <row r="101" spans="4:17" ht="18" customHeight="1">
      <c r="D101" s="185">
        <v>2020</v>
      </c>
      <c r="E101" s="183">
        <v>12</v>
      </c>
      <c r="F101" s="183" t="s">
        <v>632</v>
      </c>
      <c r="G101" s="183" t="s">
        <v>869</v>
      </c>
      <c r="H101" s="183" t="s">
        <v>870</v>
      </c>
      <c r="I101" s="183">
        <v>3</v>
      </c>
      <c r="J101" s="183" t="s">
        <v>473</v>
      </c>
      <c r="K101" s="183">
        <f>SUMIF('CF.1'!$D:$D,'CFS(2개월)'!G101,'CF.1'!$U:$U)</f>
        <v>0</v>
      </c>
      <c r="L101" s="183">
        <f>SUMIF('CF.1_2개월(단순차감)'!D:D,'CFS(2개월)'!G101,'CF.1_2개월(단순차감)'!AB:AB)</f>
        <v>0</v>
      </c>
      <c r="M101" s="186">
        <f t="shared" si="2"/>
        <v>0</v>
      </c>
      <c r="O101" s="191"/>
      <c r="P101" s="183">
        <f t="shared" si="3"/>
        <v>0</v>
      </c>
      <c r="Q101" s="184"/>
    </row>
    <row r="102" spans="4:17" ht="18" customHeight="1">
      <c r="D102" s="185">
        <v>2020</v>
      </c>
      <c r="E102" s="183">
        <v>12</v>
      </c>
      <c r="F102" s="183" t="s">
        <v>632</v>
      </c>
      <c r="G102" s="183" t="s">
        <v>871</v>
      </c>
      <c r="H102" s="183" t="s">
        <v>872</v>
      </c>
      <c r="I102" s="183">
        <v>3</v>
      </c>
      <c r="J102" s="183" t="s">
        <v>473</v>
      </c>
      <c r="K102" s="183">
        <f>SUMIF('CF.1'!$D:$D,'CFS(2개월)'!G102,'CF.1'!$U:$U)</f>
        <v>0</v>
      </c>
      <c r="L102" s="183">
        <f>SUMIF('CF.1_2개월(단순차감)'!D:D,'CFS(2개월)'!G102,'CF.1_2개월(단순차감)'!AB:AB)</f>
        <v>0</v>
      </c>
      <c r="M102" s="186">
        <f t="shared" si="2"/>
        <v>0</v>
      </c>
      <c r="O102" s="191"/>
      <c r="P102" s="183">
        <f t="shared" si="3"/>
        <v>0</v>
      </c>
      <c r="Q102" s="184"/>
    </row>
    <row r="103" spans="4:17" ht="18" customHeight="1">
      <c r="D103" s="185">
        <v>2020</v>
      </c>
      <c r="E103" s="183">
        <v>12</v>
      </c>
      <c r="F103" s="183" t="s">
        <v>632</v>
      </c>
      <c r="G103" s="183" t="s">
        <v>873</v>
      </c>
      <c r="H103" s="183" t="s">
        <v>673</v>
      </c>
      <c r="I103" s="183">
        <v>3</v>
      </c>
      <c r="J103" s="183" t="s">
        <v>473</v>
      </c>
      <c r="K103" s="183">
        <f>SUMIF('CF.1'!$D:$D,'CFS(2개월)'!G103,'CF.1'!$U:$U)</f>
        <v>-1666986895</v>
      </c>
      <c r="L103" s="183">
        <f>SUMIF('CF.1_2개월(단순차감)'!D:D,'CFS(2개월)'!G103,'CF.1_2개월(단순차감)'!AB:AB)</f>
        <v>-249663688</v>
      </c>
      <c r="M103" s="186">
        <f t="shared" si="2"/>
        <v>1417323207</v>
      </c>
      <c r="O103" s="191"/>
      <c r="P103" s="183">
        <f t="shared" si="3"/>
        <v>249663688</v>
      </c>
      <c r="Q103" s="184"/>
    </row>
    <row r="104" spans="4:17" ht="18" customHeight="1">
      <c r="D104" s="185">
        <v>2020</v>
      </c>
      <c r="E104" s="183">
        <v>12</v>
      </c>
      <c r="F104" s="183" t="s">
        <v>632</v>
      </c>
      <c r="G104" s="183" t="s">
        <v>1498</v>
      </c>
      <c r="H104" s="183" t="s">
        <v>1499</v>
      </c>
      <c r="I104" s="183">
        <v>3</v>
      </c>
      <c r="J104" s="183" t="s">
        <v>473</v>
      </c>
      <c r="K104" s="183">
        <f>SUMIF('CF.1'!$D:$D,'CFS(2개월)'!G104,'CF.1'!$U:$U)</f>
        <v>0</v>
      </c>
      <c r="L104" s="183">
        <f>SUMIF('CF.1_2개월(단순차감)'!D:D,'CFS(2개월)'!G104,'CF.1_2개월(단순차감)'!AB:AB)</f>
        <v>0</v>
      </c>
      <c r="M104" s="186">
        <f t="shared" si="2"/>
        <v>0</v>
      </c>
      <c r="O104" s="191"/>
      <c r="P104" s="183">
        <f t="shared" si="3"/>
        <v>0</v>
      </c>
      <c r="Q104" s="184"/>
    </row>
    <row r="105" spans="4:17" ht="18" customHeight="1">
      <c r="D105" s="185">
        <v>2020</v>
      </c>
      <c r="E105" s="183">
        <v>12</v>
      </c>
      <c r="F105" s="183" t="s">
        <v>632</v>
      </c>
      <c r="G105" s="183" t="s">
        <v>1500</v>
      </c>
      <c r="H105" s="183" t="s">
        <v>877</v>
      </c>
      <c r="I105" s="183">
        <v>3</v>
      </c>
      <c r="J105" s="183" t="s">
        <v>473</v>
      </c>
      <c r="K105" s="183">
        <f>SUMIF('CF.1'!$D:$D,'CFS(2개월)'!G105,'CF.1'!$U:$U)</f>
        <v>0</v>
      </c>
      <c r="L105" s="183">
        <f>SUMIF('CF.1_2개월(단순차감)'!D:D,'CFS(2개월)'!G105,'CF.1_2개월(단순차감)'!AB:AB)</f>
        <v>0</v>
      </c>
      <c r="M105" s="186">
        <f t="shared" si="2"/>
        <v>0</v>
      </c>
      <c r="O105" s="191"/>
      <c r="P105" s="183">
        <f t="shared" si="3"/>
        <v>0</v>
      </c>
      <c r="Q105" s="184"/>
    </row>
    <row r="106" spans="4:17" ht="18" customHeight="1">
      <c r="D106" s="185">
        <v>2020</v>
      </c>
      <c r="E106" s="183">
        <v>12</v>
      </c>
      <c r="F106" s="183" t="s">
        <v>632</v>
      </c>
      <c r="G106" s="183" t="s">
        <v>900</v>
      </c>
      <c r="H106" s="183" t="s">
        <v>1501</v>
      </c>
      <c r="I106" s="183">
        <v>3</v>
      </c>
      <c r="J106" s="183" t="s">
        <v>473</v>
      </c>
      <c r="K106" s="183">
        <f>SUMIF('CF.1'!$D:$D,'CFS(2개월)'!G106,'CF.1'!$U:$U)</f>
        <v>-61773000</v>
      </c>
      <c r="L106" s="183">
        <f>SUMIF('CF.1_2개월(단순차감)'!D:D,'CFS(2개월)'!G106,'CF.1_2개월(단순차감)'!AB:AB)</f>
        <v>14588</v>
      </c>
      <c r="M106" s="186">
        <f t="shared" si="2"/>
        <v>61787588</v>
      </c>
      <c r="O106" s="191"/>
      <c r="P106" s="183">
        <f t="shared" si="3"/>
        <v>-14588</v>
      </c>
      <c r="Q106" s="184" t="s">
        <v>1882</v>
      </c>
    </row>
    <row r="107" spans="4:17" ht="18" customHeight="1">
      <c r="D107" s="179">
        <v>2020</v>
      </c>
      <c r="E107" s="180">
        <v>12</v>
      </c>
      <c r="F107" s="180" t="s">
        <v>632</v>
      </c>
      <c r="G107" s="180" t="s">
        <v>902</v>
      </c>
      <c r="H107" s="180" t="s">
        <v>1502</v>
      </c>
      <c r="I107" s="180">
        <v>2</v>
      </c>
      <c r="J107" s="180" t="s">
        <v>473</v>
      </c>
      <c r="K107" s="180">
        <f>SUM(K108:K149)</f>
        <v>2467085651</v>
      </c>
      <c r="L107" s="180">
        <f>SUM(L108:L149)</f>
        <v>10573926321</v>
      </c>
      <c r="M107" s="181">
        <f>SUM(M108:M148)</f>
        <v>5668927961</v>
      </c>
      <c r="O107" s="182"/>
      <c r="P107" s="183">
        <f t="shared" si="3"/>
        <v>-10573926321</v>
      </c>
      <c r="Q107" s="184"/>
    </row>
    <row r="108" spans="4:17" ht="18" customHeight="1">
      <c r="D108" s="185">
        <v>2020</v>
      </c>
      <c r="E108" s="183">
        <v>12</v>
      </c>
      <c r="F108" s="183" t="s">
        <v>632</v>
      </c>
      <c r="G108" s="183" t="s">
        <v>904</v>
      </c>
      <c r="H108" s="183" t="s">
        <v>905</v>
      </c>
      <c r="I108" s="183">
        <v>3</v>
      </c>
      <c r="J108" s="183" t="s">
        <v>473</v>
      </c>
      <c r="K108" s="183">
        <f>SUMIF('CF.1'!$D:$D,'CFS(2개월)'!G108,'CF.1'!$U:$U)</f>
        <v>-5699219303</v>
      </c>
      <c r="L108" s="183">
        <f>SUMIF('CF.1_2개월(단순차감)'!D:D,'CFS(2개월)'!G108,'CF.1_2개월(단순차감)'!AB:AB)</f>
        <v>1670779312</v>
      </c>
      <c r="M108" s="186">
        <f t="shared" ref="M108:M148" si="4">L108-K108</f>
        <v>7369998615</v>
      </c>
      <c r="O108" s="182"/>
      <c r="P108" s="183">
        <f t="shared" si="3"/>
        <v>-1670779312</v>
      </c>
      <c r="Q108" s="184"/>
    </row>
    <row r="109" spans="4:17" ht="18" customHeight="1">
      <c r="D109" s="185">
        <v>2020</v>
      </c>
      <c r="E109" s="183">
        <v>12</v>
      </c>
      <c r="F109" s="183" t="s">
        <v>632</v>
      </c>
      <c r="G109" s="183" t="s">
        <v>906</v>
      </c>
      <c r="H109" s="183" t="s">
        <v>907</v>
      </c>
      <c r="I109" s="183">
        <v>3</v>
      </c>
      <c r="J109" s="183" t="s">
        <v>473</v>
      </c>
      <c r="K109" s="183">
        <f>SUMIF('CF.1'!$D:$D,'CFS(2개월)'!G109,'CF.1'!$U:$U)</f>
        <v>1368660023</v>
      </c>
      <c r="L109" s="183">
        <f>SUMIF('CF.1_2개월(단순차감)'!D:D,'CFS(2개월)'!G109,'CF.1_2개월(단순차감)'!AB:AB)</f>
        <v>-1581841609</v>
      </c>
      <c r="M109" s="186">
        <f t="shared" si="4"/>
        <v>-2950501632</v>
      </c>
      <c r="O109" s="182"/>
      <c r="P109" s="183">
        <f t="shared" si="3"/>
        <v>1581841609</v>
      </c>
      <c r="Q109" s="184"/>
    </row>
    <row r="110" spans="4:17" ht="18" customHeight="1">
      <c r="D110" s="185">
        <v>2020</v>
      </c>
      <c r="E110" s="183">
        <v>12</v>
      </c>
      <c r="F110" s="183" t="s">
        <v>632</v>
      </c>
      <c r="G110" s="183" t="s">
        <v>908</v>
      </c>
      <c r="H110" s="183" t="s">
        <v>909</v>
      </c>
      <c r="I110" s="183">
        <v>3</v>
      </c>
      <c r="J110" s="183" t="s">
        <v>473</v>
      </c>
      <c r="K110" s="183">
        <f>SUMIF('CF.1'!$D:$D,'CFS(2개월)'!G110,'CF.1'!$U:$U)</f>
        <v>-286577263</v>
      </c>
      <c r="L110" s="183">
        <f>SUMIF('CF.1_2개월(단순차감)'!D:D,'CFS(2개월)'!G110,'CF.1_2개월(단순차감)'!AB:AB)</f>
        <v>11531507</v>
      </c>
      <c r="M110" s="186">
        <f t="shared" si="4"/>
        <v>298108770</v>
      </c>
      <c r="O110" s="182"/>
      <c r="P110" s="183">
        <f t="shared" si="3"/>
        <v>-11531507</v>
      </c>
      <c r="Q110" s="184"/>
    </row>
    <row r="111" spans="4:17" ht="18" customHeight="1">
      <c r="D111" s="185">
        <v>2020</v>
      </c>
      <c r="E111" s="183">
        <v>12</v>
      </c>
      <c r="F111" s="183" t="s">
        <v>632</v>
      </c>
      <c r="G111" s="183" t="s">
        <v>910</v>
      </c>
      <c r="H111" s="183" t="s">
        <v>911</v>
      </c>
      <c r="I111" s="183">
        <v>3</v>
      </c>
      <c r="J111" s="183" t="s">
        <v>473</v>
      </c>
      <c r="K111" s="183">
        <f>SUMIF('CF.1'!$D:$D,'CFS(2개월)'!G111,'CF.1'!$U:$U)</f>
        <v>7382293681</v>
      </c>
      <c r="L111" s="183">
        <f>SUMIF('CF.1_2개월(단순차감)'!D:D,'CFS(2개월)'!G111,'CF.1_2개월(단순차감)'!AB:AB)</f>
        <v>-853028556</v>
      </c>
      <c r="M111" s="186">
        <f t="shared" si="4"/>
        <v>-8235322237</v>
      </c>
      <c r="O111" s="182"/>
      <c r="P111" s="183">
        <f t="shared" si="3"/>
        <v>853028556</v>
      </c>
      <c r="Q111" s="184"/>
    </row>
    <row r="112" spans="4:17" ht="18" customHeight="1">
      <c r="D112" s="185">
        <v>2020</v>
      </c>
      <c r="E112" s="183">
        <v>12</v>
      </c>
      <c r="F112" s="183" t="s">
        <v>632</v>
      </c>
      <c r="G112" s="183" t="s">
        <v>912</v>
      </c>
      <c r="H112" s="183" t="s">
        <v>913</v>
      </c>
      <c r="I112" s="183">
        <v>3</v>
      </c>
      <c r="J112" s="183" t="s">
        <v>473</v>
      </c>
      <c r="K112" s="183">
        <f>SUMIF('CF.1'!$D:$D,'CFS(2개월)'!G112,'CF.1'!$U:$U)</f>
        <v>0</v>
      </c>
      <c r="L112" s="183">
        <f>SUMIF('CF.1_2개월(단순차감)'!D:D,'CFS(2개월)'!G112,'CF.1_2개월(단순차감)'!AB:AB)</f>
        <v>0</v>
      </c>
      <c r="M112" s="186">
        <f t="shared" si="4"/>
        <v>0</v>
      </c>
      <c r="O112" s="182"/>
      <c r="P112" s="183">
        <f t="shared" si="3"/>
        <v>0</v>
      </c>
      <c r="Q112" s="184"/>
    </row>
    <row r="113" spans="4:17" ht="18" customHeight="1">
      <c r="D113" s="185">
        <v>2020</v>
      </c>
      <c r="E113" s="183">
        <v>12</v>
      </c>
      <c r="F113" s="183" t="s">
        <v>632</v>
      </c>
      <c r="G113" s="183" t="s">
        <v>914</v>
      </c>
      <c r="H113" s="183" t="s">
        <v>915</v>
      </c>
      <c r="I113" s="183">
        <v>3</v>
      </c>
      <c r="J113" s="183" t="s">
        <v>473</v>
      </c>
      <c r="K113" s="183">
        <f>SUMIF('CF.1'!$D:$D,'CFS(2개월)'!G113,'CF.1'!$U:$U)</f>
        <v>371917777</v>
      </c>
      <c r="L113" s="183">
        <f>SUMIF('CF.1_2개월(단순차감)'!D:D,'CFS(2개월)'!G113,'CF.1_2개월(단순차감)'!AB:AB)</f>
        <v>289170326</v>
      </c>
      <c r="M113" s="186">
        <f t="shared" si="4"/>
        <v>-82747451</v>
      </c>
      <c r="O113" s="182"/>
      <c r="P113" s="183">
        <f t="shared" si="3"/>
        <v>-289170326</v>
      </c>
      <c r="Q113" s="184"/>
    </row>
    <row r="114" spans="4:17" s="190" customFormat="1" ht="18" customHeight="1">
      <c r="D114" s="187">
        <v>2020</v>
      </c>
      <c r="E114" s="188">
        <v>12</v>
      </c>
      <c r="F114" s="188" t="s">
        <v>632</v>
      </c>
      <c r="G114" s="188" t="s">
        <v>980</v>
      </c>
      <c r="H114" s="188" t="s">
        <v>981</v>
      </c>
      <c r="I114" s="188">
        <v>4</v>
      </c>
      <c r="J114" s="188" t="s">
        <v>473</v>
      </c>
      <c r="K114" s="188">
        <f>SUMIF('CF.1'!$D:$D,'CFS(2개월)'!G114,'CF.1'!$U:$U)</f>
        <v>58123</v>
      </c>
      <c r="L114" s="188">
        <f>SUMIF('CF.1_2개월(단순차감)'!D:D,'CFS(2개월)'!G114,'CF.1_2개월(단순차감)'!AB:AB)</f>
        <v>-651388</v>
      </c>
      <c r="M114" s="189">
        <f t="shared" si="4"/>
        <v>-709511</v>
      </c>
      <c r="O114" s="191"/>
      <c r="P114" s="188">
        <f t="shared" si="3"/>
        <v>651388</v>
      </c>
      <c r="Q114" s="192"/>
    </row>
    <row r="115" spans="4:17" ht="18" customHeight="1">
      <c r="D115" s="185">
        <v>2020</v>
      </c>
      <c r="E115" s="183">
        <v>12</v>
      </c>
      <c r="F115" s="183" t="s">
        <v>632</v>
      </c>
      <c r="G115" s="183" t="s">
        <v>916</v>
      </c>
      <c r="H115" s="183" t="s">
        <v>917</v>
      </c>
      <c r="I115" s="183">
        <v>3</v>
      </c>
      <c r="J115" s="183" t="s">
        <v>473</v>
      </c>
      <c r="K115" s="183">
        <f>SUMIF('CF.1'!$D:$D,'CFS(2개월)'!G115,'CF.1'!$U:$U)</f>
        <v>0</v>
      </c>
      <c r="L115" s="183">
        <f>SUMIF('CF.1_2개월(단순차감)'!D:D,'CFS(2개월)'!G115,'CF.1_2개월(단순차감)'!AB:AB)</f>
        <v>0</v>
      </c>
      <c r="M115" s="186">
        <f t="shared" si="4"/>
        <v>0</v>
      </c>
      <c r="O115" s="182"/>
      <c r="P115" s="183">
        <f t="shared" si="3"/>
        <v>0</v>
      </c>
      <c r="Q115" s="184"/>
    </row>
    <row r="116" spans="4:17" ht="18" customHeight="1">
      <c r="D116" s="185">
        <v>2020</v>
      </c>
      <c r="E116" s="183">
        <v>12</v>
      </c>
      <c r="F116" s="183" t="s">
        <v>632</v>
      </c>
      <c r="G116" s="183" t="s">
        <v>920</v>
      </c>
      <c r="H116" s="183" t="s">
        <v>921</v>
      </c>
      <c r="I116" s="183">
        <v>3</v>
      </c>
      <c r="J116" s="183" t="s">
        <v>473</v>
      </c>
      <c r="K116" s="183">
        <f>SUMIF('CF.1'!$D:$D,'CFS(2개월)'!G116,'CF.1'!$U:$U)</f>
        <v>751602765</v>
      </c>
      <c r="L116" s="183">
        <f>SUMIF('CF.1_2개월(단순차감)'!D:D,'CFS(2개월)'!G116,'CF.1_2개월(단순차감)'!AB:AB)</f>
        <v>5655620</v>
      </c>
      <c r="M116" s="186">
        <f t="shared" si="4"/>
        <v>-745947145</v>
      </c>
      <c r="O116" s="182"/>
      <c r="P116" s="183">
        <f t="shared" si="3"/>
        <v>-5655620</v>
      </c>
      <c r="Q116" s="184"/>
    </row>
    <row r="117" spans="4:17" ht="18" customHeight="1">
      <c r="D117" s="185">
        <v>2020</v>
      </c>
      <c r="E117" s="183">
        <v>12</v>
      </c>
      <c r="F117" s="183" t="s">
        <v>632</v>
      </c>
      <c r="G117" s="183" t="s">
        <v>922</v>
      </c>
      <c r="H117" s="183" t="s">
        <v>923</v>
      </c>
      <c r="I117" s="183">
        <v>3</v>
      </c>
      <c r="J117" s="183" t="s">
        <v>473</v>
      </c>
      <c r="K117" s="183">
        <f>SUMIF('CF.1'!$D:$D,'CFS(2개월)'!G117,'CF.1'!$U:$U)</f>
        <v>-6631675919</v>
      </c>
      <c r="L117" s="183">
        <f>SUMIF('CF.1_2개월(단순차감)'!D:D,'CFS(2개월)'!G117,'CF.1_2개월(단순차감)'!AB:AB)</f>
        <v>470415652</v>
      </c>
      <c r="M117" s="186">
        <f t="shared" si="4"/>
        <v>7102091571</v>
      </c>
      <c r="O117" s="182"/>
      <c r="P117" s="183">
        <f t="shared" si="3"/>
        <v>-470415652</v>
      </c>
      <c r="Q117" s="184"/>
    </row>
    <row r="118" spans="4:17" s="190" customFormat="1" ht="18" customHeight="1">
      <c r="D118" s="187">
        <v>2020</v>
      </c>
      <c r="E118" s="188">
        <v>12</v>
      </c>
      <c r="F118" s="188" t="s">
        <v>632</v>
      </c>
      <c r="G118" s="188" t="s">
        <v>994</v>
      </c>
      <c r="H118" s="188" t="s">
        <v>2190</v>
      </c>
      <c r="I118" s="188">
        <v>3</v>
      </c>
      <c r="J118" s="188" t="s">
        <v>473</v>
      </c>
      <c r="K118" s="188">
        <f>SUMIF('CF.1'!$D:$D,'CFS(2개월)'!G118,'CF.1'!$U:$U)</f>
        <v>19882908</v>
      </c>
      <c r="L118" s="188">
        <f>SUMIF('CF.1_2개월(단순차감)'!D:D,'CFS(2개월)'!G118,'CF.1_2개월(단순차감)'!AB:AB)</f>
        <v>44122672</v>
      </c>
      <c r="M118" s="189">
        <f t="shared" si="4"/>
        <v>24239764</v>
      </c>
      <c r="O118" s="191"/>
      <c r="P118" s="188">
        <f t="shared" si="3"/>
        <v>-44122672</v>
      </c>
      <c r="Q118" s="192"/>
    </row>
    <row r="119" spans="4:17" ht="18" customHeight="1">
      <c r="D119" s="185">
        <v>2020</v>
      </c>
      <c r="E119" s="183">
        <v>12</v>
      </c>
      <c r="F119" s="183" t="s">
        <v>632</v>
      </c>
      <c r="G119" s="183" t="s">
        <v>924</v>
      </c>
      <c r="H119" s="183" t="s">
        <v>925</v>
      </c>
      <c r="I119" s="183">
        <v>3</v>
      </c>
      <c r="J119" s="183" t="s">
        <v>473</v>
      </c>
      <c r="K119" s="183">
        <f>SUMIF('CF.1'!$D:$D,'CFS(2개월)'!G119,'CF.1'!$U:$U)</f>
        <v>0</v>
      </c>
      <c r="L119" s="183">
        <f>SUMIF('CF.1_2개월(단순차감)'!D:D,'CFS(2개월)'!G119,'CF.1_2개월(단순차감)'!AB:AB)</f>
        <v>0</v>
      </c>
      <c r="M119" s="186">
        <f t="shared" si="4"/>
        <v>0</v>
      </c>
      <c r="O119" s="182"/>
      <c r="P119" s="183">
        <f t="shared" si="3"/>
        <v>0</v>
      </c>
      <c r="Q119" s="184"/>
    </row>
    <row r="120" spans="4:17" ht="18" customHeight="1">
      <c r="D120" s="185">
        <v>2020</v>
      </c>
      <c r="E120" s="183">
        <v>12</v>
      </c>
      <c r="F120" s="183" t="s">
        <v>632</v>
      </c>
      <c r="G120" s="183" t="s">
        <v>932</v>
      </c>
      <c r="H120" s="183" t="s">
        <v>933</v>
      </c>
      <c r="I120" s="183">
        <v>3</v>
      </c>
      <c r="J120" s="183" t="s">
        <v>473</v>
      </c>
      <c r="K120" s="183">
        <f>SUMIF('CF.1'!$D:$D,'CFS(2개월)'!G120,'CF.1'!$U:$U)</f>
        <v>0</v>
      </c>
      <c r="L120" s="183">
        <f>SUMIF('CF.1_2개월(단순차감)'!D:D,'CFS(2개월)'!G120,'CF.1_2개월(단순차감)'!AB:AB)</f>
        <v>0</v>
      </c>
      <c r="M120" s="186">
        <f t="shared" si="4"/>
        <v>0</v>
      </c>
      <c r="O120" s="182"/>
      <c r="P120" s="183">
        <f t="shared" si="3"/>
        <v>0</v>
      </c>
      <c r="Q120" s="184"/>
    </row>
    <row r="121" spans="4:17" ht="18" customHeight="1">
      <c r="D121" s="185">
        <v>2020</v>
      </c>
      <c r="E121" s="183">
        <v>12</v>
      </c>
      <c r="F121" s="183" t="s">
        <v>632</v>
      </c>
      <c r="G121" s="183" t="s">
        <v>934</v>
      </c>
      <c r="H121" s="183" t="s">
        <v>935</v>
      </c>
      <c r="I121" s="183">
        <v>3</v>
      </c>
      <c r="J121" s="183" t="s">
        <v>473</v>
      </c>
      <c r="K121" s="183">
        <f>SUMIF('CF.1'!$D:$D,'CFS(2개월)'!G121,'CF.1'!$U:$U)</f>
        <v>0</v>
      </c>
      <c r="L121" s="183">
        <f>SUMIF('CF.1_2개월(단순차감)'!D:D,'CFS(2개월)'!G121,'CF.1_2개월(단순차감)'!AB:AB)</f>
        <v>0</v>
      </c>
      <c r="M121" s="186">
        <f t="shared" si="4"/>
        <v>0</v>
      </c>
      <c r="O121" s="182"/>
      <c r="P121" s="183">
        <f t="shared" si="3"/>
        <v>0</v>
      </c>
      <c r="Q121" s="184"/>
    </row>
    <row r="122" spans="4:17" ht="18" customHeight="1">
      <c r="D122" s="185">
        <v>2020</v>
      </c>
      <c r="E122" s="183">
        <v>12</v>
      </c>
      <c r="F122" s="183" t="s">
        <v>632</v>
      </c>
      <c r="G122" s="183" t="s">
        <v>936</v>
      </c>
      <c r="H122" s="183" t="s">
        <v>937</v>
      </c>
      <c r="I122" s="183">
        <v>3</v>
      </c>
      <c r="J122" s="183" t="s">
        <v>473</v>
      </c>
      <c r="K122" s="183">
        <f>SUMIF('CF.1'!$D:$D,'CFS(2개월)'!G122,'CF.1'!$U:$U)</f>
        <v>0</v>
      </c>
      <c r="L122" s="183">
        <f>SUMIF('CF.1_2개월(단순차감)'!D:D,'CFS(2개월)'!G122,'CF.1_2개월(단순차감)'!AB:AB)</f>
        <v>0</v>
      </c>
      <c r="M122" s="186">
        <f t="shared" si="4"/>
        <v>0</v>
      </c>
      <c r="O122" s="182"/>
      <c r="P122" s="183">
        <f t="shared" si="3"/>
        <v>0</v>
      </c>
      <c r="Q122" s="184"/>
    </row>
    <row r="123" spans="4:17" ht="18" customHeight="1">
      <c r="D123" s="185">
        <v>2020</v>
      </c>
      <c r="E123" s="183">
        <v>12</v>
      </c>
      <c r="F123" s="183" t="s">
        <v>632</v>
      </c>
      <c r="G123" s="183" t="s">
        <v>938</v>
      </c>
      <c r="H123" s="183" t="s">
        <v>939</v>
      </c>
      <c r="I123" s="183">
        <v>3</v>
      </c>
      <c r="J123" s="183" t="s">
        <v>473</v>
      </c>
      <c r="K123" s="183">
        <f>SUMIF('CF.1'!$D:$D,'CFS(2개월)'!G123,'CF.1'!$U:$U)</f>
        <v>0</v>
      </c>
      <c r="L123" s="183">
        <f>SUMIF('CF.1_2개월(단순차감)'!D:D,'CFS(2개월)'!G123,'CF.1_2개월(단순차감)'!AB:AB)</f>
        <v>0</v>
      </c>
      <c r="M123" s="186">
        <f t="shared" si="4"/>
        <v>0</v>
      </c>
      <c r="O123" s="182"/>
      <c r="P123" s="183">
        <f t="shared" si="3"/>
        <v>0</v>
      </c>
      <c r="Q123" s="184"/>
    </row>
    <row r="124" spans="4:17" ht="18" customHeight="1">
      <c r="D124" s="185">
        <v>2020</v>
      </c>
      <c r="E124" s="183">
        <v>12</v>
      </c>
      <c r="F124" s="183" t="s">
        <v>632</v>
      </c>
      <c r="G124" s="183" t="s">
        <v>940</v>
      </c>
      <c r="H124" s="183" t="s">
        <v>941</v>
      </c>
      <c r="I124" s="183">
        <v>3</v>
      </c>
      <c r="J124" s="183" t="s">
        <v>473</v>
      </c>
      <c r="K124" s="183">
        <f>SUMIF('CF.1'!$D:$D,'CFS(2개월)'!G124,'CF.1'!$U:$U)</f>
        <v>5519858661</v>
      </c>
      <c r="L124" s="183">
        <f>SUMIF('CF.1_2개월(단순차감)'!D:D,'CFS(2개월)'!G124,'CF.1_2개월(단순차감)'!AB:AB)</f>
        <v>-202363772</v>
      </c>
      <c r="M124" s="186">
        <f t="shared" si="4"/>
        <v>-5722222433</v>
      </c>
      <c r="O124" s="182"/>
      <c r="P124" s="183">
        <f t="shared" si="3"/>
        <v>202363772</v>
      </c>
      <c r="Q124" s="184"/>
    </row>
    <row r="125" spans="4:17" s="190" customFormat="1" ht="18" customHeight="1">
      <c r="D125" s="187">
        <v>2020</v>
      </c>
      <c r="E125" s="188">
        <v>12</v>
      </c>
      <c r="F125" s="188" t="s">
        <v>632</v>
      </c>
      <c r="G125" s="188" t="s">
        <v>942</v>
      </c>
      <c r="H125" s="188" t="s">
        <v>943</v>
      </c>
      <c r="I125" s="188">
        <v>3</v>
      </c>
      <c r="J125" s="188" t="s">
        <v>473</v>
      </c>
      <c r="K125" s="188">
        <f>SUMIF('CF.1'!$D:$D,'CFS(2개월)'!G125,'CF.1'!$U:$U)</f>
        <v>0</v>
      </c>
      <c r="L125" s="188">
        <f>SUMIF('CF.1_2개월(단순차감)'!D:D,'CFS(2개월)'!G125,'CF.1_2개월(단순차감)'!AB:AB)</f>
        <v>0</v>
      </c>
      <c r="M125" s="189">
        <f t="shared" si="4"/>
        <v>0</v>
      </c>
      <c r="O125" s="191"/>
      <c r="P125" s="188">
        <f t="shared" si="3"/>
        <v>0</v>
      </c>
      <c r="Q125" s="192" t="s">
        <v>1685</v>
      </c>
    </row>
    <row r="126" spans="4:17" ht="18" customHeight="1">
      <c r="D126" s="185">
        <v>2020</v>
      </c>
      <c r="E126" s="183">
        <v>12</v>
      </c>
      <c r="F126" s="183" t="s">
        <v>632</v>
      </c>
      <c r="G126" s="183" t="s">
        <v>944</v>
      </c>
      <c r="H126" s="183" t="s">
        <v>945</v>
      </c>
      <c r="I126" s="183">
        <v>3</v>
      </c>
      <c r="J126" s="183" t="s">
        <v>473</v>
      </c>
      <c r="K126" s="183">
        <f>SUMIF('CF.1'!$D:$D,'CFS(2개월)'!G126,'CF.1'!$U:$U)</f>
        <v>-316678366</v>
      </c>
      <c r="L126" s="183">
        <f>SUMIF('CF.1_2개월(단순차감)'!D:D,'CFS(2개월)'!G126,'CF.1_2개월(단순차감)'!AB:AB)</f>
        <v>407304615</v>
      </c>
      <c r="M126" s="186">
        <f t="shared" si="4"/>
        <v>723982981</v>
      </c>
      <c r="O126" s="182"/>
      <c r="P126" s="183">
        <f t="shared" si="3"/>
        <v>-407304615</v>
      </c>
      <c r="Q126" s="184"/>
    </row>
    <row r="127" spans="4:17" s="190" customFormat="1" ht="18" customHeight="1">
      <c r="D127" s="187">
        <v>2020</v>
      </c>
      <c r="E127" s="188">
        <v>12</v>
      </c>
      <c r="F127" s="188" t="s">
        <v>632</v>
      </c>
      <c r="G127" s="188" t="s">
        <v>946</v>
      </c>
      <c r="H127" s="188" t="s">
        <v>947</v>
      </c>
      <c r="I127" s="188">
        <v>3</v>
      </c>
      <c r="J127" s="188" t="s">
        <v>473</v>
      </c>
      <c r="K127" s="188">
        <f>SUMIF('CF.1'!$D:$D,'CFS(2개월)'!G127,'CF.1'!$U:$U)</f>
        <v>0</v>
      </c>
      <c r="L127" s="188">
        <f>SUMIF('CF.1_2개월(단순차감)'!D:D,'CFS(2개월)'!G127,'CF.1_2개월(단순차감)'!AB:AB)</f>
        <v>0</v>
      </c>
      <c r="M127" s="189">
        <f t="shared" si="4"/>
        <v>0</v>
      </c>
      <c r="O127" s="191"/>
      <c r="P127" s="188">
        <f t="shared" si="3"/>
        <v>0</v>
      </c>
      <c r="Q127" s="192" t="s">
        <v>1685</v>
      </c>
    </row>
    <row r="128" spans="4:17" ht="18" customHeight="1">
      <c r="D128" s="185">
        <v>2020</v>
      </c>
      <c r="E128" s="183">
        <v>12</v>
      </c>
      <c r="F128" s="183" t="s">
        <v>632</v>
      </c>
      <c r="G128" s="183" t="s">
        <v>948</v>
      </c>
      <c r="H128" s="183" t="s">
        <v>949</v>
      </c>
      <c r="I128" s="183">
        <v>3</v>
      </c>
      <c r="J128" s="183" t="s">
        <v>473</v>
      </c>
      <c r="K128" s="183">
        <f>SUMIF('CF.1'!$D:$D,'CFS(2개월)'!G128,'CF.1'!$U:$U)</f>
        <v>4443110392</v>
      </c>
      <c r="L128" s="183">
        <f>SUMIF('CF.1_2개월(단순차감)'!D:D,'CFS(2개월)'!G128,'CF.1_2개월(단순차감)'!AB:AB)</f>
        <v>7516324533</v>
      </c>
      <c r="M128" s="186">
        <f t="shared" si="4"/>
        <v>3073214141</v>
      </c>
      <c r="O128" s="182"/>
      <c r="P128" s="183">
        <f t="shared" si="3"/>
        <v>-7516324533</v>
      </c>
      <c r="Q128" s="184"/>
    </row>
    <row r="129" spans="4:17" s="190" customFormat="1" ht="18" customHeight="1">
      <c r="D129" s="187">
        <v>2020</v>
      </c>
      <c r="E129" s="188">
        <v>12</v>
      </c>
      <c r="F129" s="188" t="s">
        <v>632</v>
      </c>
      <c r="G129" s="188" t="s">
        <v>950</v>
      </c>
      <c r="H129" s="188" t="s">
        <v>951</v>
      </c>
      <c r="I129" s="188">
        <v>3</v>
      </c>
      <c r="J129" s="188" t="s">
        <v>473</v>
      </c>
      <c r="K129" s="188">
        <f>SUMIF('CF.1'!$D:$D,'CFS(2개월)'!G129,'CF.1'!$U:$U)</f>
        <v>-1895235072</v>
      </c>
      <c r="L129" s="183">
        <f>SUMIF('CF.1_2개월(단순차감)'!D:D,'CFS(2개월)'!G129,'CF.1_2개월(단순차감)'!AB:AB)</f>
        <v>2252978663</v>
      </c>
      <c r="M129" s="189">
        <f t="shared" si="4"/>
        <v>4148213735</v>
      </c>
      <c r="O129" s="191"/>
      <c r="P129" s="188">
        <f t="shared" si="3"/>
        <v>-2252978663</v>
      </c>
      <c r="Q129" s="192"/>
    </row>
    <row r="130" spans="4:17" ht="18" customHeight="1">
      <c r="D130" s="185">
        <v>2020</v>
      </c>
      <c r="E130" s="183">
        <v>12</v>
      </c>
      <c r="F130" s="183" t="s">
        <v>632</v>
      </c>
      <c r="G130" s="183" t="s">
        <v>952</v>
      </c>
      <c r="H130" s="183" t="s">
        <v>953</v>
      </c>
      <c r="I130" s="183">
        <v>3</v>
      </c>
      <c r="J130" s="183" t="s">
        <v>473</v>
      </c>
      <c r="K130" s="183">
        <f>SUMIF('CF.1'!$D:$D,'CFS(2개월)'!G130,'CF.1'!$U:$U)</f>
        <v>-2009212860</v>
      </c>
      <c r="L130" s="183">
        <f>SUMIF('CF.1_2개월(단순차감)'!D:D,'CFS(2개월)'!G130,'CF.1_2개월(단순차감)'!AB:AB)</f>
        <v>1132962465</v>
      </c>
      <c r="M130" s="186">
        <f t="shared" si="4"/>
        <v>3142175325</v>
      </c>
      <c r="O130" s="182"/>
      <c r="P130" s="183">
        <f t="shared" si="3"/>
        <v>-1132962465</v>
      </c>
      <c r="Q130" s="184"/>
    </row>
    <row r="131" spans="4:17" ht="18" customHeight="1">
      <c r="D131" s="185">
        <v>2020</v>
      </c>
      <c r="E131" s="183">
        <v>12</v>
      </c>
      <c r="F131" s="183" t="s">
        <v>632</v>
      </c>
      <c r="G131" s="183" t="s">
        <v>956</v>
      </c>
      <c r="H131" s="183" t="s">
        <v>957</v>
      </c>
      <c r="I131" s="183">
        <v>3</v>
      </c>
      <c r="J131" s="183" t="s">
        <v>473</v>
      </c>
      <c r="K131" s="183">
        <f>SUMIF('CF.1'!$D:$D,'CFS(2개월)'!G131,'CF.1'!$U:$U)</f>
        <v>0</v>
      </c>
      <c r="L131" s="183">
        <f>SUMIF('CF.1_2개월(단순차감)'!D:D,'CFS(2개월)'!G131,'CF.1_2개월(단순차감)'!AB:AB)</f>
        <v>0</v>
      </c>
      <c r="M131" s="186">
        <f t="shared" si="4"/>
        <v>0</v>
      </c>
      <c r="O131" s="182"/>
      <c r="P131" s="183">
        <f t="shared" si="3"/>
        <v>0</v>
      </c>
      <c r="Q131" s="184"/>
    </row>
    <row r="132" spans="4:17" ht="18" customHeight="1">
      <c r="D132" s="185">
        <v>2020</v>
      </c>
      <c r="E132" s="183">
        <v>12</v>
      </c>
      <c r="F132" s="183" t="s">
        <v>632</v>
      </c>
      <c r="G132" s="183" t="s">
        <v>958</v>
      </c>
      <c r="H132" s="183" t="s">
        <v>959</v>
      </c>
      <c r="I132" s="183">
        <v>3</v>
      </c>
      <c r="J132" s="183" t="s">
        <v>473</v>
      </c>
      <c r="K132" s="183">
        <f>SUMIF('CF.1'!$D:$D,'CFS(2개월)'!G132,'CF.1'!$U:$U)</f>
        <v>0</v>
      </c>
      <c r="L132" s="183">
        <f>SUMIF('CF.1_2개월(단순차감)'!D:D,'CFS(2개월)'!G132,'CF.1_2개월(단순차감)'!AB:AB)</f>
        <v>0</v>
      </c>
      <c r="M132" s="186">
        <f t="shared" si="4"/>
        <v>0</v>
      </c>
      <c r="O132" s="182"/>
      <c r="P132" s="183">
        <f t="shared" si="3"/>
        <v>0</v>
      </c>
      <c r="Q132" s="184"/>
    </row>
    <row r="133" spans="4:17" ht="18" customHeight="1">
      <c r="D133" s="185">
        <v>2020</v>
      </c>
      <c r="E133" s="183">
        <v>12</v>
      </c>
      <c r="F133" s="183" t="s">
        <v>632</v>
      </c>
      <c r="G133" s="183" t="s">
        <v>960</v>
      </c>
      <c r="H133" s="183" t="s">
        <v>961</v>
      </c>
      <c r="I133" s="183">
        <v>3</v>
      </c>
      <c r="J133" s="183" t="s">
        <v>473</v>
      </c>
      <c r="K133" s="183">
        <f>SUMIF('CF.1'!$D:$D,'CFS(2개월)'!G133,'CF.1'!$U:$U)</f>
        <v>0</v>
      </c>
      <c r="L133" s="183">
        <f>SUMIF('CF.1_2개월(단순차감)'!D:D,'CFS(2개월)'!G133,'CF.1_2개월(단순차감)'!AB:AB)</f>
        <v>0</v>
      </c>
      <c r="M133" s="186">
        <f t="shared" si="4"/>
        <v>0</v>
      </c>
      <c r="O133" s="182"/>
      <c r="P133" s="183">
        <f t="shared" si="3"/>
        <v>0</v>
      </c>
      <c r="Q133" s="184"/>
    </row>
    <row r="134" spans="4:17" ht="18" customHeight="1">
      <c r="D134" s="185">
        <v>2020</v>
      </c>
      <c r="E134" s="183">
        <v>12</v>
      </c>
      <c r="F134" s="183" t="s">
        <v>632</v>
      </c>
      <c r="G134" s="183" t="s">
        <v>962</v>
      </c>
      <c r="H134" s="183" t="s">
        <v>963</v>
      </c>
      <c r="I134" s="183">
        <v>3</v>
      </c>
      <c r="J134" s="183" t="s">
        <v>473</v>
      </c>
      <c r="K134" s="183">
        <f>SUMIF('CF.1'!$D:$D,'CFS(2개월)'!G134,'CF.1'!$U:$U)</f>
        <v>0</v>
      </c>
      <c r="L134" s="183">
        <f>SUMIF('CF.1_2개월(단순차감)'!D:D,'CFS(2개월)'!G134,'CF.1_2개월(단순차감)'!AB:AB)</f>
        <v>0</v>
      </c>
      <c r="M134" s="186">
        <f t="shared" si="4"/>
        <v>0</v>
      </c>
      <c r="O134" s="182"/>
      <c r="P134" s="183">
        <f t="shared" si="3"/>
        <v>0</v>
      </c>
      <c r="Q134" s="184"/>
    </row>
    <row r="135" spans="4:17" ht="18" customHeight="1">
      <c r="D135" s="185">
        <v>2020</v>
      </c>
      <c r="E135" s="183">
        <v>12</v>
      </c>
      <c r="F135" s="183" t="s">
        <v>632</v>
      </c>
      <c r="G135" s="183" t="s">
        <v>964</v>
      </c>
      <c r="H135" s="183" t="s">
        <v>965</v>
      </c>
      <c r="I135" s="183">
        <v>3</v>
      </c>
      <c r="J135" s="183" t="s">
        <v>473</v>
      </c>
      <c r="K135" s="183">
        <f>SUMIF('CF.1'!$D:$D,'CFS(2개월)'!G135,'CF.1'!$U:$U)</f>
        <v>784017738</v>
      </c>
      <c r="L135" s="183">
        <f>SUMIF('CF.1_2개월(단순차감)'!D:D,'CFS(2개월)'!G135,'CF.1_2개월(단순차감)'!AB:AB)</f>
        <v>-2015230062</v>
      </c>
      <c r="M135" s="186">
        <f t="shared" si="4"/>
        <v>-2799247800</v>
      </c>
      <c r="O135" s="182"/>
      <c r="P135" s="183">
        <f t="shared" si="3"/>
        <v>2015230062</v>
      </c>
      <c r="Q135" s="184"/>
    </row>
    <row r="136" spans="4:17" ht="18" customHeight="1">
      <c r="D136" s="185">
        <v>2020</v>
      </c>
      <c r="E136" s="183">
        <v>12</v>
      </c>
      <c r="F136" s="183" t="s">
        <v>632</v>
      </c>
      <c r="G136" s="183" t="s">
        <v>966</v>
      </c>
      <c r="H136" s="183" t="s">
        <v>967</v>
      </c>
      <c r="I136" s="183">
        <v>3</v>
      </c>
      <c r="J136" s="183" t="s">
        <v>473</v>
      </c>
      <c r="K136" s="183">
        <f>SUMIF('CF.1'!$D:$D,'CFS(2개월)'!G136,'CF.1'!$U:$U)</f>
        <v>0</v>
      </c>
      <c r="L136" s="183">
        <f>SUMIF('CF.1_2개월(단순차감)'!D:D,'CFS(2개월)'!G136,'CF.1_2개월(단순차감)'!AB:AB)</f>
        <v>0</v>
      </c>
      <c r="M136" s="186">
        <f t="shared" si="4"/>
        <v>0</v>
      </c>
      <c r="O136" s="182"/>
      <c r="P136" s="183">
        <f t="shared" si="3"/>
        <v>0</v>
      </c>
      <c r="Q136" s="184"/>
    </row>
    <row r="137" spans="4:17" ht="18" customHeight="1">
      <c r="D137" s="185">
        <v>2020</v>
      </c>
      <c r="E137" s="183">
        <v>12</v>
      </c>
      <c r="F137" s="183" t="s">
        <v>632</v>
      </c>
      <c r="G137" s="183" t="s">
        <v>968</v>
      </c>
      <c r="H137" s="183" t="s">
        <v>969</v>
      </c>
      <c r="I137" s="183">
        <v>3</v>
      </c>
      <c r="J137" s="183" t="s">
        <v>473</v>
      </c>
      <c r="K137" s="183">
        <f>SUMIF('CF.1'!$D:$D,'CFS(2개월)'!G137,'CF.1'!$U:$U)</f>
        <v>0</v>
      </c>
      <c r="L137" s="183">
        <f>SUMIF('CF.1_2개월(단순차감)'!D:D,'CFS(2개월)'!G137,'CF.1_2개월(단순차감)'!AB:AB)</f>
        <v>0</v>
      </c>
      <c r="M137" s="186">
        <f t="shared" si="4"/>
        <v>0</v>
      </c>
      <c r="O137" s="182"/>
      <c r="P137" s="183">
        <f t="shared" ref="P137:P200" si="5">O137-L137</f>
        <v>0</v>
      </c>
      <c r="Q137" s="184"/>
    </row>
    <row r="138" spans="4:17" ht="18" customHeight="1">
      <c r="D138" s="185">
        <v>2020</v>
      </c>
      <c r="E138" s="183">
        <v>12</v>
      </c>
      <c r="F138" s="183" t="s">
        <v>632</v>
      </c>
      <c r="G138" s="183" t="s">
        <v>970</v>
      </c>
      <c r="H138" s="183" t="s">
        <v>971</v>
      </c>
      <c r="I138" s="183">
        <v>3</v>
      </c>
      <c r="J138" s="183" t="s">
        <v>473</v>
      </c>
      <c r="K138" s="183">
        <f>SUMIF('CF.1'!$D:$D,'CFS(2개월)'!G138,'CF.1'!$U:$U)</f>
        <v>526577000</v>
      </c>
      <c r="L138" s="183">
        <f>SUMIF('CF.1_2개월(단순차감)'!D:D,'CFS(2개월)'!G138,'CF.1_2개월(단순차감)'!AB:AB)</f>
        <v>171756000</v>
      </c>
      <c r="M138" s="186">
        <f t="shared" si="4"/>
        <v>-354821000</v>
      </c>
      <c r="O138" s="182"/>
      <c r="P138" s="183">
        <f t="shared" si="5"/>
        <v>-171756000</v>
      </c>
      <c r="Q138" s="184"/>
    </row>
    <row r="139" spans="4:17" ht="18" customHeight="1">
      <c r="D139" s="185">
        <v>2020</v>
      </c>
      <c r="E139" s="183">
        <v>12</v>
      </c>
      <c r="F139" s="183" t="s">
        <v>632</v>
      </c>
      <c r="G139" s="183" t="s">
        <v>972</v>
      </c>
      <c r="H139" s="183" t="s">
        <v>973</v>
      </c>
      <c r="I139" s="183">
        <v>3</v>
      </c>
      <c r="J139" s="183" t="s">
        <v>473</v>
      </c>
      <c r="K139" s="183">
        <f>SUMIF('CF.1'!$D:$D,'CFS(2개월)'!G139,'CF.1'!$U:$U)</f>
        <v>0</v>
      </c>
      <c r="L139" s="183">
        <f>SUMIF('CF.1_2개월(단순차감)'!D:D,'CFS(2개월)'!G139,'CF.1_2개월(단순차감)'!AB:AB)</f>
        <v>38740390</v>
      </c>
      <c r="M139" s="186">
        <f t="shared" si="4"/>
        <v>38740390</v>
      </c>
      <c r="O139" s="182"/>
      <c r="P139" s="183">
        <f t="shared" si="5"/>
        <v>-38740390</v>
      </c>
      <c r="Q139" s="184"/>
    </row>
    <row r="140" spans="4:17" ht="18" customHeight="1">
      <c r="D140" s="185">
        <v>2020</v>
      </c>
      <c r="E140" s="183">
        <v>12</v>
      </c>
      <c r="F140" s="183" t="s">
        <v>632</v>
      </c>
      <c r="G140" s="183" t="s">
        <v>974</v>
      </c>
      <c r="H140" s="183" t="s">
        <v>975</v>
      </c>
      <c r="I140" s="183">
        <v>3</v>
      </c>
      <c r="J140" s="183" t="s">
        <v>473</v>
      </c>
      <c r="K140" s="183">
        <f>SUMIF('CF.1'!$D:$D,'CFS(2개월)'!G140,'CF.1'!$U:$U)</f>
        <v>0</v>
      </c>
      <c r="L140" s="183">
        <f>SUMIF('CF.1_2개월(단순차감)'!D:D,'CFS(2개월)'!G140,'CF.1_2개월(단순차감)'!AB:AB)</f>
        <v>0</v>
      </c>
      <c r="M140" s="186">
        <f t="shared" si="4"/>
        <v>0</v>
      </c>
      <c r="O140" s="182"/>
      <c r="P140" s="183">
        <f t="shared" si="5"/>
        <v>0</v>
      </c>
      <c r="Q140" s="184"/>
    </row>
    <row r="141" spans="4:17" ht="18" customHeight="1">
      <c r="D141" s="185">
        <v>2020</v>
      </c>
      <c r="E141" s="183">
        <v>12</v>
      </c>
      <c r="F141" s="183" t="s">
        <v>632</v>
      </c>
      <c r="G141" s="183" t="s">
        <v>976</v>
      </c>
      <c r="H141" s="183" t="s">
        <v>977</v>
      </c>
      <c r="I141" s="183">
        <v>3</v>
      </c>
      <c r="J141" s="183" t="s">
        <v>473</v>
      </c>
      <c r="K141" s="183">
        <f>SUMIF('CF.1'!$D:$D,'CFS(2개월)'!G141,'CF.1'!$U:$U)</f>
        <v>-866111443</v>
      </c>
      <c r="L141" s="183">
        <f>SUMIF('CF.1_2개월(단순차감)'!D:D,'CFS(2개월)'!G141,'CF.1_2개월(단순차감)'!AB:AB)</f>
        <v>-198360375</v>
      </c>
      <c r="M141" s="186">
        <f t="shared" si="4"/>
        <v>667751068</v>
      </c>
      <c r="O141" s="182"/>
      <c r="P141" s="183">
        <f t="shared" si="5"/>
        <v>198360375</v>
      </c>
      <c r="Q141" s="184"/>
    </row>
    <row r="142" spans="4:17" ht="18" customHeight="1">
      <c r="D142" s="185">
        <v>2020</v>
      </c>
      <c r="E142" s="183">
        <v>12</v>
      </c>
      <c r="F142" s="183" t="s">
        <v>632</v>
      </c>
      <c r="G142" s="183" t="s">
        <v>2051</v>
      </c>
      <c r="H142" s="183" t="s">
        <v>979</v>
      </c>
      <c r="I142" s="183">
        <v>3</v>
      </c>
      <c r="J142" s="183" t="s">
        <v>473</v>
      </c>
      <c r="K142" s="183">
        <f>SUMIF('CF.1'!$D:$D,'CFS(2개월)'!G142,'CF.1'!$U:$U)</f>
        <v>0</v>
      </c>
      <c r="L142" s="183">
        <f>SUMIF('CF.1_2개월(단순차감)'!D:D,'CFS(2개월)'!G142,'CF.1_2개월(단순차감)'!AB:AB)</f>
        <v>0</v>
      </c>
      <c r="M142" s="186">
        <v>0</v>
      </c>
      <c r="O142" s="182"/>
      <c r="P142" s="183">
        <f t="shared" si="5"/>
        <v>0</v>
      </c>
      <c r="Q142" s="184"/>
    </row>
    <row r="143" spans="4:17" ht="18" customHeight="1">
      <c r="D143" s="185">
        <v>2020</v>
      </c>
      <c r="E143" s="183">
        <v>12</v>
      </c>
      <c r="F143" s="183" t="s">
        <v>632</v>
      </c>
      <c r="G143" s="183" t="s">
        <v>982</v>
      </c>
      <c r="H143" s="183" t="s">
        <v>983</v>
      </c>
      <c r="I143" s="183">
        <v>3</v>
      </c>
      <c r="J143" s="183" t="s">
        <v>473</v>
      </c>
      <c r="K143" s="183">
        <f>SUMIF('CF.1'!$D:$D,'CFS(2개월)'!G143,'CF.1'!$U:$U)</f>
        <v>0</v>
      </c>
      <c r="L143" s="183">
        <f>SUMIF('CF.1_2개월(단순차감)'!D:D,'CFS(2개월)'!G143,'CF.1_2개월(단순차감)'!AB:AB)</f>
        <v>0</v>
      </c>
      <c r="M143" s="186">
        <f t="shared" si="4"/>
        <v>0</v>
      </c>
      <c r="O143" s="182"/>
      <c r="P143" s="183">
        <f t="shared" si="5"/>
        <v>0</v>
      </c>
      <c r="Q143" s="184"/>
    </row>
    <row r="144" spans="4:17" ht="18" customHeight="1">
      <c r="D144" s="185">
        <v>2020</v>
      </c>
      <c r="E144" s="183">
        <v>12</v>
      </c>
      <c r="F144" s="183" t="s">
        <v>632</v>
      </c>
      <c r="G144" s="183" t="s">
        <v>984</v>
      </c>
      <c r="H144" s="183" t="s">
        <v>1503</v>
      </c>
      <c r="I144" s="183">
        <v>3</v>
      </c>
      <c r="J144" s="183" t="s">
        <v>473</v>
      </c>
      <c r="K144" s="183">
        <f>SUMIF('CF.1'!$D:$D,'CFS(2개월)'!G144,'CF.1'!$U:$U)</f>
        <v>0</v>
      </c>
      <c r="L144" s="183">
        <f>SUMIF('CF.1_2개월(단순차감)'!D:D,'CFS(2개월)'!G144,'CF.1_2개월(단순차감)'!AB:AB)</f>
        <v>0</v>
      </c>
      <c r="M144" s="186">
        <f t="shared" si="4"/>
        <v>0</v>
      </c>
      <c r="O144" s="182"/>
      <c r="P144" s="183">
        <f t="shared" si="5"/>
        <v>0</v>
      </c>
      <c r="Q144" s="184"/>
    </row>
    <row r="145" spans="4:17" ht="18" customHeight="1">
      <c r="D145" s="185">
        <v>2020</v>
      </c>
      <c r="E145" s="183">
        <v>12</v>
      </c>
      <c r="F145" s="183" t="s">
        <v>632</v>
      </c>
      <c r="G145" s="183" t="s">
        <v>1504</v>
      </c>
      <c r="H145" s="183" t="s">
        <v>1505</v>
      </c>
      <c r="I145" s="183">
        <v>3</v>
      </c>
      <c r="J145" s="183" t="s">
        <v>473</v>
      </c>
      <c r="K145" s="183">
        <f>SUMIF('CF.1'!$D:$D,'CFS(2개월)'!G145,'CF.1'!$U:$U)</f>
        <v>0</v>
      </c>
      <c r="L145" s="183">
        <f>SUMIF('CF.1_2개월(단순차감)'!D:D,'CFS(2개월)'!G145,'CF.1_2개월(단순차감)'!AB:AB)</f>
        <v>0</v>
      </c>
      <c r="M145" s="186">
        <f t="shared" si="4"/>
        <v>0</v>
      </c>
      <c r="O145" s="182"/>
      <c r="P145" s="183">
        <f t="shared" si="5"/>
        <v>0</v>
      </c>
      <c r="Q145" s="184"/>
    </row>
    <row r="146" spans="4:17" ht="18" customHeight="1">
      <c r="D146" s="185">
        <v>2020</v>
      </c>
      <c r="E146" s="183">
        <v>12</v>
      </c>
      <c r="F146" s="183" t="s">
        <v>632</v>
      </c>
      <c r="G146" s="183" t="s">
        <v>1506</v>
      </c>
      <c r="H146" s="183" t="s">
        <v>1507</v>
      </c>
      <c r="I146" s="183">
        <v>3</v>
      </c>
      <c r="J146" s="183" t="s">
        <v>473</v>
      </c>
      <c r="K146" s="183">
        <f>SUMIF('CF.1'!$D:$D,'CFS(2개월)'!G146,'CF.1'!$U:$U)</f>
        <v>0</v>
      </c>
      <c r="L146" s="183">
        <f>SUMIF('CF.1_2개월(단순차감)'!D:D,'CFS(2개월)'!G146,'CF.1_2개월(단순차감)'!AB:AB)</f>
        <v>0</v>
      </c>
      <c r="M146" s="186">
        <f t="shared" si="4"/>
        <v>0</v>
      </c>
      <c r="O146" s="182"/>
      <c r="P146" s="183">
        <f t="shared" si="5"/>
        <v>0</v>
      </c>
      <c r="Q146" s="184"/>
    </row>
    <row r="147" spans="4:17" ht="18" customHeight="1">
      <c r="D147" s="185">
        <v>2020</v>
      </c>
      <c r="E147" s="183">
        <v>12</v>
      </c>
      <c r="F147" s="183" t="s">
        <v>632</v>
      </c>
      <c r="G147" s="183" t="s">
        <v>1508</v>
      </c>
      <c r="H147" s="183" t="s">
        <v>1509</v>
      </c>
      <c r="I147" s="183">
        <v>3</v>
      </c>
      <c r="J147" s="183" t="s">
        <v>473</v>
      </c>
      <c r="K147" s="183">
        <f>SUMIF('CF.1'!$D:$D,'CFS(2개월)'!G147,'CF.1'!$U:$U)</f>
        <v>0</v>
      </c>
      <c r="L147" s="183">
        <f>SUMIF('CF.1_2개월(단순차감)'!D:D,'CFS(2개월)'!G147,'CF.1_2개월(단순차감)'!AB:AB)</f>
        <v>0</v>
      </c>
      <c r="M147" s="186">
        <f t="shared" si="4"/>
        <v>0</v>
      </c>
      <c r="O147" s="182"/>
      <c r="P147" s="183">
        <f t="shared" si="5"/>
        <v>0</v>
      </c>
      <c r="Q147" s="184"/>
    </row>
    <row r="148" spans="4:17" ht="18" customHeight="1">
      <c r="D148" s="185">
        <v>2020</v>
      </c>
      <c r="E148" s="183">
        <v>12</v>
      </c>
      <c r="F148" s="183" t="s">
        <v>632</v>
      </c>
      <c r="G148" s="183" t="s">
        <v>992</v>
      </c>
      <c r="H148" s="183" t="s">
        <v>993</v>
      </c>
      <c r="I148" s="183">
        <v>3</v>
      </c>
      <c r="J148" s="183" t="s">
        <v>473</v>
      </c>
      <c r="K148" s="183">
        <f>SUMIF('CF.1'!$D:$D,'CFS(2개월)'!G148,'CF.1'!$U:$U)</f>
        <v>-36452205</v>
      </c>
      <c r="L148" s="183">
        <f>SUMIF('CF.1_2개월(단순차감)'!D:D,'CFS(2개월)'!G148,'CF.1_2개월(단순차감)'!AB:AB)</f>
        <v>-64521395</v>
      </c>
      <c r="M148" s="186">
        <f t="shared" si="4"/>
        <v>-28069190</v>
      </c>
      <c r="O148" s="182"/>
      <c r="P148" s="183">
        <f t="shared" si="5"/>
        <v>64521395</v>
      </c>
      <c r="Q148" s="184"/>
    </row>
    <row r="149" spans="4:17" ht="18" customHeight="1">
      <c r="D149" s="185">
        <v>2020</v>
      </c>
      <c r="E149" s="183">
        <v>12</v>
      </c>
      <c r="F149" s="183" t="s">
        <v>632</v>
      </c>
      <c r="G149" s="183" t="s">
        <v>998</v>
      </c>
      <c r="H149" s="183" t="s">
        <v>999</v>
      </c>
      <c r="I149" s="183">
        <v>3</v>
      </c>
      <c r="J149" s="183" t="s">
        <v>473</v>
      </c>
      <c r="K149" s="183">
        <f>SUMIF('CF.1'!$D:$D,'CFS(2개월)'!G149,'CF.1'!$U:$U)</f>
        <v>-959730986</v>
      </c>
      <c r="L149" s="183">
        <f>SUMIF('CF.1_2개월(단순차감)'!D:D,'CFS(2개월)'!G149,'CF.1_2개월(단순차감)'!AB:AB)</f>
        <v>1478181723</v>
      </c>
      <c r="M149" s="186"/>
      <c r="O149" s="182"/>
      <c r="P149" s="183">
        <f t="shared" si="5"/>
        <v>-1478181723</v>
      </c>
      <c r="Q149" s="184"/>
    </row>
    <row r="150" spans="4:17" ht="18" customHeight="1">
      <c r="D150" s="179">
        <v>2020</v>
      </c>
      <c r="E150" s="180">
        <v>12</v>
      </c>
      <c r="F150" s="180" t="s">
        <v>632</v>
      </c>
      <c r="G150" s="180" t="s">
        <v>1002</v>
      </c>
      <c r="H150" s="180" t="s">
        <v>1003</v>
      </c>
      <c r="I150" s="180">
        <v>2</v>
      </c>
      <c r="J150" s="180" t="s">
        <v>473</v>
      </c>
      <c r="K150" s="180">
        <f>SUM(K151:K155)</f>
        <v>934575225</v>
      </c>
      <c r="L150" s="180">
        <f>SUM(L151:L155)</f>
        <v>116938653</v>
      </c>
      <c r="M150" s="181">
        <f>SUM(M151:M155)</f>
        <v>-817636572</v>
      </c>
      <c r="O150" s="182"/>
      <c r="P150" s="183">
        <f t="shared" si="5"/>
        <v>-116938653</v>
      </c>
      <c r="Q150" s="184"/>
    </row>
    <row r="151" spans="4:17" ht="18" customHeight="1">
      <c r="D151" s="185">
        <v>2020</v>
      </c>
      <c r="E151" s="183">
        <v>12</v>
      </c>
      <c r="F151" s="183" t="s">
        <v>632</v>
      </c>
      <c r="G151" s="183" t="s">
        <v>1004</v>
      </c>
      <c r="H151" s="183" t="s">
        <v>1005</v>
      </c>
      <c r="I151" s="183">
        <v>3</v>
      </c>
      <c r="J151" s="183" t="s">
        <v>473</v>
      </c>
      <c r="K151" s="183">
        <f>SUMIF('CF.1'!$D:$D,'CFS(2개월)'!G151,'CF.1'!$U:$U)</f>
        <v>0</v>
      </c>
      <c r="L151" s="183">
        <f>SUMIF('CF.1_2개월(단순차감)'!D:D,'CFS(2개월)'!G151,'CF.1_2개월(단순차감)'!AB:AB)</f>
        <v>0</v>
      </c>
      <c r="M151" s="186">
        <f>L151-K151</f>
        <v>0</v>
      </c>
      <c r="O151" s="182"/>
      <c r="P151" s="183">
        <f t="shared" si="5"/>
        <v>0</v>
      </c>
      <c r="Q151" s="184"/>
    </row>
    <row r="152" spans="4:17" ht="18" customHeight="1">
      <c r="D152" s="185">
        <v>2020</v>
      </c>
      <c r="E152" s="183">
        <v>12</v>
      </c>
      <c r="F152" s="183" t="s">
        <v>632</v>
      </c>
      <c r="G152" s="183" t="s">
        <v>1006</v>
      </c>
      <c r="H152" s="183" t="s">
        <v>1007</v>
      </c>
      <c r="I152" s="183">
        <v>3</v>
      </c>
      <c r="J152" s="183" t="s">
        <v>473</v>
      </c>
      <c r="K152" s="183">
        <f>SUMIF('CF.1'!$D:$D,'CFS(2개월)'!G152,'CF.1'!$U:$U)</f>
        <v>1485778734</v>
      </c>
      <c r="L152" s="183">
        <f>SUMIF('CF.1_2개월(단순차감)'!D:D,'CFS(2개월)'!G152,'CF.1_2개월(단순차감)'!AB:AB)</f>
        <v>193102626</v>
      </c>
      <c r="M152" s="186">
        <f>L152-K152</f>
        <v>-1292676108</v>
      </c>
      <c r="O152" s="182"/>
      <c r="P152" s="183">
        <f t="shared" si="5"/>
        <v>-193102626</v>
      </c>
      <c r="Q152" s="184"/>
    </row>
    <row r="153" spans="4:17" ht="18" customHeight="1">
      <c r="D153" s="185">
        <v>2020</v>
      </c>
      <c r="E153" s="183">
        <v>12</v>
      </c>
      <c r="F153" s="183" t="s">
        <v>632</v>
      </c>
      <c r="G153" s="183" t="s">
        <v>1008</v>
      </c>
      <c r="H153" s="183" t="s">
        <v>1009</v>
      </c>
      <c r="I153" s="183">
        <v>3</v>
      </c>
      <c r="J153" s="183" t="s">
        <v>473</v>
      </c>
      <c r="K153" s="183">
        <f>SUMIF('CF.1'!$D:$D,'CFS(2개월)'!G153,'CF.1'!$U:$U)</f>
        <v>-169215977</v>
      </c>
      <c r="L153" s="183">
        <f>SUMIF('CF.1_2개월(단순차감)'!D:D,'CFS(2개월)'!G153,'CF.1_2개월(단순차감)'!AB:AB)</f>
        <v>-46277452</v>
      </c>
      <c r="M153" s="186">
        <f>L153-K153</f>
        <v>122938525</v>
      </c>
      <c r="O153" s="182"/>
      <c r="P153" s="183">
        <f t="shared" si="5"/>
        <v>46277452</v>
      </c>
      <c r="Q153" s="184"/>
    </row>
    <row r="154" spans="4:17" ht="18" customHeight="1">
      <c r="D154" s="185">
        <v>2020</v>
      </c>
      <c r="E154" s="183">
        <v>12</v>
      </c>
      <c r="F154" s="183" t="s">
        <v>632</v>
      </c>
      <c r="G154" s="183" t="s">
        <v>1010</v>
      </c>
      <c r="H154" s="183" t="s">
        <v>1011</v>
      </c>
      <c r="I154" s="183">
        <v>3</v>
      </c>
      <c r="J154" s="183" t="s">
        <v>473</v>
      </c>
      <c r="K154" s="183">
        <f>SUMIF('CF.1'!$D:$D,'CFS(2개월)'!G154,'CF.1'!$U:$U)</f>
        <v>-381987532</v>
      </c>
      <c r="L154" s="183">
        <f>SUMIF('CF.1_2개월(단순차감)'!D:D,'CFS(2개월)'!G154,'CF.1_2개월(단순차감)'!AB:AB)</f>
        <v>-29886521</v>
      </c>
      <c r="M154" s="186">
        <f>L154-K154</f>
        <v>352101011</v>
      </c>
      <c r="O154" s="182"/>
      <c r="P154" s="183">
        <f t="shared" si="5"/>
        <v>29886521</v>
      </c>
      <c r="Q154" s="184"/>
    </row>
    <row r="155" spans="4:17" ht="18" customHeight="1">
      <c r="D155" s="185">
        <v>2020</v>
      </c>
      <c r="E155" s="183">
        <v>12</v>
      </c>
      <c r="F155" s="183" t="s">
        <v>632</v>
      </c>
      <c r="G155" s="183" t="s">
        <v>1012</v>
      </c>
      <c r="H155" s="183" t="s">
        <v>1013</v>
      </c>
      <c r="I155" s="183">
        <v>3</v>
      </c>
      <c r="J155" s="183" t="s">
        <v>473</v>
      </c>
      <c r="K155" s="183">
        <f>SUMIF('CF.1'!$D:$D,'CFS(2개월)'!G155,'CF.1'!$U:$U)</f>
        <v>0</v>
      </c>
      <c r="L155" s="183">
        <f>SUMIF('CF.1_2개월(단순차감)'!D:D,'CFS(2개월)'!G155,'CF.1_2개월(단순차감)'!AB:AB)</f>
        <v>0</v>
      </c>
      <c r="M155" s="186">
        <f>L155-K155</f>
        <v>0</v>
      </c>
      <c r="O155" s="182"/>
      <c r="P155" s="183">
        <f t="shared" si="5"/>
        <v>0</v>
      </c>
      <c r="Q155" s="184"/>
    </row>
    <row r="156" spans="4:17" ht="18" customHeight="1">
      <c r="D156" s="179">
        <v>2020</v>
      </c>
      <c r="E156" s="180">
        <v>12</v>
      </c>
      <c r="F156" s="180" t="s">
        <v>632</v>
      </c>
      <c r="G156" s="180" t="s">
        <v>1014</v>
      </c>
      <c r="H156" s="180" t="s">
        <v>1015</v>
      </c>
      <c r="I156" s="180">
        <v>1</v>
      </c>
      <c r="J156" s="180" t="s">
        <v>473</v>
      </c>
      <c r="K156" s="180">
        <f>SUM(K157,K208)</f>
        <v>-5963230164</v>
      </c>
      <c r="L156" s="180">
        <f>SUM(L157,L208)</f>
        <v>-11496984570</v>
      </c>
      <c r="M156" s="181">
        <f>SUM(M157,M208)</f>
        <v>-5533754406</v>
      </c>
      <c r="O156" s="182"/>
      <c r="P156" s="183">
        <f t="shared" si="5"/>
        <v>11496984570</v>
      </c>
      <c r="Q156" s="184"/>
    </row>
    <row r="157" spans="4:17" ht="18" customHeight="1">
      <c r="D157" s="179">
        <v>2020</v>
      </c>
      <c r="E157" s="180">
        <v>12</v>
      </c>
      <c r="F157" s="180" t="s">
        <v>632</v>
      </c>
      <c r="G157" s="180" t="s">
        <v>1016</v>
      </c>
      <c r="H157" s="180" t="s">
        <v>1017</v>
      </c>
      <c r="I157" s="180">
        <v>2</v>
      </c>
      <c r="J157" s="180" t="s">
        <v>473</v>
      </c>
      <c r="K157" s="180">
        <f>SUM(K158:K207)</f>
        <v>560942363</v>
      </c>
      <c r="L157" s="180">
        <f>SUM(L158:L207)</f>
        <v>0</v>
      </c>
      <c r="M157" s="181">
        <f>SUM(M158:M207)</f>
        <v>-560942363</v>
      </c>
      <c r="O157" s="182"/>
      <c r="P157" s="183">
        <f t="shared" si="5"/>
        <v>0</v>
      </c>
      <c r="Q157" s="184"/>
    </row>
    <row r="158" spans="4:17" ht="18" customHeight="1">
      <c r="D158" s="185">
        <v>2020</v>
      </c>
      <c r="E158" s="183">
        <v>12</v>
      </c>
      <c r="F158" s="183" t="s">
        <v>632</v>
      </c>
      <c r="G158" s="183" t="s">
        <v>1018</v>
      </c>
      <c r="H158" s="183" t="s">
        <v>1019</v>
      </c>
      <c r="I158" s="183">
        <v>3</v>
      </c>
      <c r="J158" s="183" t="s">
        <v>473</v>
      </c>
      <c r="K158" s="183">
        <f>SUMIF('CF.1'!$D:$D,'CFS(2개월)'!G158,'CF.1'!$U:$U)</f>
        <v>0</v>
      </c>
      <c r="L158" s="183">
        <f>SUMIF('CF.1_2개월(단순차감)'!D:D,'CFS(2개월)'!G158,'CF.1_2개월(단순차감)'!AB:AB)</f>
        <v>0</v>
      </c>
      <c r="M158" s="186">
        <f t="shared" ref="M158:M207" si="6">L158-K158</f>
        <v>0</v>
      </c>
      <c r="O158" s="182"/>
      <c r="P158" s="183">
        <f t="shared" si="5"/>
        <v>0</v>
      </c>
      <c r="Q158" s="184"/>
    </row>
    <row r="159" spans="4:17" ht="18" customHeight="1">
      <c r="D159" s="185">
        <v>2020</v>
      </c>
      <c r="E159" s="183">
        <v>12</v>
      </c>
      <c r="F159" s="183" t="s">
        <v>632</v>
      </c>
      <c r="G159" s="183" t="s">
        <v>1020</v>
      </c>
      <c r="H159" s="183" t="s">
        <v>1021</v>
      </c>
      <c r="I159" s="183">
        <v>3</v>
      </c>
      <c r="J159" s="183" t="s">
        <v>473</v>
      </c>
      <c r="K159" s="183">
        <f>SUMIF('CF.1'!$D:$D,'CFS(2개월)'!G159,'CF.1'!$U:$U)</f>
        <v>297306000</v>
      </c>
      <c r="L159" s="183">
        <f>SUMIF('CF.1_2개월(단순차감)'!D:D,'CFS(2개월)'!G159,'CF.1_2개월(단순차감)'!AB:AB)</f>
        <v>0</v>
      </c>
      <c r="M159" s="186">
        <f t="shared" si="6"/>
        <v>-297306000</v>
      </c>
      <c r="O159" s="182"/>
      <c r="P159" s="183">
        <f t="shared" si="5"/>
        <v>0</v>
      </c>
      <c r="Q159" s="184"/>
    </row>
    <row r="160" spans="4:17" ht="18" customHeight="1">
      <c r="D160" s="185">
        <v>2020</v>
      </c>
      <c r="E160" s="183">
        <v>12</v>
      </c>
      <c r="F160" s="183" t="s">
        <v>632</v>
      </c>
      <c r="G160" s="183" t="s">
        <v>1022</v>
      </c>
      <c r="H160" s="183" t="s">
        <v>1023</v>
      </c>
      <c r="I160" s="183">
        <v>3</v>
      </c>
      <c r="J160" s="183" t="s">
        <v>473</v>
      </c>
      <c r="K160" s="183">
        <f>SUMIF('CF.1'!$D:$D,'CFS(2개월)'!G160,'CF.1'!$U:$U)</f>
        <v>0</v>
      </c>
      <c r="L160" s="183">
        <f>SUMIF('CF.1_2개월(단순차감)'!D:D,'CFS(2개월)'!G160,'CF.1_2개월(단순차감)'!AB:AB)</f>
        <v>0</v>
      </c>
      <c r="M160" s="186">
        <f t="shared" si="6"/>
        <v>0</v>
      </c>
      <c r="O160" s="182"/>
      <c r="P160" s="183">
        <f t="shared" si="5"/>
        <v>0</v>
      </c>
      <c r="Q160" s="184"/>
    </row>
    <row r="161" spans="4:17" ht="18" customHeight="1">
      <c r="D161" s="185">
        <v>2020</v>
      </c>
      <c r="E161" s="183">
        <v>12</v>
      </c>
      <c r="F161" s="183" t="s">
        <v>632</v>
      </c>
      <c r="G161" s="183" t="s">
        <v>1024</v>
      </c>
      <c r="H161" s="183" t="s">
        <v>1025</v>
      </c>
      <c r="I161" s="183">
        <v>3</v>
      </c>
      <c r="J161" s="183" t="s">
        <v>473</v>
      </c>
      <c r="K161" s="183">
        <f>SUMIF('CF.1'!$D:$D,'CFS(2개월)'!G161,'CF.1'!$U:$U)</f>
        <v>0</v>
      </c>
      <c r="L161" s="183">
        <f>SUMIF('CF.1_2개월(단순차감)'!D:D,'CFS(2개월)'!G161,'CF.1_2개월(단순차감)'!AB:AB)</f>
        <v>0</v>
      </c>
      <c r="M161" s="186">
        <f t="shared" si="6"/>
        <v>0</v>
      </c>
      <c r="O161" s="182"/>
      <c r="P161" s="183">
        <f t="shared" si="5"/>
        <v>0</v>
      </c>
      <c r="Q161" s="184"/>
    </row>
    <row r="162" spans="4:17" ht="18" customHeight="1">
      <c r="D162" s="185">
        <v>2020</v>
      </c>
      <c r="E162" s="183">
        <v>12</v>
      </c>
      <c r="F162" s="183" t="s">
        <v>632</v>
      </c>
      <c r="G162" s="183" t="s">
        <v>1026</v>
      </c>
      <c r="H162" s="183" t="s">
        <v>1027</v>
      </c>
      <c r="I162" s="183">
        <v>3</v>
      </c>
      <c r="J162" s="183" t="s">
        <v>473</v>
      </c>
      <c r="K162" s="183">
        <f>SUMIF('CF.1'!$D:$D,'CFS(2개월)'!G162,'CF.1'!$U:$U)</f>
        <v>0</v>
      </c>
      <c r="L162" s="183">
        <f>SUMIF('CF.1_2개월(단순차감)'!D:D,'CFS(2개월)'!G162,'CF.1_2개월(단순차감)'!AB:AB)</f>
        <v>0</v>
      </c>
      <c r="M162" s="186">
        <f t="shared" si="6"/>
        <v>0</v>
      </c>
      <c r="O162" s="182"/>
      <c r="P162" s="183">
        <f t="shared" si="5"/>
        <v>0</v>
      </c>
      <c r="Q162" s="184"/>
    </row>
    <row r="163" spans="4:17" ht="18" customHeight="1">
      <c r="D163" s="185">
        <v>2020</v>
      </c>
      <c r="E163" s="183">
        <v>12</v>
      </c>
      <c r="F163" s="183" t="s">
        <v>632</v>
      </c>
      <c r="G163" s="183" t="s">
        <v>1028</v>
      </c>
      <c r="H163" s="183" t="s">
        <v>1029</v>
      </c>
      <c r="I163" s="183">
        <v>3</v>
      </c>
      <c r="J163" s="183" t="s">
        <v>473</v>
      </c>
      <c r="K163" s="183">
        <f>SUMIF('CF.1'!$D:$D,'CFS(2개월)'!G163,'CF.1'!$U:$U)</f>
        <v>0</v>
      </c>
      <c r="L163" s="183">
        <f>SUMIF('CF.1_2개월(단순차감)'!D:D,'CFS(2개월)'!G163,'CF.1_2개월(단순차감)'!AB:AB)</f>
        <v>0</v>
      </c>
      <c r="M163" s="186">
        <f t="shared" si="6"/>
        <v>0</v>
      </c>
      <c r="O163" s="182"/>
      <c r="P163" s="183">
        <f t="shared" si="5"/>
        <v>0</v>
      </c>
      <c r="Q163" s="184"/>
    </row>
    <row r="164" spans="4:17" ht="18" customHeight="1">
      <c r="D164" s="185">
        <v>2020</v>
      </c>
      <c r="E164" s="183">
        <v>12</v>
      </c>
      <c r="F164" s="183" t="s">
        <v>632</v>
      </c>
      <c r="G164" s="183" t="s">
        <v>1030</v>
      </c>
      <c r="H164" s="183" t="s">
        <v>1031</v>
      </c>
      <c r="I164" s="183">
        <v>3</v>
      </c>
      <c r="J164" s="183" t="s">
        <v>473</v>
      </c>
      <c r="K164" s="183">
        <f>SUMIF('CF.1'!$D:$D,'CFS(2개월)'!G164,'CF.1'!$U:$U)</f>
        <v>0</v>
      </c>
      <c r="L164" s="183">
        <f>SUMIF('CF.1_2개월(단순차감)'!D:D,'CFS(2개월)'!G164,'CF.1_2개월(단순차감)'!AB:AB)</f>
        <v>0</v>
      </c>
      <c r="M164" s="186">
        <f t="shared" si="6"/>
        <v>0</v>
      </c>
      <c r="O164" s="182"/>
      <c r="P164" s="183">
        <f t="shared" si="5"/>
        <v>0</v>
      </c>
      <c r="Q164" s="184"/>
    </row>
    <row r="165" spans="4:17" ht="18" customHeight="1">
      <c r="D165" s="185">
        <v>2020</v>
      </c>
      <c r="E165" s="183">
        <v>12</v>
      </c>
      <c r="F165" s="183" t="s">
        <v>632</v>
      </c>
      <c r="G165" s="183" t="s">
        <v>1032</v>
      </c>
      <c r="H165" s="183" t="s">
        <v>1033</v>
      </c>
      <c r="I165" s="183">
        <v>3</v>
      </c>
      <c r="J165" s="183" t="s">
        <v>473</v>
      </c>
      <c r="K165" s="183">
        <f>SUMIF('CF.1'!$D:$D,'CFS(2개월)'!G165,'CF.1'!$U:$U)</f>
        <v>200000000</v>
      </c>
      <c r="L165" s="183">
        <f>SUMIF('CF.1_2개월(단순차감)'!D:D,'CFS(2개월)'!G165,'CF.1_2개월(단순차감)'!AB:AB)</f>
        <v>0</v>
      </c>
      <c r="M165" s="186">
        <f t="shared" si="6"/>
        <v>-200000000</v>
      </c>
      <c r="O165" s="182"/>
      <c r="P165" s="183">
        <f t="shared" si="5"/>
        <v>0</v>
      </c>
      <c r="Q165" s="184"/>
    </row>
    <row r="166" spans="4:17" ht="18" customHeight="1">
      <c r="D166" s="185">
        <v>2020</v>
      </c>
      <c r="E166" s="183">
        <v>12</v>
      </c>
      <c r="F166" s="183" t="s">
        <v>632</v>
      </c>
      <c r="G166" s="183" t="s">
        <v>1034</v>
      </c>
      <c r="H166" s="183" t="s">
        <v>1035</v>
      </c>
      <c r="I166" s="183">
        <v>3</v>
      </c>
      <c r="J166" s="183" t="s">
        <v>473</v>
      </c>
      <c r="K166" s="183">
        <f>SUMIF('CF.1'!$D:$D,'CFS(2개월)'!G166,'CF.1'!$U:$U)</f>
        <v>0</v>
      </c>
      <c r="L166" s="183">
        <f>SUMIF('CF.1_2개월(단순차감)'!D:D,'CFS(2개월)'!G166,'CF.1_2개월(단순차감)'!AB:AB)</f>
        <v>0</v>
      </c>
      <c r="M166" s="186">
        <f t="shared" si="6"/>
        <v>0</v>
      </c>
      <c r="O166" s="182"/>
      <c r="P166" s="183">
        <f t="shared" si="5"/>
        <v>0</v>
      </c>
      <c r="Q166" s="184"/>
    </row>
    <row r="167" spans="4:17" ht="18" customHeight="1">
      <c r="D167" s="185">
        <v>2020</v>
      </c>
      <c r="E167" s="183">
        <v>12</v>
      </c>
      <c r="F167" s="183" t="s">
        <v>632</v>
      </c>
      <c r="G167" s="183" t="s">
        <v>1036</v>
      </c>
      <c r="H167" s="183" t="s">
        <v>1037</v>
      </c>
      <c r="I167" s="183">
        <v>3</v>
      </c>
      <c r="J167" s="183" t="s">
        <v>473</v>
      </c>
      <c r="K167" s="183">
        <f>SUMIF('CF.1'!$D:$D,'CFS(2개월)'!G167,'CF.1'!$U:$U)</f>
        <v>0</v>
      </c>
      <c r="L167" s="183">
        <f>SUMIF('CF.1_2개월(단순차감)'!D:D,'CFS(2개월)'!G167,'CF.1_2개월(단순차감)'!AB:AB)</f>
        <v>0</v>
      </c>
      <c r="M167" s="186">
        <f t="shared" si="6"/>
        <v>0</v>
      </c>
      <c r="O167" s="182"/>
      <c r="P167" s="183">
        <f t="shared" si="5"/>
        <v>0</v>
      </c>
      <c r="Q167" s="184"/>
    </row>
    <row r="168" spans="4:17" ht="18" customHeight="1">
      <c r="D168" s="185">
        <v>2020</v>
      </c>
      <c r="E168" s="183">
        <v>12</v>
      </c>
      <c r="F168" s="183" t="s">
        <v>632</v>
      </c>
      <c r="G168" s="183" t="s">
        <v>1038</v>
      </c>
      <c r="H168" s="183" t="s">
        <v>1039</v>
      </c>
      <c r="I168" s="183">
        <v>3</v>
      </c>
      <c r="J168" s="183" t="s">
        <v>473</v>
      </c>
      <c r="K168" s="183">
        <f>SUMIF('CF.1'!$D:$D,'CFS(2개월)'!G168,'CF.1'!$U:$U)</f>
        <v>0</v>
      </c>
      <c r="L168" s="183">
        <f>SUMIF('CF.1_2개월(단순차감)'!D:D,'CFS(2개월)'!G168,'CF.1_2개월(단순차감)'!AB:AB)</f>
        <v>0</v>
      </c>
      <c r="M168" s="186">
        <f t="shared" si="6"/>
        <v>0</v>
      </c>
      <c r="O168" s="182"/>
      <c r="P168" s="183">
        <f t="shared" si="5"/>
        <v>0</v>
      </c>
      <c r="Q168" s="184"/>
    </row>
    <row r="169" spans="4:17" ht="18" customHeight="1">
      <c r="D169" s="185">
        <v>2020</v>
      </c>
      <c r="E169" s="183">
        <v>12</v>
      </c>
      <c r="F169" s="183" t="s">
        <v>632</v>
      </c>
      <c r="G169" s="183" t="s">
        <v>1510</v>
      </c>
      <c r="H169" s="183" t="s">
        <v>1041</v>
      </c>
      <c r="I169" s="183">
        <v>3</v>
      </c>
      <c r="J169" s="183" t="s">
        <v>473</v>
      </c>
      <c r="K169" s="183">
        <f>SUMIF('CF.1'!$D:$D,'CFS(2개월)'!G169,'CF.1'!$U:$U)</f>
        <v>0</v>
      </c>
      <c r="L169" s="183">
        <f>SUMIF('CF.1_2개월(단순차감)'!D:D,'CFS(2개월)'!G169,'CF.1_2개월(단순차감)'!AB:AB)</f>
        <v>0</v>
      </c>
      <c r="M169" s="186">
        <f t="shared" si="6"/>
        <v>0</v>
      </c>
      <c r="O169" s="182"/>
      <c r="P169" s="183">
        <f t="shared" si="5"/>
        <v>0</v>
      </c>
      <c r="Q169" s="184"/>
    </row>
    <row r="170" spans="4:17" ht="18" customHeight="1">
      <c r="D170" s="185">
        <v>2020</v>
      </c>
      <c r="E170" s="183">
        <v>12</v>
      </c>
      <c r="F170" s="183" t="s">
        <v>632</v>
      </c>
      <c r="G170" s="183" t="s">
        <v>1511</v>
      </c>
      <c r="H170" s="183" t="s">
        <v>1512</v>
      </c>
      <c r="I170" s="183">
        <v>3</v>
      </c>
      <c r="J170" s="183" t="s">
        <v>473</v>
      </c>
      <c r="K170" s="183">
        <f>SUMIF('CF.1'!$D:$D,'CFS(2개월)'!G170,'CF.1'!$U:$U)</f>
        <v>0</v>
      </c>
      <c r="L170" s="183">
        <f>SUMIF('CF.1_2개월(단순차감)'!D:D,'CFS(2개월)'!G170,'CF.1_2개월(단순차감)'!AB:AB)</f>
        <v>0</v>
      </c>
      <c r="M170" s="186">
        <f t="shared" si="6"/>
        <v>0</v>
      </c>
      <c r="O170" s="182"/>
      <c r="P170" s="183">
        <f t="shared" si="5"/>
        <v>0</v>
      </c>
      <c r="Q170" s="184"/>
    </row>
    <row r="171" spans="4:17" ht="18" customHeight="1">
      <c r="D171" s="185">
        <v>2020</v>
      </c>
      <c r="E171" s="183">
        <v>12</v>
      </c>
      <c r="F171" s="183" t="s">
        <v>632</v>
      </c>
      <c r="G171" s="183" t="s">
        <v>1042</v>
      </c>
      <c r="H171" s="183" t="s">
        <v>1043</v>
      </c>
      <c r="I171" s="183">
        <v>3</v>
      </c>
      <c r="J171" s="183" t="s">
        <v>473</v>
      </c>
      <c r="K171" s="183">
        <f>SUMIF('CF.1'!$D:$D,'CFS(2개월)'!G171,'CF.1'!$U:$U)</f>
        <v>0</v>
      </c>
      <c r="L171" s="183">
        <f>SUMIF('CF.1_2개월(단순차감)'!D:D,'CFS(2개월)'!G171,'CF.1_2개월(단순차감)'!AB:AB)</f>
        <v>0</v>
      </c>
      <c r="M171" s="186">
        <f t="shared" si="6"/>
        <v>0</v>
      </c>
      <c r="O171" s="182"/>
      <c r="P171" s="183">
        <f t="shared" si="5"/>
        <v>0</v>
      </c>
      <c r="Q171" s="184"/>
    </row>
    <row r="172" spans="4:17" ht="18" customHeight="1">
      <c r="D172" s="185">
        <v>2020</v>
      </c>
      <c r="E172" s="183">
        <v>12</v>
      </c>
      <c r="F172" s="183" t="s">
        <v>632</v>
      </c>
      <c r="G172" s="183" t="s">
        <v>1044</v>
      </c>
      <c r="H172" s="183" t="s">
        <v>1513</v>
      </c>
      <c r="I172" s="183">
        <v>3</v>
      </c>
      <c r="J172" s="183" t="s">
        <v>473</v>
      </c>
      <c r="K172" s="183">
        <f>SUMIF('CF.1'!$D:$D,'CFS(2개월)'!G172,'CF.1'!$U:$U)</f>
        <v>0</v>
      </c>
      <c r="L172" s="183">
        <f>SUMIF('CF.1_2개월(단순차감)'!D:D,'CFS(2개월)'!G172,'CF.1_2개월(단순차감)'!AB:AB)</f>
        <v>0</v>
      </c>
      <c r="M172" s="186">
        <f t="shared" si="6"/>
        <v>0</v>
      </c>
      <c r="O172" s="182"/>
      <c r="P172" s="183">
        <f t="shared" si="5"/>
        <v>0</v>
      </c>
      <c r="Q172" s="184"/>
    </row>
    <row r="173" spans="4:17" ht="18" customHeight="1">
      <c r="D173" s="185">
        <v>2020</v>
      </c>
      <c r="E173" s="183">
        <v>12</v>
      </c>
      <c r="F173" s="183" t="s">
        <v>632</v>
      </c>
      <c r="G173" s="183" t="s">
        <v>1046</v>
      </c>
      <c r="H173" s="183" t="s">
        <v>1047</v>
      </c>
      <c r="I173" s="183">
        <v>3</v>
      </c>
      <c r="J173" s="183" t="s">
        <v>473</v>
      </c>
      <c r="K173" s="183">
        <f>SUMIF('CF.1'!$D:$D,'CFS(2개월)'!G173,'CF.1'!$U:$U)</f>
        <v>0</v>
      </c>
      <c r="L173" s="183">
        <f>SUMIF('CF.1_2개월(단순차감)'!D:D,'CFS(2개월)'!G173,'CF.1_2개월(단순차감)'!AB:AB)</f>
        <v>0</v>
      </c>
      <c r="M173" s="186">
        <f t="shared" si="6"/>
        <v>0</v>
      </c>
      <c r="O173" s="182"/>
      <c r="P173" s="183">
        <f t="shared" si="5"/>
        <v>0</v>
      </c>
      <c r="Q173" s="184"/>
    </row>
    <row r="174" spans="4:17" ht="18" customHeight="1">
      <c r="D174" s="185">
        <v>2020</v>
      </c>
      <c r="E174" s="183">
        <v>12</v>
      </c>
      <c r="F174" s="183" t="s">
        <v>632</v>
      </c>
      <c r="G174" s="183" t="s">
        <v>1048</v>
      </c>
      <c r="H174" s="183" t="s">
        <v>1049</v>
      </c>
      <c r="I174" s="183">
        <v>3</v>
      </c>
      <c r="J174" s="183" t="s">
        <v>473</v>
      </c>
      <c r="K174" s="183">
        <f>SUMIF('CF.1'!$D:$D,'CFS(2개월)'!G174,'CF.1'!$U:$U)</f>
        <v>0</v>
      </c>
      <c r="L174" s="183">
        <f>SUMIF('CF.1_2개월(단순차감)'!D:D,'CFS(2개월)'!G174,'CF.1_2개월(단순차감)'!AB:AB)</f>
        <v>0</v>
      </c>
      <c r="M174" s="186">
        <f t="shared" si="6"/>
        <v>0</v>
      </c>
      <c r="O174" s="182"/>
      <c r="P174" s="183">
        <f t="shared" si="5"/>
        <v>0</v>
      </c>
      <c r="Q174" s="184"/>
    </row>
    <row r="175" spans="4:17" ht="18" customHeight="1">
      <c r="D175" s="185">
        <v>2020</v>
      </c>
      <c r="E175" s="183">
        <v>12</v>
      </c>
      <c r="F175" s="183" t="s">
        <v>632</v>
      </c>
      <c r="G175" s="183" t="s">
        <v>1050</v>
      </c>
      <c r="H175" s="183" t="s">
        <v>1051</v>
      </c>
      <c r="I175" s="183">
        <v>3</v>
      </c>
      <c r="J175" s="183" t="s">
        <v>473</v>
      </c>
      <c r="K175" s="183">
        <f>SUMIF('CF.1'!$D:$D,'CFS(2개월)'!G175,'CF.1'!$U:$U)</f>
        <v>0</v>
      </c>
      <c r="L175" s="183">
        <f>SUMIF('CF.1_2개월(단순차감)'!D:D,'CFS(2개월)'!G175,'CF.1_2개월(단순차감)'!AB:AB)</f>
        <v>0</v>
      </c>
      <c r="M175" s="186">
        <f t="shared" si="6"/>
        <v>0</v>
      </c>
      <c r="O175" s="182"/>
      <c r="P175" s="183">
        <f t="shared" si="5"/>
        <v>0</v>
      </c>
      <c r="Q175" s="184"/>
    </row>
    <row r="176" spans="4:17" ht="18" customHeight="1">
      <c r="D176" s="185">
        <v>2020</v>
      </c>
      <c r="E176" s="183">
        <v>12</v>
      </c>
      <c r="F176" s="183" t="s">
        <v>632</v>
      </c>
      <c r="G176" s="183" t="s">
        <v>1052</v>
      </c>
      <c r="H176" s="183" t="s">
        <v>1053</v>
      </c>
      <c r="I176" s="183">
        <v>3</v>
      </c>
      <c r="J176" s="183" t="s">
        <v>473</v>
      </c>
      <c r="K176" s="183">
        <f>SUMIF('CF.1'!$D:$D,'CFS(2개월)'!G176,'CF.1'!$U:$U)</f>
        <v>0</v>
      </c>
      <c r="L176" s="183">
        <f>SUMIF('CF.1_2개월(단순차감)'!D:D,'CFS(2개월)'!G176,'CF.1_2개월(단순차감)'!AB:AB)</f>
        <v>0</v>
      </c>
      <c r="M176" s="186">
        <f t="shared" si="6"/>
        <v>0</v>
      </c>
      <c r="O176" s="182"/>
      <c r="P176" s="183">
        <f t="shared" si="5"/>
        <v>0</v>
      </c>
      <c r="Q176" s="184"/>
    </row>
    <row r="177" spans="4:17" ht="18" customHeight="1">
      <c r="D177" s="185">
        <v>2020</v>
      </c>
      <c r="E177" s="183">
        <v>12</v>
      </c>
      <c r="F177" s="183" t="s">
        <v>632</v>
      </c>
      <c r="G177" s="183" t="s">
        <v>1054</v>
      </c>
      <c r="H177" s="183" t="s">
        <v>1055</v>
      </c>
      <c r="I177" s="183">
        <v>3</v>
      </c>
      <c r="J177" s="183" t="s">
        <v>473</v>
      </c>
      <c r="K177" s="183">
        <f>SUMIF('CF.1'!$D:$D,'CFS(2개월)'!G177,'CF.1'!$U:$U)</f>
        <v>0</v>
      </c>
      <c r="L177" s="183">
        <f>SUMIF('CF.1_2개월(단순차감)'!D:D,'CFS(2개월)'!G177,'CF.1_2개월(단순차감)'!AB:AB)</f>
        <v>0</v>
      </c>
      <c r="M177" s="186">
        <f t="shared" si="6"/>
        <v>0</v>
      </c>
      <c r="O177" s="182"/>
      <c r="P177" s="183">
        <f t="shared" si="5"/>
        <v>0</v>
      </c>
      <c r="Q177" s="184"/>
    </row>
    <row r="178" spans="4:17" ht="18" customHeight="1">
      <c r="D178" s="185">
        <v>2020</v>
      </c>
      <c r="E178" s="183">
        <v>12</v>
      </c>
      <c r="F178" s="183" t="s">
        <v>632</v>
      </c>
      <c r="G178" s="183" t="s">
        <v>1056</v>
      </c>
      <c r="H178" s="183" t="s">
        <v>1057</v>
      </c>
      <c r="I178" s="183">
        <v>3</v>
      </c>
      <c r="J178" s="183" t="s">
        <v>473</v>
      </c>
      <c r="K178" s="183">
        <f>SUMIF('CF.1'!$D:$D,'CFS(2개월)'!G178,'CF.1'!$U:$U)</f>
        <v>0</v>
      </c>
      <c r="L178" s="183">
        <f>SUMIF('CF.1_2개월(단순차감)'!D:D,'CFS(2개월)'!G178,'CF.1_2개월(단순차감)'!AB:AB)</f>
        <v>0</v>
      </c>
      <c r="M178" s="186">
        <f t="shared" si="6"/>
        <v>0</v>
      </c>
      <c r="O178" s="182"/>
      <c r="P178" s="183">
        <f t="shared" si="5"/>
        <v>0</v>
      </c>
      <c r="Q178" s="184"/>
    </row>
    <row r="179" spans="4:17" ht="18" customHeight="1">
      <c r="D179" s="185">
        <v>2020</v>
      </c>
      <c r="E179" s="183">
        <v>12</v>
      </c>
      <c r="F179" s="183" t="s">
        <v>632</v>
      </c>
      <c r="G179" s="183" t="s">
        <v>1058</v>
      </c>
      <c r="H179" s="183" t="s">
        <v>1059</v>
      </c>
      <c r="I179" s="183">
        <v>3</v>
      </c>
      <c r="J179" s="183" t="s">
        <v>473</v>
      </c>
      <c r="K179" s="183">
        <f>SUMIF('CF.1'!$D:$D,'CFS(2개월)'!G179,'CF.1'!$U:$U)</f>
        <v>0</v>
      </c>
      <c r="L179" s="183">
        <f>SUMIF('CF.1_2개월(단순차감)'!D:D,'CFS(2개월)'!G179,'CF.1_2개월(단순차감)'!AB:AB)</f>
        <v>0</v>
      </c>
      <c r="M179" s="186">
        <f t="shared" si="6"/>
        <v>0</v>
      </c>
      <c r="O179" s="182"/>
      <c r="P179" s="183">
        <f t="shared" si="5"/>
        <v>0</v>
      </c>
      <c r="Q179" s="184"/>
    </row>
    <row r="180" spans="4:17" ht="18" customHeight="1">
      <c r="D180" s="185">
        <v>2020</v>
      </c>
      <c r="E180" s="183">
        <v>12</v>
      </c>
      <c r="F180" s="183" t="s">
        <v>632</v>
      </c>
      <c r="G180" s="183" t="s">
        <v>1060</v>
      </c>
      <c r="H180" s="183" t="s">
        <v>1061</v>
      </c>
      <c r="I180" s="183">
        <v>3</v>
      </c>
      <c r="J180" s="183" t="s">
        <v>473</v>
      </c>
      <c r="K180" s="183">
        <f>SUMIF('CF.1'!$D:$D,'CFS(2개월)'!G180,'CF.1'!$U:$U)</f>
        <v>0</v>
      </c>
      <c r="L180" s="183">
        <f>SUMIF('CF.1_2개월(단순차감)'!D:D,'CFS(2개월)'!G180,'CF.1_2개월(단순차감)'!AB:AB)</f>
        <v>0</v>
      </c>
      <c r="M180" s="186">
        <f t="shared" si="6"/>
        <v>0</v>
      </c>
      <c r="O180" s="182"/>
      <c r="P180" s="183">
        <f t="shared" si="5"/>
        <v>0</v>
      </c>
      <c r="Q180" s="184"/>
    </row>
    <row r="181" spans="4:17" ht="18" customHeight="1">
      <c r="D181" s="185">
        <v>2020</v>
      </c>
      <c r="E181" s="183">
        <v>12</v>
      </c>
      <c r="F181" s="183" t="s">
        <v>632</v>
      </c>
      <c r="G181" s="183" t="s">
        <v>1062</v>
      </c>
      <c r="H181" s="183" t="s">
        <v>1063</v>
      </c>
      <c r="I181" s="183">
        <v>3</v>
      </c>
      <c r="J181" s="183" t="s">
        <v>473</v>
      </c>
      <c r="K181" s="183">
        <f>SUMIF('CF.1'!$D:$D,'CFS(2개월)'!G181,'CF.1'!$U:$U)</f>
        <v>0</v>
      </c>
      <c r="L181" s="183">
        <f>SUMIF('CF.1_2개월(단순차감)'!D:D,'CFS(2개월)'!G181,'CF.1_2개월(단순차감)'!AB:AB)</f>
        <v>0</v>
      </c>
      <c r="M181" s="186">
        <f t="shared" si="6"/>
        <v>0</v>
      </c>
      <c r="O181" s="182"/>
      <c r="P181" s="183">
        <f t="shared" si="5"/>
        <v>0</v>
      </c>
      <c r="Q181" s="184"/>
    </row>
    <row r="182" spans="4:17" ht="18" customHeight="1">
      <c r="D182" s="185">
        <v>2020</v>
      </c>
      <c r="E182" s="183">
        <v>12</v>
      </c>
      <c r="F182" s="183" t="s">
        <v>632</v>
      </c>
      <c r="G182" s="183" t="s">
        <v>1064</v>
      </c>
      <c r="H182" s="183" t="s">
        <v>1065</v>
      </c>
      <c r="I182" s="183">
        <v>3</v>
      </c>
      <c r="J182" s="183" t="s">
        <v>473</v>
      </c>
      <c r="K182" s="183">
        <f>SUMIF('CF.1'!$D:$D,'CFS(2개월)'!G182,'CF.1'!$U:$U)</f>
        <v>0</v>
      </c>
      <c r="L182" s="183">
        <f>SUMIF('CF.1_2개월(단순차감)'!D:D,'CFS(2개월)'!G182,'CF.1_2개월(단순차감)'!AB:AB)</f>
        <v>0</v>
      </c>
      <c r="M182" s="186">
        <f t="shared" si="6"/>
        <v>0</v>
      </c>
      <c r="O182" s="182"/>
      <c r="P182" s="183">
        <f t="shared" si="5"/>
        <v>0</v>
      </c>
      <c r="Q182" s="184"/>
    </row>
    <row r="183" spans="4:17" ht="18" customHeight="1">
      <c r="D183" s="185">
        <v>2020</v>
      </c>
      <c r="E183" s="183">
        <v>12</v>
      </c>
      <c r="F183" s="183" t="s">
        <v>632</v>
      </c>
      <c r="G183" s="183" t="s">
        <v>1066</v>
      </c>
      <c r="H183" s="183" t="s">
        <v>1067</v>
      </c>
      <c r="I183" s="183">
        <v>3</v>
      </c>
      <c r="J183" s="183" t="s">
        <v>473</v>
      </c>
      <c r="K183" s="183">
        <f>SUMIF('CF.1'!$D:$D,'CFS(2개월)'!G183,'CF.1'!$U:$U)</f>
        <v>0</v>
      </c>
      <c r="L183" s="183">
        <f>SUMIF('CF.1_2개월(단순차감)'!D:D,'CFS(2개월)'!G183,'CF.1_2개월(단순차감)'!AB:AB)</f>
        <v>0</v>
      </c>
      <c r="M183" s="186">
        <f t="shared" si="6"/>
        <v>0</v>
      </c>
      <c r="O183" s="182"/>
      <c r="P183" s="183">
        <f t="shared" si="5"/>
        <v>0</v>
      </c>
      <c r="Q183" s="184"/>
    </row>
    <row r="184" spans="4:17" ht="18" customHeight="1">
      <c r="D184" s="185">
        <v>2020</v>
      </c>
      <c r="E184" s="183">
        <v>12</v>
      </c>
      <c r="F184" s="183" t="s">
        <v>632</v>
      </c>
      <c r="G184" s="183" t="s">
        <v>1068</v>
      </c>
      <c r="H184" s="183" t="s">
        <v>1069</v>
      </c>
      <c r="I184" s="183">
        <v>3</v>
      </c>
      <c r="J184" s="183" t="s">
        <v>473</v>
      </c>
      <c r="K184" s="183">
        <f>SUMIF('CF.1'!$D:$D,'CFS(2개월)'!G184,'CF.1'!$U:$U)</f>
        <v>0</v>
      </c>
      <c r="L184" s="183">
        <f>SUMIF('CF.1_2개월(단순차감)'!D:D,'CFS(2개월)'!G184,'CF.1_2개월(단순차감)'!AB:AB)</f>
        <v>0</v>
      </c>
      <c r="M184" s="186">
        <f t="shared" si="6"/>
        <v>0</v>
      </c>
      <c r="O184" s="182"/>
      <c r="P184" s="183">
        <f t="shared" si="5"/>
        <v>0</v>
      </c>
      <c r="Q184" s="184"/>
    </row>
    <row r="185" spans="4:17" ht="18" customHeight="1">
      <c r="D185" s="185">
        <v>2020</v>
      </c>
      <c r="E185" s="183">
        <v>12</v>
      </c>
      <c r="F185" s="183" t="s">
        <v>632</v>
      </c>
      <c r="G185" s="183" t="s">
        <v>1070</v>
      </c>
      <c r="H185" s="183" t="s">
        <v>1071</v>
      </c>
      <c r="I185" s="183">
        <v>3</v>
      </c>
      <c r="J185" s="183" t="s">
        <v>473</v>
      </c>
      <c r="K185" s="183">
        <f>SUMIF('CF.1'!$D:$D,'CFS(2개월)'!G185,'CF.1'!$U:$U)</f>
        <v>0</v>
      </c>
      <c r="L185" s="183">
        <f>SUMIF('CF.1_2개월(단순차감)'!D:D,'CFS(2개월)'!G185,'CF.1_2개월(단순차감)'!AB:AB)</f>
        <v>0</v>
      </c>
      <c r="M185" s="186">
        <f t="shared" si="6"/>
        <v>0</v>
      </c>
      <c r="O185" s="182"/>
      <c r="P185" s="183">
        <f t="shared" si="5"/>
        <v>0</v>
      </c>
      <c r="Q185" s="184"/>
    </row>
    <row r="186" spans="4:17" ht="18" customHeight="1">
      <c r="D186" s="185">
        <v>2020</v>
      </c>
      <c r="E186" s="183">
        <v>12</v>
      </c>
      <c r="F186" s="183" t="s">
        <v>632</v>
      </c>
      <c r="G186" s="183" t="s">
        <v>1072</v>
      </c>
      <c r="H186" s="183" t="s">
        <v>1073</v>
      </c>
      <c r="I186" s="183">
        <v>3</v>
      </c>
      <c r="J186" s="183" t="s">
        <v>473</v>
      </c>
      <c r="K186" s="183">
        <f>SUMIF('CF.1'!$D:$D,'CFS(2개월)'!G186,'CF.1'!$U:$U)</f>
        <v>0</v>
      </c>
      <c r="L186" s="183">
        <f>SUMIF('CF.1_2개월(단순차감)'!D:D,'CFS(2개월)'!G186,'CF.1_2개월(단순차감)'!AB:AB)</f>
        <v>0</v>
      </c>
      <c r="M186" s="186">
        <f t="shared" si="6"/>
        <v>0</v>
      </c>
      <c r="O186" s="182"/>
      <c r="P186" s="183">
        <f t="shared" si="5"/>
        <v>0</v>
      </c>
      <c r="Q186" s="184"/>
    </row>
    <row r="187" spans="4:17" ht="18" customHeight="1">
      <c r="D187" s="185">
        <v>2020</v>
      </c>
      <c r="E187" s="183">
        <v>12</v>
      </c>
      <c r="F187" s="183" t="s">
        <v>632</v>
      </c>
      <c r="G187" s="183" t="s">
        <v>1074</v>
      </c>
      <c r="H187" s="183" t="s">
        <v>1514</v>
      </c>
      <c r="I187" s="183">
        <v>3</v>
      </c>
      <c r="J187" s="183" t="s">
        <v>473</v>
      </c>
      <c r="K187" s="183">
        <f>SUMIF('CF.1'!$D:$D,'CFS(2개월)'!G187,'CF.1'!$U:$U)</f>
        <v>63636363</v>
      </c>
      <c r="L187" s="183">
        <f>SUMIF('CF.1_2개월(단순차감)'!D:D,'CFS(2개월)'!G187,'CF.1_2개월(단순차감)'!AB:AB)</f>
        <v>0</v>
      </c>
      <c r="M187" s="186">
        <f t="shared" si="6"/>
        <v>-63636363</v>
      </c>
      <c r="O187" s="182"/>
      <c r="P187" s="183">
        <f t="shared" si="5"/>
        <v>0</v>
      </c>
      <c r="Q187" s="184"/>
    </row>
    <row r="188" spans="4:17" ht="18" customHeight="1">
      <c r="D188" s="185">
        <v>2020</v>
      </c>
      <c r="E188" s="183">
        <v>12</v>
      </c>
      <c r="F188" s="183" t="s">
        <v>632</v>
      </c>
      <c r="G188" s="183" t="s">
        <v>1075</v>
      </c>
      <c r="H188" s="183" t="s">
        <v>1076</v>
      </c>
      <c r="I188" s="183">
        <v>3</v>
      </c>
      <c r="J188" s="183" t="s">
        <v>473</v>
      </c>
      <c r="K188" s="183">
        <f>SUMIF('CF.1'!$D:$D,'CFS(2개월)'!G188,'CF.1'!$U:$U)</f>
        <v>0</v>
      </c>
      <c r="L188" s="183">
        <f>SUMIF('CF.1_2개월(단순차감)'!D:D,'CFS(2개월)'!G188,'CF.1_2개월(단순차감)'!AB:AB)</f>
        <v>0</v>
      </c>
      <c r="M188" s="186">
        <f t="shared" si="6"/>
        <v>0</v>
      </c>
      <c r="O188" s="182"/>
      <c r="P188" s="183">
        <f t="shared" si="5"/>
        <v>0</v>
      </c>
      <c r="Q188" s="184"/>
    </row>
    <row r="189" spans="4:17" ht="18" customHeight="1">
      <c r="D189" s="185">
        <v>2020</v>
      </c>
      <c r="E189" s="183">
        <v>12</v>
      </c>
      <c r="F189" s="183" t="s">
        <v>632</v>
      </c>
      <c r="G189" s="183" t="s">
        <v>1077</v>
      </c>
      <c r="H189" s="183" t="s">
        <v>1078</v>
      </c>
      <c r="I189" s="183">
        <v>3</v>
      </c>
      <c r="J189" s="183" t="s">
        <v>473</v>
      </c>
      <c r="K189" s="183">
        <f>SUMIF('CF.1'!$D:$D,'CFS(2개월)'!G189,'CF.1'!$U:$U)</f>
        <v>0</v>
      </c>
      <c r="L189" s="183">
        <f>SUMIF('CF.1_2개월(단순차감)'!D:D,'CFS(2개월)'!G189,'CF.1_2개월(단순차감)'!AB:AB)</f>
        <v>0</v>
      </c>
      <c r="M189" s="186">
        <f t="shared" si="6"/>
        <v>0</v>
      </c>
      <c r="O189" s="182"/>
      <c r="P189" s="183">
        <f t="shared" si="5"/>
        <v>0</v>
      </c>
      <c r="Q189" s="184"/>
    </row>
    <row r="190" spans="4:17" ht="18" customHeight="1">
      <c r="D190" s="185">
        <v>2020</v>
      </c>
      <c r="E190" s="183">
        <v>12</v>
      </c>
      <c r="F190" s="183" t="s">
        <v>632</v>
      </c>
      <c r="G190" s="183" t="s">
        <v>1079</v>
      </c>
      <c r="H190" s="183" t="s">
        <v>1080</v>
      </c>
      <c r="I190" s="183">
        <v>3</v>
      </c>
      <c r="J190" s="183" t="s">
        <v>473</v>
      </c>
      <c r="K190" s="183">
        <f>SUMIF('CF.1'!$D:$D,'CFS(2개월)'!G190,'CF.1'!$U:$U)</f>
        <v>0</v>
      </c>
      <c r="L190" s="183">
        <f>SUMIF('CF.1_2개월(단순차감)'!D:D,'CFS(2개월)'!G190,'CF.1_2개월(단순차감)'!AB:AB)</f>
        <v>0</v>
      </c>
      <c r="M190" s="186">
        <f t="shared" si="6"/>
        <v>0</v>
      </c>
      <c r="O190" s="182"/>
      <c r="P190" s="183">
        <f t="shared" si="5"/>
        <v>0</v>
      </c>
      <c r="Q190" s="184"/>
    </row>
    <row r="191" spans="4:17" ht="18" customHeight="1">
      <c r="D191" s="185">
        <v>2020</v>
      </c>
      <c r="E191" s="183">
        <v>12</v>
      </c>
      <c r="F191" s="183" t="s">
        <v>632</v>
      </c>
      <c r="G191" s="183" t="s">
        <v>1081</v>
      </c>
      <c r="H191" s="183" t="s">
        <v>1082</v>
      </c>
      <c r="I191" s="183">
        <v>3</v>
      </c>
      <c r="J191" s="183" t="s">
        <v>473</v>
      </c>
      <c r="K191" s="183">
        <f>SUMIF('CF.1'!$D:$D,'CFS(2개월)'!G191,'CF.1'!$U:$U)</f>
        <v>0</v>
      </c>
      <c r="L191" s="183">
        <f>SUMIF('CF.1_2개월(단순차감)'!D:D,'CFS(2개월)'!G191,'CF.1_2개월(단순차감)'!AB:AB)</f>
        <v>0</v>
      </c>
      <c r="M191" s="186">
        <f t="shared" si="6"/>
        <v>0</v>
      </c>
      <c r="O191" s="182"/>
      <c r="P191" s="183">
        <f t="shared" si="5"/>
        <v>0</v>
      </c>
      <c r="Q191" s="184"/>
    </row>
    <row r="192" spans="4:17" ht="18" customHeight="1">
      <c r="D192" s="185">
        <v>2020</v>
      </c>
      <c r="E192" s="183">
        <v>12</v>
      </c>
      <c r="F192" s="183" t="s">
        <v>632</v>
      </c>
      <c r="G192" s="183" t="s">
        <v>1083</v>
      </c>
      <c r="H192" s="183" t="s">
        <v>1084</v>
      </c>
      <c r="I192" s="183">
        <v>3</v>
      </c>
      <c r="J192" s="183" t="s">
        <v>473</v>
      </c>
      <c r="K192" s="183">
        <f>SUMIF('CF.1'!$D:$D,'CFS(2개월)'!G192,'CF.1'!$U:$U)</f>
        <v>0</v>
      </c>
      <c r="L192" s="183">
        <f>SUMIF('CF.1_2개월(단순차감)'!D:D,'CFS(2개월)'!G192,'CF.1_2개월(단순차감)'!AB:AB)</f>
        <v>0</v>
      </c>
      <c r="M192" s="186">
        <f t="shared" si="6"/>
        <v>0</v>
      </c>
      <c r="O192" s="182"/>
      <c r="P192" s="183">
        <f t="shared" si="5"/>
        <v>0</v>
      </c>
      <c r="Q192" s="184"/>
    </row>
    <row r="193" spans="4:17" ht="18" customHeight="1">
      <c r="D193" s="185">
        <v>2020</v>
      </c>
      <c r="E193" s="183">
        <v>12</v>
      </c>
      <c r="F193" s="183" t="s">
        <v>632</v>
      </c>
      <c r="G193" s="183" t="s">
        <v>1085</v>
      </c>
      <c r="H193" s="183" t="s">
        <v>1086</v>
      </c>
      <c r="I193" s="183">
        <v>3</v>
      </c>
      <c r="J193" s="183" t="s">
        <v>473</v>
      </c>
      <c r="K193" s="183">
        <f>SUMIF('CF.1'!$D:$D,'CFS(2개월)'!G193,'CF.1'!$U:$U)</f>
        <v>0</v>
      </c>
      <c r="L193" s="183">
        <f>SUMIF('CF.1_2개월(단순차감)'!D:D,'CFS(2개월)'!G193,'CF.1_2개월(단순차감)'!AB:AB)</f>
        <v>0</v>
      </c>
      <c r="M193" s="186">
        <f t="shared" si="6"/>
        <v>0</v>
      </c>
      <c r="O193" s="182"/>
      <c r="P193" s="183">
        <f t="shared" si="5"/>
        <v>0</v>
      </c>
      <c r="Q193" s="184"/>
    </row>
    <row r="194" spans="4:17" ht="18" customHeight="1">
      <c r="D194" s="185">
        <v>2020</v>
      </c>
      <c r="E194" s="183">
        <v>12</v>
      </c>
      <c r="F194" s="183" t="s">
        <v>632</v>
      </c>
      <c r="G194" s="183" t="s">
        <v>1087</v>
      </c>
      <c r="H194" s="183" t="s">
        <v>1088</v>
      </c>
      <c r="I194" s="183">
        <v>3</v>
      </c>
      <c r="J194" s="183" t="s">
        <v>473</v>
      </c>
      <c r="K194" s="183">
        <f>SUMIF('CF.1'!$D:$D,'CFS(2개월)'!G194,'CF.1'!$U:$U)</f>
        <v>0</v>
      </c>
      <c r="L194" s="183">
        <f>SUMIF('CF.1_2개월(단순차감)'!D:D,'CFS(2개월)'!G194,'CF.1_2개월(단순차감)'!AB:AB)</f>
        <v>0</v>
      </c>
      <c r="M194" s="186">
        <f t="shared" si="6"/>
        <v>0</v>
      </c>
      <c r="O194" s="182"/>
      <c r="P194" s="183">
        <f t="shared" si="5"/>
        <v>0</v>
      </c>
      <c r="Q194" s="184"/>
    </row>
    <row r="195" spans="4:17" ht="18" customHeight="1">
      <c r="D195" s="185">
        <v>2020</v>
      </c>
      <c r="E195" s="183">
        <v>12</v>
      </c>
      <c r="F195" s="183" t="s">
        <v>632</v>
      </c>
      <c r="G195" s="183" t="s">
        <v>1089</v>
      </c>
      <c r="H195" s="183" t="s">
        <v>1090</v>
      </c>
      <c r="I195" s="183">
        <v>3</v>
      </c>
      <c r="J195" s="183" t="s">
        <v>473</v>
      </c>
      <c r="K195" s="183">
        <f>SUMIF('CF.1'!$D:$D,'CFS(2개월)'!G195,'CF.1'!$U:$U)</f>
        <v>0</v>
      </c>
      <c r="L195" s="183">
        <f>SUMIF('CF.1_2개월(단순차감)'!D:D,'CFS(2개월)'!G195,'CF.1_2개월(단순차감)'!AB:AB)</f>
        <v>0</v>
      </c>
      <c r="M195" s="186">
        <f t="shared" si="6"/>
        <v>0</v>
      </c>
      <c r="O195" s="182"/>
      <c r="P195" s="183">
        <f t="shared" si="5"/>
        <v>0</v>
      </c>
      <c r="Q195" s="184"/>
    </row>
    <row r="196" spans="4:17" ht="18" customHeight="1">
      <c r="D196" s="185">
        <v>2020</v>
      </c>
      <c r="E196" s="183">
        <v>12</v>
      </c>
      <c r="F196" s="183" t="s">
        <v>632</v>
      </c>
      <c r="G196" s="183" t="s">
        <v>1091</v>
      </c>
      <c r="H196" s="183" t="s">
        <v>1092</v>
      </c>
      <c r="I196" s="183">
        <v>3</v>
      </c>
      <c r="J196" s="183" t="s">
        <v>473</v>
      </c>
      <c r="K196" s="183">
        <f>SUMIF('CF.1'!$D:$D,'CFS(2개월)'!G196,'CF.1'!$U:$U)</f>
        <v>0</v>
      </c>
      <c r="L196" s="183">
        <f>SUMIF('CF.1_2개월(단순차감)'!D:D,'CFS(2개월)'!G196,'CF.1_2개월(단순차감)'!AB:AB)</f>
        <v>0</v>
      </c>
      <c r="M196" s="186">
        <f t="shared" si="6"/>
        <v>0</v>
      </c>
      <c r="O196" s="182"/>
      <c r="P196" s="183">
        <f t="shared" si="5"/>
        <v>0</v>
      </c>
      <c r="Q196" s="184"/>
    </row>
    <row r="197" spans="4:17" ht="18" customHeight="1">
      <c r="D197" s="185">
        <v>2020</v>
      </c>
      <c r="E197" s="183">
        <v>12</v>
      </c>
      <c r="F197" s="183" t="s">
        <v>632</v>
      </c>
      <c r="G197" s="183" t="s">
        <v>1093</v>
      </c>
      <c r="H197" s="183" t="s">
        <v>1094</v>
      </c>
      <c r="I197" s="183">
        <v>3</v>
      </c>
      <c r="J197" s="183" t="s">
        <v>473</v>
      </c>
      <c r="K197" s="183">
        <f>SUMIF('CF.1'!$D:$D,'CFS(2개월)'!G197,'CF.1'!$U:$U)</f>
        <v>0</v>
      </c>
      <c r="L197" s="183">
        <f>SUMIF('CF.1_2개월(단순차감)'!D:D,'CFS(2개월)'!G197,'CF.1_2개월(단순차감)'!AB:AB)</f>
        <v>0</v>
      </c>
      <c r="M197" s="186">
        <f t="shared" si="6"/>
        <v>0</v>
      </c>
      <c r="O197" s="182"/>
      <c r="P197" s="183">
        <f t="shared" si="5"/>
        <v>0</v>
      </c>
      <c r="Q197" s="184"/>
    </row>
    <row r="198" spans="4:17" ht="18" customHeight="1">
      <c r="D198" s="185">
        <v>2020</v>
      </c>
      <c r="E198" s="183">
        <v>12</v>
      </c>
      <c r="F198" s="183" t="s">
        <v>632</v>
      </c>
      <c r="G198" s="183" t="s">
        <v>1095</v>
      </c>
      <c r="H198" s="183" t="s">
        <v>1096</v>
      </c>
      <c r="I198" s="183">
        <v>3</v>
      </c>
      <c r="J198" s="183" t="s">
        <v>473</v>
      </c>
      <c r="K198" s="183">
        <f>SUMIF('CF.1'!$D:$D,'CFS(2개월)'!G198,'CF.1'!$U:$U)</f>
        <v>0</v>
      </c>
      <c r="L198" s="183">
        <f>SUMIF('CF.1_2개월(단순차감)'!D:D,'CFS(2개월)'!G198,'CF.1_2개월(단순차감)'!AB:AB)</f>
        <v>0</v>
      </c>
      <c r="M198" s="186">
        <f t="shared" si="6"/>
        <v>0</v>
      </c>
      <c r="O198" s="182"/>
      <c r="P198" s="183">
        <f t="shared" si="5"/>
        <v>0</v>
      </c>
      <c r="Q198" s="184"/>
    </row>
    <row r="199" spans="4:17" ht="18" customHeight="1">
      <c r="D199" s="185">
        <v>2020</v>
      </c>
      <c r="E199" s="183">
        <v>12</v>
      </c>
      <c r="F199" s="183" t="s">
        <v>632</v>
      </c>
      <c r="G199" s="183" t="s">
        <v>1097</v>
      </c>
      <c r="H199" s="183" t="s">
        <v>1098</v>
      </c>
      <c r="I199" s="183">
        <v>3</v>
      </c>
      <c r="J199" s="183" t="s">
        <v>473</v>
      </c>
      <c r="K199" s="183">
        <f>SUMIF('CF.1'!$D:$D,'CFS(2개월)'!G199,'CF.1'!$U:$U)</f>
        <v>0</v>
      </c>
      <c r="L199" s="183">
        <f>SUMIF('CF.1_2개월(단순차감)'!D:D,'CFS(2개월)'!G199,'CF.1_2개월(단순차감)'!AB:AB)</f>
        <v>0</v>
      </c>
      <c r="M199" s="186">
        <f t="shared" si="6"/>
        <v>0</v>
      </c>
      <c r="O199" s="182"/>
      <c r="P199" s="183">
        <f t="shared" si="5"/>
        <v>0</v>
      </c>
      <c r="Q199" s="184"/>
    </row>
    <row r="200" spans="4:17" ht="18" customHeight="1">
      <c r="D200" s="185">
        <v>2020</v>
      </c>
      <c r="E200" s="183">
        <v>12</v>
      </c>
      <c r="F200" s="183" t="s">
        <v>632</v>
      </c>
      <c r="G200" s="183" t="s">
        <v>1099</v>
      </c>
      <c r="H200" s="183" t="s">
        <v>1100</v>
      </c>
      <c r="I200" s="183">
        <v>3</v>
      </c>
      <c r="J200" s="183" t="s">
        <v>473</v>
      </c>
      <c r="K200" s="183">
        <f>SUMIF('CF.1'!$D:$D,'CFS(2개월)'!G200,'CF.1'!$U:$U)</f>
        <v>0</v>
      </c>
      <c r="L200" s="183">
        <f>SUMIF('CF.1_2개월(단순차감)'!D:D,'CFS(2개월)'!G200,'CF.1_2개월(단순차감)'!AB:AB)</f>
        <v>0</v>
      </c>
      <c r="M200" s="186">
        <f t="shared" si="6"/>
        <v>0</v>
      </c>
      <c r="O200" s="182"/>
      <c r="P200" s="183">
        <f t="shared" si="5"/>
        <v>0</v>
      </c>
      <c r="Q200" s="184"/>
    </row>
    <row r="201" spans="4:17" ht="18" customHeight="1">
      <c r="D201" s="185">
        <v>2020</v>
      </c>
      <c r="E201" s="183">
        <v>12</v>
      </c>
      <c r="F201" s="183" t="s">
        <v>632</v>
      </c>
      <c r="G201" s="183" t="s">
        <v>1103</v>
      </c>
      <c r="H201" s="183" t="s">
        <v>1104</v>
      </c>
      <c r="I201" s="183">
        <v>3</v>
      </c>
      <c r="J201" s="183" t="s">
        <v>473</v>
      </c>
      <c r="K201" s="183">
        <f>SUMIF('CF.1'!$D:$D,'CFS(2개월)'!G201,'CF.1'!$U:$U)</f>
        <v>0</v>
      </c>
      <c r="L201" s="183">
        <f>SUMIF('CF.1_2개월(단순차감)'!D:D,'CFS(2개월)'!G201,'CF.1_2개월(단순차감)'!AB:AB)</f>
        <v>0</v>
      </c>
      <c r="M201" s="186">
        <f t="shared" si="6"/>
        <v>0</v>
      </c>
      <c r="O201" s="182"/>
      <c r="P201" s="183">
        <f t="shared" ref="P201:P264" si="7">O201-L201</f>
        <v>0</v>
      </c>
      <c r="Q201" s="184"/>
    </row>
    <row r="202" spans="4:17" ht="18" customHeight="1">
      <c r="D202" s="185">
        <v>2020</v>
      </c>
      <c r="E202" s="183">
        <v>12</v>
      </c>
      <c r="F202" s="183" t="s">
        <v>632</v>
      </c>
      <c r="G202" s="183" t="s">
        <v>1105</v>
      </c>
      <c r="H202" s="183" t="s">
        <v>1106</v>
      </c>
      <c r="I202" s="183">
        <v>3</v>
      </c>
      <c r="J202" s="183" t="s">
        <v>473</v>
      </c>
      <c r="K202" s="183">
        <f>SUMIF('CF.1'!$D:$D,'CFS(2개월)'!G202,'CF.1'!$U:$U)</f>
        <v>0</v>
      </c>
      <c r="L202" s="183">
        <f>SUMIF('CF.1_2개월(단순차감)'!D:D,'CFS(2개월)'!G202,'CF.1_2개월(단순차감)'!AB:AB)</f>
        <v>0</v>
      </c>
      <c r="M202" s="186">
        <f t="shared" si="6"/>
        <v>0</v>
      </c>
      <c r="O202" s="182"/>
      <c r="P202" s="183">
        <f t="shared" si="7"/>
        <v>0</v>
      </c>
      <c r="Q202" s="184"/>
    </row>
    <row r="203" spans="4:17" ht="18" customHeight="1">
      <c r="D203" s="185">
        <v>2020</v>
      </c>
      <c r="E203" s="183">
        <v>12</v>
      </c>
      <c r="F203" s="183" t="s">
        <v>632</v>
      </c>
      <c r="G203" s="183" t="s">
        <v>1107</v>
      </c>
      <c r="H203" s="183" t="s">
        <v>1108</v>
      </c>
      <c r="I203" s="183">
        <v>3</v>
      </c>
      <c r="J203" s="183" t="s">
        <v>473</v>
      </c>
      <c r="K203" s="183">
        <f>SUMIF('CF.1'!$D:$D,'CFS(2개월)'!G203,'CF.1'!$U:$U)</f>
        <v>0</v>
      </c>
      <c r="L203" s="183">
        <f>SUMIF('CF.1_2개월(단순차감)'!D:D,'CFS(2개월)'!G203,'CF.1_2개월(단순차감)'!AB:AB)</f>
        <v>0</v>
      </c>
      <c r="M203" s="186">
        <f t="shared" si="6"/>
        <v>0</v>
      </c>
      <c r="O203" s="182"/>
      <c r="P203" s="183">
        <f t="shared" si="7"/>
        <v>0</v>
      </c>
      <c r="Q203" s="184"/>
    </row>
    <row r="204" spans="4:17" ht="18" customHeight="1">
      <c r="D204" s="185">
        <v>2020</v>
      </c>
      <c r="E204" s="183">
        <v>12</v>
      </c>
      <c r="F204" s="183" t="s">
        <v>632</v>
      </c>
      <c r="G204" s="183" t="s">
        <v>1109</v>
      </c>
      <c r="H204" s="183" t="s">
        <v>1110</v>
      </c>
      <c r="I204" s="183">
        <v>3</v>
      </c>
      <c r="J204" s="183" t="s">
        <v>473</v>
      </c>
      <c r="K204" s="183">
        <f>SUMIF('CF.1'!$D:$D,'CFS(2개월)'!G204,'CF.1'!$U:$U)</f>
        <v>0</v>
      </c>
      <c r="L204" s="183">
        <f>SUMIF('CF.1_2개월(단순차감)'!D:D,'CFS(2개월)'!G204,'CF.1_2개월(단순차감)'!AB:AB)</f>
        <v>0</v>
      </c>
      <c r="M204" s="186">
        <f t="shared" si="6"/>
        <v>0</v>
      </c>
      <c r="O204" s="182"/>
      <c r="P204" s="183">
        <f t="shared" si="7"/>
        <v>0</v>
      </c>
      <c r="Q204" s="184"/>
    </row>
    <row r="205" spans="4:17" ht="18" customHeight="1">
      <c r="D205" s="185">
        <v>2020</v>
      </c>
      <c r="E205" s="183">
        <v>12</v>
      </c>
      <c r="F205" s="183" t="s">
        <v>632</v>
      </c>
      <c r="G205" s="183" t="s">
        <v>1111</v>
      </c>
      <c r="H205" s="183" t="s">
        <v>1112</v>
      </c>
      <c r="I205" s="183">
        <v>3</v>
      </c>
      <c r="J205" s="183" t="s">
        <v>473</v>
      </c>
      <c r="K205" s="183">
        <f>SUMIF('CF.1'!$D:$D,'CFS(2개월)'!G205,'CF.1'!$U:$U)</f>
        <v>0</v>
      </c>
      <c r="L205" s="183">
        <f>SUMIF('CF.1_2개월(단순차감)'!D:D,'CFS(2개월)'!G205,'CF.1_2개월(단순차감)'!AB:AB)</f>
        <v>0</v>
      </c>
      <c r="M205" s="186">
        <f t="shared" si="6"/>
        <v>0</v>
      </c>
      <c r="O205" s="182"/>
      <c r="P205" s="183">
        <f t="shared" si="7"/>
        <v>0</v>
      </c>
      <c r="Q205" s="184"/>
    </row>
    <row r="206" spans="4:17" ht="18" customHeight="1">
      <c r="D206" s="185">
        <v>2020</v>
      </c>
      <c r="E206" s="183">
        <v>12</v>
      </c>
      <c r="F206" s="183" t="s">
        <v>632</v>
      </c>
      <c r="G206" s="183" t="s">
        <v>1113</v>
      </c>
      <c r="H206" s="183" t="s">
        <v>1114</v>
      </c>
      <c r="I206" s="183">
        <v>3</v>
      </c>
      <c r="J206" s="183" t="s">
        <v>473</v>
      </c>
      <c r="K206" s="183">
        <f>SUMIF('CF.1'!$D:$D,'CFS(2개월)'!G206,'CF.1'!$U:$U)</f>
        <v>0</v>
      </c>
      <c r="L206" s="183">
        <f>SUMIF('CF.1_2개월(단순차감)'!D:D,'CFS(2개월)'!G206,'CF.1_2개월(단순차감)'!AB:AB)</f>
        <v>0</v>
      </c>
      <c r="M206" s="186">
        <f t="shared" si="6"/>
        <v>0</v>
      </c>
      <c r="O206" s="182"/>
      <c r="P206" s="183">
        <f t="shared" si="7"/>
        <v>0</v>
      </c>
      <c r="Q206" s="184"/>
    </row>
    <row r="207" spans="4:17" ht="18" customHeight="1">
      <c r="D207" s="185">
        <v>2020</v>
      </c>
      <c r="E207" s="183">
        <v>12</v>
      </c>
      <c r="F207" s="183" t="s">
        <v>632</v>
      </c>
      <c r="G207" s="183" t="s">
        <v>1123</v>
      </c>
      <c r="H207" s="183" t="s">
        <v>1124</v>
      </c>
      <c r="I207" s="183">
        <v>3</v>
      </c>
      <c r="J207" s="183" t="s">
        <v>473</v>
      </c>
      <c r="K207" s="183">
        <f>SUMIF('CF.1'!$D:$D,'CFS(2개월)'!G207,'CF.1'!$U:$U)</f>
        <v>0</v>
      </c>
      <c r="L207" s="183">
        <f>SUMIF('CF.1_2개월(단순차감)'!D:D,'CFS(2개월)'!G207,'CF.1_2개월(단순차감)'!AB:AB)</f>
        <v>0</v>
      </c>
      <c r="M207" s="186">
        <f t="shared" si="6"/>
        <v>0</v>
      </c>
      <c r="O207" s="182"/>
      <c r="P207" s="183">
        <f t="shared" si="7"/>
        <v>0</v>
      </c>
      <c r="Q207" s="184"/>
    </row>
    <row r="208" spans="4:17" ht="18" customHeight="1">
      <c r="D208" s="179">
        <v>2020</v>
      </c>
      <c r="E208" s="180">
        <v>12</v>
      </c>
      <c r="F208" s="180" t="s">
        <v>632</v>
      </c>
      <c r="G208" s="180" t="s">
        <v>1125</v>
      </c>
      <c r="H208" s="180" t="s">
        <v>1126</v>
      </c>
      <c r="I208" s="180">
        <v>2</v>
      </c>
      <c r="J208" s="180" t="s">
        <v>473</v>
      </c>
      <c r="K208" s="180">
        <f>SUM(K209:K259)</f>
        <v>-6524172527</v>
      </c>
      <c r="L208" s="180">
        <f>SUM(L209:L259)</f>
        <v>-11496984570</v>
      </c>
      <c r="M208" s="181">
        <f>SUM(M209:M259)</f>
        <v>-4972812043</v>
      </c>
      <c r="O208" s="182"/>
      <c r="P208" s="183">
        <f t="shared" si="7"/>
        <v>11496984570</v>
      </c>
      <c r="Q208" s="184"/>
    </row>
    <row r="209" spans="4:17" ht="18" customHeight="1">
      <c r="D209" s="185">
        <v>2020</v>
      </c>
      <c r="E209" s="183">
        <v>12</v>
      </c>
      <c r="F209" s="183" t="s">
        <v>632</v>
      </c>
      <c r="G209" s="183" t="s">
        <v>1127</v>
      </c>
      <c r="H209" s="183" t="s">
        <v>1128</v>
      </c>
      <c r="I209" s="183">
        <v>3</v>
      </c>
      <c r="J209" s="183" t="s">
        <v>473</v>
      </c>
      <c r="K209" s="183">
        <f>SUMIF('CF.1'!$D:$D,'CFS(2개월)'!G209,'CF.1'!$U:$U)</f>
        <v>0</v>
      </c>
      <c r="L209" s="183">
        <f>SUMIF('CF.1_2개월(단순차감)'!D:D,'CFS(2개월)'!G209,'CF.1_2개월(단순차감)'!AB:AB)</f>
        <v>0</v>
      </c>
      <c r="M209" s="186">
        <f t="shared" ref="M209:M259" si="8">L209-K209</f>
        <v>0</v>
      </c>
      <c r="O209" s="182"/>
      <c r="P209" s="183">
        <f t="shared" si="7"/>
        <v>0</v>
      </c>
      <c r="Q209" s="184"/>
    </row>
    <row r="210" spans="4:17" ht="18" customHeight="1">
      <c r="D210" s="185">
        <v>2020</v>
      </c>
      <c r="E210" s="183">
        <v>12</v>
      </c>
      <c r="F210" s="183" t="s">
        <v>632</v>
      </c>
      <c r="G210" s="183" t="s">
        <v>1129</v>
      </c>
      <c r="H210" s="183" t="s">
        <v>1130</v>
      </c>
      <c r="I210" s="183">
        <v>3</v>
      </c>
      <c r="J210" s="183" t="s">
        <v>473</v>
      </c>
      <c r="K210" s="183">
        <f>SUMIF('CF.1'!$D:$D,'CFS(2개월)'!G210,'CF.1'!$U:$U)</f>
        <v>0</v>
      </c>
      <c r="L210" s="183">
        <f>SUMIF('CF.1_2개월(단순차감)'!D:D,'CFS(2개월)'!G210,'CF.1_2개월(단순차감)'!AB:AB)</f>
        <v>-312435000</v>
      </c>
      <c r="M210" s="186">
        <f t="shared" si="8"/>
        <v>-312435000</v>
      </c>
      <c r="O210" s="182"/>
      <c r="P210" s="183">
        <f t="shared" si="7"/>
        <v>312435000</v>
      </c>
      <c r="Q210" s="184"/>
    </row>
    <row r="211" spans="4:17" ht="18" customHeight="1">
      <c r="D211" s="185">
        <v>2020</v>
      </c>
      <c r="E211" s="183">
        <v>12</v>
      </c>
      <c r="F211" s="183" t="s">
        <v>632</v>
      </c>
      <c r="G211" s="183" t="s">
        <v>1131</v>
      </c>
      <c r="H211" s="183" t="s">
        <v>1132</v>
      </c>
      <c r="I211" s="183">
        <v>3</v>
      </c>
      <c r="J211" s="183" t="s">
        <v>473</v>
      </c>
      <c r="K211" s="183">
        <f>SUMIF('CF.1'!$D:$D,'CFS(2개월)'!G211,'CF.1'!$U:$U)</f>
        <v>0</v>
      </c>
      <c r="L211" s="183">
        <f>SUMIF('CF.1_2개월(단순차감)'!D:D,'CFS(2개월)'!G211,'CF.1_2개월(단순차감)'!AB:AB)</f>
        <v>0</v>
      </c>
      <c r="M211" s="186">
        <f t="shared" si="8"/>
        <v>0</v>
      </c>
      <c r="O211" s="182"/>
      <c r="P211" s="183">
        <f t="shared" si="7"/>
        <v>0</v>
      </c>
      <c r="Q211" s="184"/>
    </row>
    <row r="212" spans="4:17" ht="18" customHeight="1">
      <c r="D212" s="185">
        <v>2020</v>
      </c>
      <c r="E212" s="183">
        <v>12</v>
      </c>
      <c r="F212" s="183" t="s">
        <v>632</v>
      </c>
      <c r="G212" s="183" t="s">
        <v>1133</v>
      </c>
      <c r="H212" s="183" t="s">
        <v>1134</v>
      </c>
      <c r="I212" s="183">
        <v>3</v>
      </c>
      <c r="J212" s="183" t="s">
        <v>473</v>
      </c>
      <c r="K212" s="183">
        <f>SUMIF('CF.1'!$D:$D,'CFS(2개월)'!G212,'CF.1'!$U:$U)</f>
        <v>0</v>
      </c>
      <c r="L212" s="183">
        <f>SUMIF('CF.1_2개월(단순차감)'!D:D,'CFS(2개월)'!G212,'CF.1_2개월(단순차감)'!AB:AB)</f>
        <v>0</v>
      </c>
      <c r="M212" s="186">
        <f t="shared" si="8"/>
        <v>0</v>
      </c>
      <c r="O212" s="182"/>
      <c r="P212" s="183">
        <f t="shared" si="7"/>
        <v>0</v>
      </c>
      <c r="Q212" s="184"/>
    </row>
    <row r="213" spans="4:17" ht="18" customHeight="1">
      <c r="D213" s="185">
        <v>2020</v>
      </c>
      <c r="E213" s="183">
        <v>12</v>
      </c>
      <c r="F213" s="183" t="s">
        <v>632</v>
      </c>
      <c r="G213" s="183" t="s">
        <v>1135</v>
      </c>
      <c r="H213" s="183" t="s">
        <v>1136</v>
      </c>
      <c r="I213" s="183">
        <v>3</v>
      </c>
      <c r="J213" s="183" t="s">
        <v>473</v>
      </c>
      <c r="K213" s="183">
        <f>SUMIF('CF.1'!$D:$D,'CFS(2개월)'!G213,'CF.1'!$U:$U)</f>
        <v>0</v>
      </c>
      <c r="L213" s="183">
        <f>SUMIF('CF.1_2개월(단순차감)'!D:D,'CFS(2개월)'!G213,'CF.1_2개월(단순차감)'!AB:AB)</f>
        <v>0</v>
      </c>
      <c r="M213" s="186">
        <f t="shared" si="8"/>
        <v>0</v>
      </c>
      <c r="O213" s="182"/>
      <c r="P213" s="183">
        <f t="shared" si="7"/>
        <v>0</v>
      </c>
      <c r="Q213" s="184"/>
    </row>
    <row r="214" spans="4:17" ht="18" customHeight="1">
      <c r="D214" s="185">
        <v>2020</v>
      </c>
      <c r="E214" s="183">
        <v>12</v>
      </c>
      <c r="F214" s="183" t="s">
        <v>632</v>
      </c>
      <c r="G214" s="183" t="s">
        <v>1137</v>
      </c>
      <c r="H214" s="183" t="s">
        <v>1138</v>
      </c>
      <c r="I214" s="183">
        <v>3</v>
      </c>
      <c r="J214" s="183" t="s">
        <v>473</v>
      </c>
      <c r="K214" s="183">
        <f>SUMIF('CF.1'!$D:$D,'CFS(2개월)'!G214,'CF.1'!$U:$U)</f>
        <v>0</v>
      </c>
      <c r="L214" s="183">
        <f>SUMIF('CF.1_2개월(단순차감)'!D:D,'CFS(2개월)'!G214,'CF.1_2개월(단순차감)'!AB:AB)</f>
        <v>0</v>
      </c>
      <c r="M214" s="186">
        <f t="shared" si="8"/>
        <v>0</v>
      </c>
      <c r="O214" s="182"/>
      <c r="P214" s="183">
        <f t="shared" si="7"/>
        <v>0</v>
      </c>
      <c r="Q214" s="184"/>
    </row>
    <row r="215" spans="4:17" ht="18" customHeight="1">
      <c r="D215" s="185">
        <v>2020</v>
      </c>
      <c r="E215" s="183">
        <v>12</v>
      </c>
      <c r="F215" s="183" t="s">
        <v>632</v>
      </c>
      <c r="G215" s="183" t="s">
        <v>1139</v>
      </c>
      <c r="H215" s="183" t="s">
        <v>1140</v>
      </c>
      <c r="I215" s="183">
        <v>3</v>
      </c>
      <c r="J215" s="183" t="s">
        <v>473</v>
      </c>
      <c r="K215" s="183">
        <f>SUMIF('CF.1'!$D:$D,'CFS(2개월)'!G215,'CF.1'!$U:$U)</f>
        <v>0</v>
      </c>
      <c r="L215" s="183">
        <f>SUMIF('CF.1_2개월(단순차감)'!D:D,'CFS(2개월)'!G215,'CF.1_2개월(단순차감)'!AB:AB)</f>
        <v>0</v>
      </c>
      <c r="M215" s="186">
        <f t="shared" si="8"/>
        <v>0</v>
      </c>
      <c r="O215" s="182"/>
      <c r="P215" s="183">
        <f t="shared" si="7"/>
        <v>0</v>
      </c>
      <c r="Q215" s="184"/>
    </row>
    <row r="216" spans="4:17" ht="18" customHeight="1">
      <c r="D216" s="185">
        <v>2020</v>
      </c>
      <c r="E216" s="183">
        <v>12</v>
      </c>
      <c r="F216" s="183" t="s">
        <v>632</v>
      </c>
      <c r="G216" s="183" t="s">
        <v>1141</v>
      </c>
      <c r="H216" s="183" t="s">
        <v>1142</v>
      </c>
      <c r="I216" s="183">
        <v>3</v>
      </c>
      <c r="J216" s="183" t="s">
        <v>473</v>
      </c>
      <c r="K216" s="183">
        <f>SUMIF('CF.1'!$D:$D,'CFS(2개월)'!G216,'CF.1'!$U:$U)</f>
        <v>-609716486</v>
      </c>
      <c r="L216" s="183">
        <f>SUMIF('CF.1_2개월(단순차감)'!D:D,'CFS(2개월)'!G216,'CF.1_2개월(단순차감)'!AB:AB)</f>
        <v>-16210816</v>
      </c>
      <c r="M216" s="186">
        <f t="shared" si="8"/>
        <v>593505670</v>
      </c>
      <c r="O216" s="182"/>
      <c r="P216" s="183">
        <f t="shared" si="7"/>
        <v>16210816</v>
      </c>
      <c r="Q216" s="184"/>
    </row>
    <row r="217" spans="4:17" ht="18" customHeight="1">
      <c r="D217" s="185">
        <v>2020</v>
      </c>
      <c r="E217" s="183">
        <v>12</v>
      </c>
      <c r="F217" s="183" t="s">
        <v>632</v>
      </c>
      <c r="G217" s="183" t="s">
        <v>1143</v>
      </c>
      <c r="H217" s="183" t="s">
        <v>1144</v>
      </c>
      <c r="I217" s="183">
        <v>3</v>
      </c>
      <c r="J217" s="183" t="s">
        <v>473</v>
      </c>
      <c r="K217" s="183">
        <f>SUMIF('CF.1'!$D:$D,'CFS(2개월)'!G217,'CF.1'!$U:$U)</f>
        <v>0</v>
      </c>
      <c r="L217" s="183">
        <f>SUMIF('CF.1_2개월(단순차감)'!D:D,'CFS(2개월)'!G217,'CF.1_2개월(단순차감)'!AB:AB)</f>
        <v>0</v>
      </c>
      <c r="M217" s="186">
        <f t="shared" si="8"/>
        <v>0</v>
      </c>
      <c r="O217" s="182"/>
      <c r="P217" s="183">
        <f t="shared" si="7"/>
        <v>0</v>
      </c>
      <c r="Q217" s="184"/>
    </row>
    <row r="218" spans="4:17" ht="18" customHeight="1">
      <c r="D218" s="185">
        <v>2020</v>
      </c>
      <c r="E218" s="183">
        <v>12</v>
      </c>
      <c r="F218" s="183" t="s">
        <v>632</v>
      </c>
      <c r="G218" s="183" t="s">
        <v>1145</v>
      </c>
      <c r="H218" s="183" t="s">
        <v>1146</v>
      </c>
      <c r="I218" s="183">
        <v>3</v>
      </c>
      <c r="J218" s="183" t="s">
        <v>473</v>
      </c>
      <c r="K218" s="183">
        <f>SUMIF('CF.1'!$D:$D,'CFS(2개월)'!G218,'CF.1'!$U:$U)</f>
        <v>0</v>
      </c>
      <c r="L218" s="183">
        <f>SUMIF('CF.1_2개월(단순차감)'!D:D,'CFS(2개월)'!G218,'CF.1_2개월(단순차감)'!AB:AB)</f>
        <v>0</v>
      </c>
      <c r="M218" s="186">
        <f t="shared" si="8"/>
        <v>0</v>
      </c>
      <c r="O218" s="182"/>
      <c r="P218" s="183">
        <f t="shared" si="7"/>
        <v>0</v>
      </c>
      <c r="Q218" s="184"/>
    </row>
    <row r="219" spans="4:17" ht="18" customHeight="1">
      <c r="D219" s="185">
        <v>2020</v>
      </c>
      <c r="E219" s="183">
        <v>12</v>
      </c>
      <c r="F219" s="183" t="s">
        <v>632</v>
      </c>
      <c r="G219" s="183" t="s">
        <v>1147</v>
      </c>
      <c r="H219" s="183" t="s">
        <v>1148</v>
      </c>
      <c r="I219" s="183">
        <v>3</v>
      </c>
      <c r="J219" s="183" t="s">
        <v>473</v>
      </c>
      <c r="K219" s="183">
        <f>SUMIF('CF.1'!$D:$D,'CFS(2개월)'!G219,'CF.1'!$U:$U)</f>
        <v>0</v>
      </c>
      <c r="L219" s="183">
        <f>SUMIF('CF.1_2개월(단순차감)'!D:D,'CFS(2개월)'!G219,'CF.1_2개월(단순차감)'!AB:AB)</f>
        <v>0</v>
      </c>
      <c r="M219" s="186">
        <f t="shared" si="8"/>
        <v>0</v>
      </c>
      <c r="O219" s="182"/>
      <c r="P219" s="183">
        <f t="shared" si="7"/>
        <v>0</v>
      </c>
      <c r="Q219" s="184"/>
    </row>
    <row r="220" spans="4:17" ht="18" customHeight="1">
      <c r="D220" s="185">
        <v>2020</v>
      </c>
      <c r="E220" s="183">
        <v>12</v>
      </c>
      <c r="F220" s="183" t="s">
        <v>632</v>
      </c>
      <c r="G220" s="183" t="s">
        <v>1515</v>
      </c>
      <c r="H220" s="183" t="s">
        <v>1150</v>
      </c>
      <c r="I220" s="183">
        <v>3</v>
      </c>
      <c r="J220" s="183" t="s">
        <v>473</v>
      </c>
      <c r="K220" s="183">
        <f>SUMIF('CF.1'!$D:$D,'CFS(2개월)'!G220,'CF.1'!$U:$U)</f>
        <v>0</v>
      </c>
      <c r="L220" s="183">
        <f>SUMIF('CF.1_2개월(단순차감)'!D:D,'CFS(2개월)'!G220,'CF.1_2개월(단순차감)'!AB:AB)</f>
        <v>-10000238186</v>
      </c>
      <c r="M220" s="186">
        <f t="shared" si="8"/>
        <v>-10000238186</v>
      </c>
      <c r="O220" s="182"/>
      <c r="P220" s="183">
        <f t="shared" si="7"/>
        <v>10000238186</v>
      </c>
      <c r="Q220" s="184"/>
    </row>
    <row r="221" spans="4:17" ht="18" customHeight="1">
      <c r="D221" s="185">
        <v>2020</v>
      </c>
      <c r="E221" s="183">
        <v>12</v>
      </c>
      <c r="F221" s="183" t="s">
        <v>632</v>
      </c>
      <c r="G221" s="183" t="s">
        <v>1516</v>
      </c>
      <c r="H221" s="183" t="s">
        <v>1517</v>
      </c>
      <c r="I221" s="183">
        <v>3</v>
      </c>
      <c r="J221" s="183" t="s">
        <v>473</v>
      </c>
      <c r="K221" s="183">
        <f>SUMIF('CF.1'!$D:$D,'CFS(2개월)'!G221,'CF.1'!$U:$U)</f>
        <v>0</v>
      </c>
      <c r="L221" s="183">
        <f>SUMIF('CF.1_2개월(단순차감)'!D:D,'CFS(2개월)'!G221,'CF.1_2개월(단순차감)'!AB:AB)</f>
        <v>0</v>
      </c>
      <c r="M221" s="186">
        <f t="shared" si="8"/>
        <v>0</v>
      </c>
      <c r="O221" s="182"/>
      <c r="P221" s="183">
        <f t="shared" si="7"/>
        <v>0</v>
      </c>
      <c r="Q221" s="184"/>
    </row>
    <row r="222" spans="4:17" ht="18" customHeight="1">
      <c r="D222" s="185">
        <v>2020</v>
      </c>
      <c r="E222" s="183">
        <v>12</v>
      </c>
      <c r="F222" s="183" t="s">
        <v>632</v>
      </c>
      <c r="G222" s="183" t="s">
        <v>1151</v>
      </c>
      <c r="H222" s="183" t="s">
        <v>1152</v>
      </c>
      <c r="I222" s="183">
        <v>3</v>
      </c>
      <c r="J222" s="183" t="s">
        <v>473</v>
      </c>
      <c r="K222" s="183">
        <f>SUMIF('CF.1'!$D:$D,'CFS(2개월)'!G222,'CF.1'!$U:$U)</f>
        <v>0</v>
      </c>
      <c r="L222" s="183">
        <f>SUMIF('CF.1_2개월(단순차감)'!D:D,'CFS(2개월)'!G222,'CF.1_2개월(단순차감)'!AB:AB)</f>
        <v>0</v>
      </c>
      <c r="M222" s="186">
        <f t="shared" si="8"/>
        <v>0</v>
      </c>
      <c r="O222" s="182"/>
      <c r="P222" s="183">
        <f t="shared" si="7"/>
        <v>0</v>
      </c>
      <c r="Q222" s="184"/>
    </row>
    <row r="223" spans="4:17" ht="18" customHeight="1">
      <c r="D223" s="185">
        <v>2020</v>
      </c>
      <c r="E223" s="183">
        <v>12</v>
      </c>
      <c r="F223" s="183" t="s">
        <v>632</v>
      </c>
      <c r="G223" s="183" t="s">
        <v>1153</v>
      </c>
      <c r="H223" s="183" t="s">
        <v>1518</v>
      </c>
      <c r="I223" s="183">
        <v>3</v>
      </c>
      <c r="J223" s="183" t="s">
        <v>473</v>
      </c>
      <c r="K223" s="183">
        <f>SUMIF('CF.1'!$D:$D,'CFS(2개월)'!G223,'CF.1'!$U:$U)</f>
        <v>-3011475000</v>
      </c>
      <c r="L223" s="183">
        <f>SUMIF('CF.1_2개월(단순차감)'!D:D,'CFS(2개월)'!G223,'CF.1_2개월(단순차감)'!AB:AB)</f>
        <v>0</v>
      </c>
      <c r="M223" s="186">
        <f t="shared" si="8"/>
        <v>3011475000</v>
      </c>
      <c r="O223" s="182"/>
      <c r="P223" s="183">
        <f t="shared" si="7"/>
        <v>0</v>
      </c>
      <c r="Q223" s="184"/>
    </row>
    <row r="224" spans="4:17" ht="18" customHeight="1">
      <c r="D224" s="185">
        <v>2020</v>
      </c>
      <c r="E224" s="183">
        <v>12</v>
      </c>
      <c r="F224" s="183" t="s">
        <v>632</v>
      </c>
      <c r="G224" s="183" t="s">
        <v>1155</v>
      </c>
      <c r="H224" s="183" t="s">
        <v>1156</v>
      </c>
      <c r="I224" s="183">
        <v>3</v>
      </c>
      <c r="J224" s="183" t="s">
        <v>473</v>
      </c>
      <c r="K224" s="183">
        <f>SUMIF('CF.1'!$D:$D,'CFS(2개월)'!G224,'CF.1'!$U:$U)</f>
        <v>0</v>
      </c>
      <c r="L224" s="183">
        <f>SUMIF('CF.1_2개월(단순차감)'!D:D,'CFS(2개월)'!G224,'CF.1_2개월(단순차감)'!AB:AB)</f>
        <v>0</v>
      </c>
      <c r="M224" s="186">
        <f t="shared" si="8"/>
        <v>0</v>
      </c>
      <c r="O224" s="182"/>
      <c r="P224" s="183">
        <f t="shared" si="7"/>
        <v>0</v>
      </c>
      <c r="Q224" s="184"/>
    </row>
    <row r="225" spans="4:17" ht="18" customHeight="1">
      <c r="D225" s="185">
        <v>2020</v>
      </c>
      <c r="E225" s="183">
        <v>12</v>
      </c>
      <c r="F225" s="183" t="s">
        <v>632</v>
      </c>
      <c r="G225" s="183" t="s">
        <v>1157</v>
      </c>
      <c r="H225" s="183" t="s">
        <v>1158</v>
      </c>
      <c r="I225" s="183">
        <v>3</v>
      </c>
      <c r="J225" s="183" t="s">
        <v>473</v>
      </c>
      <c r="K225" s="183">
        <f>SUMIF('CF.1'!$D:$D,'CFS(2개월)'!G225,'CF.1'!$U:$U)</f>
        <v>0</v>
      </c>
      <c r="L225" s="183">
        <f>SUMIF('CF.1_2개월(단순차감)'!D:D,'CFS(2개월)'!G225,'CF.1_2개월(단순차감)'!AB:AB)</f>
        <v>0</v>
      </c>
      <c r="M225" s="186">
        <f t="shared" si="8"/>
        <v>0</v>
      </c>
      <c r="O225" s="182"/>
      <c r="P225" s="183">
        <f t="shared" si="7"/>
        <v>0</v>
      </c>
      <c r="Q225" s="184"/>
    </row>
    <row r="226" spans="4:17" ht="18" customHeight="1">
      <c r="D226" s="185">
        <v>2020</v>
      </c>
      <c r="E226" s="183">
        <v>12</v>
      </c>
      <c r="F226" s="183" t="s">
        <v>632</v>
      </c>
      <c r="G226" s="183" t="s">
        <v>1159</v>
      </c>
      <c r="H226" s="183" t="s">
        <v>1160</v>
      </c>
      <c r="I226" s="183">
        <v>3</v>
      </c>
      <c r="J226" s="183" t="s">
        <v>473</v>
      </c>
      <c r="K226" s="183">
        <f>SUMIF('CF.1'!$D:$D,'CFS(2개월)'!G226,'CF.1'!$U:$U)</f>
        <v>0</v>
      </c>
      <c r="L226" s="183">
        <f>SUMIF('CF.1_2개월(단순차감)'!D:D,'CFS(2개월)'!G226,'CF.1_2개월(단순차감)'!AB:AB)</f>
        <v>0</v>
      </c>
      <c r="M226" s="186">
        <f t="shared" si="8"/>
        <v>0</v>
      </c>
      <c r="O226" s="182"/>
      <c r="P226" s="183">
        <f t="shared" si="7"/>
        <v>0</v>
      </c>
      <c r="Q226" s="184"/>
    </row>
    <row r="227" spans="4:17" ht="18" customHeight="1">
      <c r="D227" s="185">
        <v>2020</v>
      </c>
      <c r="E227" s="183">
        <v>12</v>
      </c>
      <c r="F227" s="183" t="s">
        <v>632</v>
      </c>
      <c r="G227" s="183" t="s">
        <v>1161</v>
      </c>
      <c r="H227" s="183" t="s">
        <v>1162</v>
      </c>
      <c r="I227" s="183">
        <v>3</v>
      </c>
      <c r="J227" s="183" t="s">
        <v>473</v>
      </c>
      <c r="K227" s="183">
        <f>SUMIF('CF.1'!$D:$D,'CFS(2개월)'!G227,'CF.1'!$U:$U)</f>
        <v>0</v>
      </c>
      <c r="L227" s="183">
        <f>SUMIF('CF.1_2개월(단순차감)'!D:D,'CFS(2개월)'!G227,'CF.1_2개월(단순차감)'!AB:AB)</f>
        <v>0</v>
      </c>
      <c r="M227" s="186">
        <f t="shared" si="8"/>
        <v>0</v>
      </c>
      <c r="O227" s="182"/>
      <c r="P227" s="183">
        <f t="shared" si="7"/>
        <v>0</v>
      </c>
      <c r="Q227" s="184"/>
    </row>
    <row r="228" spans="4:17" ht="18" customHeight="1">
      <c r="D228" s="185">
        <v>2020</v>
      </c>
      <c r="E228" s="183">
        <v>12</v>
      </c>
      <c r="F228" s="183" t="s">
        <v>632</v>
      </c>
      <c r="G228" s="183" t="s">
        <v>1163</v>
      </c>
      <c r="H228" s="183" t="s">
        <v>1164</v>
      </c>
      <c r="I228" s="183">
        <v>3</v>
      </c>
      <c r="J228" s="183" t="s">
        <v>473</v>
      </c>
      <c r="K228" s="183">
        <f>SUMIF('CF.1'!$D:$D,'CFS(2개월)'!G228,'CF.1'!$U:$U)</f>
        <v>0</v>
      </c>
      <c r="L228" s="183">
        <f>SUMIF('CF.1_2개월(단순차감)'!D:D,'CFS(2개월)'!G228,'CF.1_2개월(단순차감)'!AB:AB)</f>
        <v>0</v>
      </c>
      <c r="M228" s="186">
        <f t="shared" si="8"/>
        <v>0</v>
      </c>
      <c r="O228" s="182"/>
      <c r="P228" s="183">
        <f t="shared" si="7"/>
        <v>0</v>
      </c>
      <c r="Q228" s="184"/>
    </row>
    <row r="229" spans="4:17" ht="18" customHeight="1">
      <c r="D229" s="185">
        <v>2020</v>
      </c>
      <c r="E229" s="183">
        <v>12</v>
      </c>
      <c r="F229" s="183" t="s">
        <v>632</v>
      </c>
      <c r="G229" s="183" t="s">
        <v>1165</v>
      </c>
      <c r="H229" s="183" t="s">
        <v>1166</v>
      </c>
      <c r="I229" s="183">
        <v>3</v>
      </c>
      <c r="J229" s="183" t="s">
        <v>473</v>
      </c>
      <c r="K229" s="183">
        <f>SUMIF('CF.1'!$D:$D,'CFS(2개월)'!G229,'CF.1'!$U:$U)</f>
        <v>0</v>
      </c>
      <c r="L229" s="183">
        <f>SUMIF('CF.1_2개월(단순차감)'!D:D,'CFS(2개월)'!G229,'CF.1_2개월(단순차감)'!AB:AB)</f>
        <v>0</v>
      </c>
      <c r="M229" s="186">
        <f t="shared" si="8"/>
        <v>0</v>
      </c>
      <c r="O229" s="182"/>
      <c r="P229" s="183">
        <f t="shared" si="7"/>
        <v>0</v>
      </c>
      <c r="Q229" s="184"/>
    </row>
    <row r="230" spans="4:17" ht="18" customHeight="1">
      <c r="D230" s="185">
        <v>2020</v>
      </c>
      <c r="E230" s="183">
        <v>12</v>
      </c>
      <c r="F230" s="183" t="s">
        <v>632</v>
      </c>
      <c r="G230" s="183" t="s">
        <v>1167</v>
      </c>
      <c r="H230" s="183" t="s">
        <v>1168</v>
      </c>
      <c r="I230" s="183">
        <v>3</v>
      </c>
      <c r="J230" s="183" t="s">
        <v>473</v>
      </c>
      <c r="K230" s="183">
        <f>SUMIF('CF.1'!$D:$D,'CFS(2개월)'!G230,'CF.1'!$U:$U)</f>
        <v>0</v>
      </c>
      <c r="L230" s="183">
        <f>SUMIF('CF.1_2개월(단순차감)'!D:D,'CFS(2개월)'!G230,'CF.1_2개월(단순차감)'!AB:AB)</f>
        <v>0</v>
      </c>
      <c r="M230" s="186">
        <f t="shared" si="8"/>
        <v>0</v>
      </c>
      <c r="O230" s="182"/>
      <c r="P230" s="183">
        <f t="shared" si="7"/>
        <v>0</v>
      </c>
      <c r="Q230" s="184"/>
    </row>
    <row r="231" spans="4:17" ht="18" customHeight="1">
      <c r="D231" s="185">
        <v>2020</v>
      </c>
      <c r="E231" s="183">
        <v>12</v>
      </c>
      <c r="F231" s="183" t="s">
        <v>632</v>
      </c>
      <c r="G231" s="183" t="s">
        <v>1169</v>
      </c>
      <c r="H231" s="183" t="s">
        <v>1170</v>
      </c>
      <c r="I231" s="183">
        <v>3</v>
      </c>
      <c r="J231" s="183" t="s">
        <v>473</v>
      </c>
      <c r="K231" s="183">
        <f>SUMIF('CF.1'!$D:$D,'CFS(2개월)'!G231,'CF.1'!$U:$U)</f>
        <v>0</v>
      </c>
      <c r="L231" s="183">
        <f>SUMIF('CF.1_2개월(단순차감)'!D:D,'CFS(2개월)'!G231,'CF.1_2개월(단순차감)'!AB:AB)</f>
        <v>0</v>
      </c>
      <c r="M231" s="186">
        <f t="shared" si="8"/>
        <v>0</v>
      </c>
      <c r="O231" s="182"/>
      <c r="P231" s="183">
        <f t="shared" si="7"/>
        <v>0</v>
      </c>
      <c r="Q231" s="184"/>
    </row>
    <row r="232" spans="4:17" ht="18" customHeight="1">
      <c r="D232" s="185">
        <v>2020</v>
      </c>
      <c r="E232" s="183">
        <v>12</v>
      </c>
      <c r="F232" s="183" t="s">
        <v>632</v>
      </c>
      <c r="G232" s="183" t="s">
        <v>1171</v>
      </c>
      <c r="H232" s="183" t="s">
        <v>1172</v>
      </c>
      <c r="I232" s="183">
        <v>3</v>
      </c>
      <c r="J232" s="183" t="s">
        <v>473</v>
      </c>
      <c r="K232" s="183">
        <f>SUMIF('CF.1'!$D:$D,'CFS(2개월)'!G232,'CF.1'!$U:$U)</f>
        <v>0</v>
      </c>
      <c r="L232" s="183">
        <f>SUMIF('CF.1_2개월(단순차감)'!D:D,'CFS(2개월)'!G232,'CF.1_2개월(단순차감)'!AB:AB)</f>
        <v>0</v>
      </c>
      <c r="M232" s="186">
        <f t="shared" si="8"/>
        <v>0</v>
      </c>
      <c r="O232" s="182"/>
      <c r="P232" s="183">
        <f t="shared" si="7"/>
        <v>0</v>
      </c>
      <c r="Q232" s="184"/>
    </row>
    <row r="233" spans="4:17" ht="18" customHeight="1">
      <c r="D233" s="185">
        <v>2020</v>
      </c>
      <c r="E233" s="183">
        <v>12</v>
      </c>
      <c r="F233" s="183" t="s">
        <v>632</v>
      </c>
      <c r="G233" s="183" t="s">
        <v>1173</v>
      </c>
      <c r="H233" s="183" t="s">
        <v>1174</v>
      </c>
      <c r="I233" s="183">
        <v>3</v>
      </c>
      <c r="J233" s="183" t="s">
        <v>473</v>
      </c>
      <c r="K233" s="183">
        <f>SUMIF('CF.1'!$D:$D,'CFS(2개월)'!G233,'CF.1'!$U:$U)</f>
        <v>0</v>
      </c>
      <c r="L233" s="183">
        <f>SUMIF('CF.1_2개월(단순차감)'!D:D,'CFS(2개월)'!G233,'CF.1_2개월(단순차감)'!AB:AB)</f>
        <v>0</v>
      </c>
      <c r="M233" s="186">
        <f t="shared" si="8"/>
        <v>0</v>
      </c>
      <c r="O233" s="182"/>
      <c r="P233" s="183">
        <f t="shared" si="7"/>
        <v>0</v>
      </c>
      <c r="Q233" s="184"/>
    </row>
    <row r="234" spans="4:17" ht="18" customHeight="1">
      <c r="D234" s="185">
        <v>2020</v>
      </c>
      <c r="E234" s="183">
        <v>12</v>
      </c>
      <c r="F234" s="183" t="s">
        <v>632</v>
      </c>
      <c r="G234" s="183" t="s">
        <v>1175</v>
      </c>
      <c r="H234" s="183" t="s">
        <v>1176</v>
      </c>
      <c r="I234" s="183">
        <v>3</v>
      </c>
      <c r="J234" s="183" t="s">
        <v>473</v>
      </c>
      <c r="K234" s="183">
        <f>SUMIF('CF.1'!$D:$D,'CFS(2개월)'!G234,'CF.1'!$U:$U)</f>
        <v>0</v>
      </c>
      <c r="L234" s="183">
        <f>SUMIF('CF.1_2개월(단순차감)'!D:D,'CFS(2개월)'!G234,'CF.1_2개월(단순차감)'!AB:AB)</f>
        <v>0</v>
      </c>
      <c r="M234" s="186">
        <f t="shared" si="8"/>
        <v>0</v>
      </c>
      <c r="O234" s="182"/>
      <c r="P234" s="183">
        <f t="shared" si="7"/>
        <v>0</v>
      </c>
      <c r="Q234" s="184"/>
    </row>
    <row r="235" spans="4:17" ht="18" customHeight="1">
      <c r="D235" s="185">
        <v>2020</v>
      </c>
      <c r="E235" s="183">
        <v>12</v>
      </c>
      <c r="F235" s="183" t="s">
        <v>632</v>
      </c>
      <c r="G235" s="183" t="s">
        <v>1177</v>
      </c>
      <c r="H235" s="183" t="s">
        <v>1178</v>
      </c>
      <c r="I235" s="183">
        <v>3</v>
      </c>
      <c r="J235" s="183" t="s">
        <v>473</v>
      </c>
      <c r="K235" s="183">
        <f>SUMIF('CF.1'!$D:$D,'CFS(2개월)'!G235,'CF.1'!$U:$U)</f>
        <v>0</v>
      </c>
      <c r="L235" s="183">
        <f>SUMIF('CF.1_2개월(단순차감)'!D:D,'CFS(2개월)'!G235,'CF.1_2개월(단순차감)'!AB:AB)</f>
        <v>0</v>
      </c>
      <c r="M235" s="186">
        <f t="shared" si="8"/>
        <v>0</v>
      </c>
      <c r="O235" s="182"/>
      <c r="P235" s="183">
        <f t="shared" si="7"/>
        <v>0</v>
      </c>
      <c r="Q235" s="184"/>
    </row>
    <row r="236" spans="4:17" ht="18" customHeight="1">
      <c r="D236" s="185">
        <v>2020</v>
      </c>
      <c r="E236" s="183">
        <v>12</v>
      </c>
      <c r="F236" s="183" t="s">
        <v>632</v>
      </c>
      <c r="G236" s="183" t="s">
        <v>1179</v>
      </c>
      <c r="H236" s="183" t="s">
        <v>1180</v>
      </c>
      <c r="I236" s="183">
        <v>3</v>
      </c>
      <c r="J236" s="183" t="s">
        <v>473</v>
      </c>
      <c r="K236" s="183">
        <f>SUMIF('CF.1'!$D:$D,'CFS(2개월)'!G236,'CF.1'!$U:$U)</f>
        <v>0</v>
      </c>
      <c r="L236" s="183">
        <f>SUMIF('CF.1_2개월(단순차감)'!D:D,'CFS(2개월)'!G236,'CF.1_2개월(단순차감)'!AB:AB)</f>
        <v>0</v>
      </c>
      <c r="M236" s="186">
        <f t="shared" si="8"/>
        <v>0</v>
      </c>
      <c r="O236" s="182"/>
      <c r="P236" s="183">
        <f t="shared" si="7"/>
        <v>0</v>
      </c>
      <c r="Q236" s="184"/>
    </row>
    <row r="237" spans="4:17" ht="18" customHeight="1">
      <c r="D237" s="185">
        <v>2020</v>
      </c>
      <c r="E237" s="183">
        <v>12</v>
      </c>
      <c r="F237" s="183" t="s">
        <v>632</v>
      </c>
      <c r="G237" s="183" t="s">
        <v>1181</v>
      </c>
      <c r="H237" s="183" t="s">
        <v>1182</v>
      </c>
      <c r="I237" s="183">
        <v>3</v>
      </c>
      <c r="J237" s="183" t="s">
        <v>473</v>
      </c>
      <c r="K237" s="183">
        <f>SUMIF('CF.1'!$D:$D,'CFS(2개월)'!G237,'CF.1'!$U:$U)</f>
        <v>0</v>
      </c>
      <c r="L237" s="183">
        <f>SUMIF('CF.1_2개월(단순차감)'!D:D,'CFS(2개월)'!G237,'CF.1_2개월(단순차감)'!AB:AB)</f>
        <v>0</v>
      </c>
      <c r="M237" s="186">
        <f t="shared" si="8"/>
        <v>0</v>
      </c>
      <c r="O237" s="182"/>
      <c r="P237" s="183">
        <f t="shared" si="7"/>
        <v>0</v>
      </c>
      <c r="Q237" s="184"/>
    </row>
    <row r="238" spans="4:17" ht="18" customHeight="1">
      <c r="D238" s="185">
        <v>2020</v>
      </c>
      <c r="E238" s="183">
        <v>12</v>
      </c>
      <c r="F238" s="183" t="s">
        <v>632</v>
      </c>
      <c r="G238" s="183" t="s">
        <v>1183</v>
      </c>
      <c r="H238" s="183" t="s">
        <v>1519</v>
      </c>
      <c r="I238" s="183">
        <v>3</v>
      </c>
      <c r="J238" s="183" t="s">
        <v>473</v>
      </c>
      <c r="K238" s="183">
        <f>SUMIF('CF.1'!$D:$D,'CFS(2개월)'!G238,'CF.1'!$U:$U)</f>
        <v>-545226388</v>
      </c>
      <c r="L238" s="183">
        <f>SUMIF('CF.1_2개월(단순차감)'!D:D,'CFS(2개월)'!G238,'CF.1_2개월(단순차감)'!AB:AB)</f>
        <v>-898256240</v>
      </c>
      <c r="M238" s="186">
        <f t="shared" si="8"/>
        <v>-353029852</v>
      </c>
      <c r="O238" s="182"/>
      <c r="P238" s="183">
        <f t="shared" si="7"/>
        <v>898256240</v>
      </c>
      <c r="Q238" s="184"/>
    </row>
    <row r="239" spans="4:17" ht="18" customHeight="1">
      <c r="D239" s="185">
        <v>2020</v>
      </c>
      <c r="E239" s="183">
        <v>12</v>
      </c>
      <c r="F239" s="183" t="s">
        <v>632</v>
      </c>
      <c r="G239" s="183" t="s">
        <v>1184</v>
      </c>
      <c r="H239" s="183" t="s">
        <v>1185</v>
      </c>
      <c r="I239" s="183">
        <v>3</v>
      </c>
      <c r="J239" s="183" t="s">
        <v>473</v>
      </c>
      <c r="K239" s="183">
        <f>SUMIF('CF.1'!$D:$D,'CFS(2개월)'!G239,'CF.1'!$U:$U)</f>
        <v>0</v>
      </c>
      <c r="L239" s="183">
        <f>SUMIF('CF.1_2개월(단순차감)'!D:D,'CFS(2개월)'!G239,'CF.1_2개월(단순차감)'!AB:AB)</f>
        <v>0</v>
      </c>
      <c r="M239" s="186">
        <f t="shared" si="8"/>
        <v>0</v>
      </c>
      <c r="O239" s="182"/>
      <c r="P239" s="183">
        <f t="shared" si="7"/>
        <v>0</v>
      </c>
      <c r="Q239" s="184"/>
    </row>
    <row r="240" spans="4:17" ht="18" customHeight="1">
      <c r="D240" s="185">
        <v>2020</v>
      </c>
      <c r="E240" s="183">
        <v>12</v>
      </c>
      <c r="F240" s="183" t="s">
        <v>632</v>
      </c>
      <c r="G240" s="183" t="s">
        <v>1186</v>
      </c>
      <c r="H240" s="183" t="s">
        <v>1187</v>
      </c>
      <c r="I240" s="183">
        <v>3</v>
      </c>
      <c r="J240" s="183" t="s">
        <v>473</v>
      </c>
      <c r="K240" s="183">
        <f>SUMIF('CF.1'!$D:$D,'CFS(2개월)'!G240,'CF.1'!$U:$U)</f>
        <v>0</v>
      </c>
      <c r="L240" s="183">
        <f>SUMIF('CF.1_2개월(단순차감)'!D:D,'CFS(2개월)'!G240,'CF.1_2개월(단순차감)'!AB:AB)</f>
        <v>0</v>
      </c>
      <c r="M240" s="186">
        <f t="shared" si="8"/>
        <v>0</v>
      </c>
      <c r="O240" s="182"/>
      <c r="P240" s="183">
        <f t="shared" si="7"/>
        <v>0</v>
      </c>
      <c r="Q240" s="184"/>
    </row>
    <row r="241" spans="4:17" ht="18" customHeight="1">
      <c r="D241" s="185">
        <v>2020</v>
      </c>
      <c r="E241" s="183">
        <v>12</v>
      </c>
      <c r="F241" s="183" t="s">
        <v>632</v>
      </c>
      <c r="G241" s="183" t="s">
        <v>1188</v>
      </c>
      <c r="H241" s="183" t="s">
        <v>1189</v>
      </c>
      <c r="I241" s="183">
        <v>3</v>
      </c>
      <c r="J241" s="183" t="s">
        <v>473</v>
      </c>
      <c r="K241" s="183">
        <f>SUMIF('CF.1'!$D:$D,'CFS(2개월)'!G241,'CF.1'!$U:$U)</f>
        <v>-100069993</v>
      </c>
      <c r="L241" s="183">
        <f>SUMIF('CF.1_2개월(단순차감)'!D:D,'CFS(2개월)'!G241,'CF.1_2개월(단순차감)'!AB:AB)</f>
        <v>-18856780</v>
      </c>
      <c r="M241" s="186">
        <f t="shared" si="8"/>
        <v>81213213</v>
      </c>
      <c r="O241" s="182"/>
      <c r="P241" s="183">
        <f t="shared" si="7"/>
        <v>18856780</v>
      </c>
      <c r="Q241" s="184"/>
    </row>
    <row r="242" spans="4:17" ht="18" customHeight="1">
      <c r="D242" s="185">
        <v>2020</v>
      </c>
      <c r="E242" s="183">
        <v>12</v>
      </c>
      <c r="F242" s="183" t="s">
        <v>632</v>
      </c>
      <c r="G242" s="183" t="s">
        <v>1190</v>
      </c>
      <c r="H242" s="183" t="s">
        <v>1191</v>
      </c>
      <c r="I242" s="183">
        <v>3</v>
      </c>
      <c r="J242" s="183" t="s">
        <v>473</v>
      </c>
      <c r="K242" s="183">
        <f>SUMIF('CF.1'!$D:$D,'CFS(2개월)'!G242,'CF.1'!$U:$U)</f>
        <v>0</v>
      </c>
      <c r="L242" s="183">
        <f>SUMIF('CF.1_2개월(단순차감)'!D:D,'CFS(2개월)'!G242,'CF.1_2개월(단순차감)'!AB:AB)</f>
        <v>0</v>
      </c>
      <c r="M242" s="186">
        <f t="shared" si="8"/>
        <v>0</v>
      </c>
      <c r="O242" s="182"/>
      <c r="P242" s="183">
        <f t="shared" si="7"/>
        <v>0</v>
      </c>
      <c r="Q242" s="184"/>
    </row>
    <row r="243" spans="4:17" ht="18" customHeight="1">
      <c r="D243" s="185">
        <v>2020</v>
      </c>
      <c r="E243" s="183">
        <v>12</v>
      </c>
      <c r="F243" s="183" t="s">
        <v>632</v>
      </c>
      <c r="G243" s="183" t="s">
        <v>1192</v>
      </c>
      <c r="H243" s="183" t="s">
        <v>1193</v>
      </c>
      <c r="I243" s="183">
        <v>3</v>
      </c>
      <c r="J243" s="183" t="s">
        <v>473</v>
      </c>
      <c r="K243" s="183">
        <f>SUMIF('CF.1'!$D:$D,'CFS(2개월)'!G243,'CF.1'!$U:$U)</f>
        <v>-911571524</v>
      </c>
      <c r="L243" s="183">
        <f>SUMIF('CF.1_2개월(단순차감)'!D:D,'CFS(2개월)'!G243,'CF.1_2개월(단순차감)'!AB:AB)</f>
        <v>-18377521</v>
      </c>
      <c r="M243" s="186">
        <f t="shared" si="8"/>
        <v>893194003</v>
      </c>
      <c r="O243" s="182"/>
      <c r="P243" s="183">
        <f t="shared" si="7"/>
        <v>18377521</v>
      </c>
      <c r="Q243" s="184"/>
    </row>
    <row r="244" spans="4:17" ht="18" customHeight="1">
      <c r="D244" s="185">
        <v>2020</v>
      </c>
      <c r="E244" s="183">
        <v>12</v>
      </c>
      <c r="F244" s="183" t="s">
        <v>632</v>
      </c>
      <c r="G244" s="183" t="s">
        <v>1194</v>
      </c>
      <c r="H244" s="183" t="s">
        <v>1195</v>
      </c>
      <c r="I244" s="183">
        <v>3</v>
      </c>
      <c r="J244" s="183" t="s">
        <v>473</v>
      </c>
      <c r="K244" s="183">
        <f>SUMIF('CF.1'!$D:$D,'CFS(2개월)'!G244,'CF.1'!$U:$U)</f>
        <v>0</v>
      </c>
      <c r="L244" s="183">
        <f>SUMIF('CF.1_2개월(단순차감)'!D:D,'CFS(2개월)'!G244,'CF.1_2개월(단순차감)'!AB:AB)</f>
        <v>0</v>
      </c>
      <c r="M244" s="186">
        <f t="shared" si="8"/>
        <v>0</v>
      </c>
      <c r="O244" s="182"/>
      <c r="P244" s="183">
        <f t="shared" si="7"/>
        <v>0</v>
      </c>
      <c r="Q244" s="184"/>
    </row>
    <row r="245" spans="4:17" ht="18" customHeight="1">
      <c r="D245" s="185">
        <v>2020</v>
      </c>
      <c r="E245" s="183">
        <v>12</v>
      </c>
      <c r="F245" s="183" t="s">
        <v>632</v>
      </c>
      <c r="G245" s="183" t="s">
        <v>1196</v>
      </c>
      <c r="H245" s="183" t="s">
        <v>1197</v>
      </c>
      <c r="I245" s="183">
        <v>3</v>
      </c>
      <c r="J245" s="183" t="s">
        <v>473</v>
      </c>
      <c r="K245" s="183">
        <f>SUMIF('CF.1'!$D:$D,'CFS(2개월)'!G245,'CF.1'!$U:$U)</f>
        <v>0</v>
      </c>
      <c r="L245" s="183">
        <f>SUMIF('CF.1_2개월(단순차감)'!D:D,'CFS(2개월)'!G245,'CF.1_2개월(단순차감)'!AB:AB)</f>
        <v>0</v>
      </c>
      <c r="M245" s="186">
        <f t="shared" si="8"/>
        <v>0</v>
      </c>
      <c r="O245" s="182"/>
      <c r="P245" s="183">
        <f t="shared" si="7"/>
        <v>0</v>
      </c>
      <c r="Q245" s="184"/>
    </row>
    <row r="246" spans="4:17" ht="18" customHeight="1">
      <c r="D246" s="185">
        <v>2020</v>
      </c>
      <c r="E246" s="183">
        <v>12</v>
      </c>
      <c r="F246" s="183" t="s">
        <v>632</v>
      </c>
      <c r="G246" s="183" t="s">
        <v>1198</v>
      </c>
      <c r="H246" s="183" t="s">
        <v>1199</v>
      </c>
      <c r="I246" s="183">
        <v>3</v>
      </c>
      <c r="J246" s="183" t="s">
        <v>473</v>
      </c>
      <c r="K246" s="183">
        <f>SUMIF('CF.1'!$D:$D,'CFS(2개월)'!G246,'CF.1'!$U:$U)</f>
        <v>0</v>
      </c>
      <c r="L246" s="183">
        <f>SUMIF('CF.1_2개월(단순차감)'!D:D,'CFS(2개월)'!G246,'CF.1_2개월(단순차감)'!AB:AB)</f>
        <v>0</v>
      </c>
      <c r="M246" s="186">
        <f t="shared" si="8"/>
        <v>0</v>
      </c>
      <c r="O246" s="182"/>
      <c r="P246" s="183">
        <f t="shared" si="7"/>
        <v>0</v>
      </c>
      <c r="Q246" s="184"/>
    </row>
    <row r="247" spans="4:17" ht="18" customHeight="1">
      <c r="D247" s="185">
        <v>2020</v>
      </c>
      <c r="E247" s="183">
        <v>12</v>
      </c>
      <c r="F247" s="183" t="s">
        <v>632</v>
      </c>
      <c r="G247" s="183" t="s">
        <v>1200</v>
      </c>
      <c r="H247" s="183" t="s">
        <v>1201</v>
      </c>
      <c r="I247" s="183">
        <v>3</v>
      </c>
      <c r="J247" s="183" t="s">
        <v>473</v>
      </c>
      <c r="K247" s="183">
        <f>SUMIF('CF.1'!$D:$D,'CFS(2개월)'!G247,'CF.1'!$U:$U)</f>
        <v>-13893621</v>
      </c>
      <c r="L247" s="183">
        <f>SUMIF('CF.1_2개월(단순차감)'!D:D,'CFS(2개월)'!G247,'CF.1_2개월(단순차감)'!AB:AB)</f>
        <v>-13499512</v>
      </c>
      <c r="M247" s="186">
        <f t="shared" si="8"/>
        <v>394109</v>
      </c>
      <c r="O247" s="182"/>
      <c r="P247" s="183">
        <f t="shared" si="7"/>
        <v>13499512</v>
      </c>
      <c r="Q247" s="184"/>
    </row>
    <row r="248" spans="4:17" ht="18" customHeight="1">
      <c r="D248" s="185">
        <v>2020</v>
      </c>
      <c r="E248" s="183">
        <v>12</v>
      </c>
      <c r="F248" s="183" t="s">
        <v>632</v>
      </c>
      <c r="G248" s="183" t="s">
        <v>1202</v>
      </c>
      <c r="H248" s="183" t="s">
        <v>1203</v>
      </c>
      <c r="I248" s="183">
        <v>3</v>
      </c>
      <c r="J248" s="183" t="s">
        <v>473</v>
      </c>
      <c r="K248" s="183">
        <f>SUMIF('CF.1'!$D:$D,'CFS(2개월)'!G248,'CF.1'!$U:$U)</f>
        <v>0</v>
      </c>
      <c r="L248" s="183">
        <f>SUMIF('CF.1_2개월(단순차감)'!D:D,'CFS(2개월)'!G248,'CF.1_2개월(단순차감)'!AB:AB)</f>
        <v>0</v>
      </c>
      <c r="M248" s="186">
        <f t="shared" si="8"/>
        <v>0</v>
      </c>
      <c r="O248" s="182"/>
      <c r="P248" s="183">
        <f t="shared" si="7"/>
        <v>0</v>
      </c>
      <c r="Q248" s="184"/>
    </row>
    <row r="249" spans="4:17" ht="18" customHeight="1">
      <c r="D249" s="185">
        <v>2020</v>
      </c>
      <c r="E249" s="183">
        <v>12</v>
      </c>
      <c r="F249" s="183" t="s">
        <v>632</v>
      </c>
      <c r="G249" s="183" t="s">
        <v>1204</v>
      </c>
      <c r="H249" s="183" t="s">
        <v>1205</v>
      </c>
      <c r="I249" s="183">
        <v>3</v>
      </c>
      <c r="J249" s="183" t="s">
        <v>473</v>
      </c>
      <c r="K249" s="183">
        <f>SUMIF('CF.1'!$D:$D,'CFS(2개월)'!G249,'CF.1'!$U:$U)</f>
        <v>0</v>
      </c>
      <c r="L249" s="183">
        <f>SUMIF('CF.1_2개월(단순차감)'!D:D,'CFS(2개월)'!G249,'CF.1_2개월(단순차감)'!AB:AB)</f>
        <v>0</v>
      </c>
      <c r="M249" s="186">
        <f t="shared" si="8"/>
        <v>0</v>
      </c>
      <c r="O249" s="182"/>
      <c r="P249" s="183">
        <f t="shared" si="7"/>
        <v>0</v>
      </c>
      <c r="Q249" s="184"/>
    </row>
    <row r="250" spans="4:17" ht="18" customHeight="1">
      <c r="D250" s="185">
        <v>2020</v>
      </c>
      <c r="E250" s="183">
        <v>12</v>
      </c>
      <c r="F250" s="183" t="s">
        <v>632</v>
      </c>
      <c r="G250" s="183" t="s">
        <v>1206</v>
      </c>
      <c r="H250" s="183" t="s">
        <v>1207</v>
      </c>
      <c r="I250" s="183">
        <v>3</v>
      </c>
      <c r="J250" s="183" t="s">
        <v>473</v>
      </c>
      <c r="K250" s="183">
        <f>SUMIF('CF.1'!$D:$D,'CFS(2개월)'!G250,'CF.1'!$U:$U)</f>
        <v>0</v>
      </c>
      <c r="L250" s="183">
        <f>SUMIF('CF.1_2개월(단순차감)'!D:D,'CFS(2개월)'!G250,'CF.1_2개월(단순차감)'!AB:AB)</f>
        <v>0</v>
      </c>
      <c r="M250" s="186">
        <f t="shared" si="8"/>
        <v>0</v>
      </c>
      <c r="O250" s="182"/>
      <c r="P250" s="183">
        <f t="shared" si="7"/>
        <v>0</v>
      </c>
      <c r="Q250" s="184"/>
    </row>
    <row r="251" spans="4:17" ht="18" customHeight="1">
      <c r="D251" s="185">
        <v>2020</v>
      </c>
      <c r="E251" s="183">
        <v>12</v>
      </c>
      <c r="F251" s="183" t="s">
        <v>632</v>
      </c>
      <c r="G251" s="183" t="s">
        <v>1208</v>
      </c>
      <c r="H251" s="183" t="s">
        <v>1209</v>
      </c>
      <c r="I251" s="183">
        <v>3</v>
      </c>
      <c r="J251" s="183" t="s">
        <v>473</v>
      </c>
      <c r="K251" s="183">
        <f>SUMIF('CF.1'!$D:$D,'CFS(2개월)'!G251,'CF.1'!$U:$U)</f>
        <v>-1332219515</v>
      </c>
      <c r="L251" s="183">
        <f>SUMIF('CF.1_2개월(단순차감)'!D:D,'CFS(2개월)'!G251,'CF.1_2개월(단순차감)'!AB:AB)</f>
        <v>-219110515</v>
      </c>
      <c r="M251" s="186">
        <f t="shared" si="8"/>
        <v>1113109000</v>
      </c>
      <c r="O251" s="182"/>
      <c r="P251" s="183">
        <f t="shared" si="7"/>
        <v>219110515</v>
      </c>
      <c r="Q251" s="184"/>
    </row>
    <row r="252" spans="4:17" ht="18" customHeight="1">
      <c r="D252" s="185">
        <v>2020</v>
      </c>
      <c r="E252" s="183">
        <v>12</v>
      </c>
      <c r="F252" s="183" t="s">
        <v>632</v>
      </c>
      <c r="G252" s="183" t="s">
        <v>1210</v>
      </c>
      <c r="H252" s="183" t="s">
        <v>1211</v>
      </c>
      <c r="I252" s="183">
        <v>3</v>
      </c>
      <c r="J252" s="183" t="s">
        <v>473</v>
      </c>
      <c r="K252" s="183">
        <f>SUMIF('CF.1'!$D:$D,'CFS(2개월)'!G252,'CF.1'!$U:$U)</f>
        <v>0</v>
      </c>
      <c r="L252" s="183">
        <f>SUMIF('CF.1_2개월(단순차감)'!D:D,'CFS(2개월)'!G252,'CF.1_2개월(단순차감)'!AB:AB)</f>
        <v>0</v>
      </c>
      <c r="M252" s="186">
        <f t="shared" si="8"/>
        <v>0</v>
      </c>
      <c r="O252" s="182"/>
      <c r="P252" s="183">
        <f t="shared" si="7"/>
        <v>0</v>
      </c>
      <c r="Q252" s="184"/>
    </row>
    <row r="253" spans="4:17" ht="18" customHeight="1">
      <c r="D253" s="185">
        <v>2020</v>
      </c>
      <c r="E253" s="183">
        <v>12</v>
      </c>
      <c r="F253" s="183" t="s">
        <v>632</v>
      </c>
      <c r="G253" s="183" t="s">
        <v>1212</v>
      </c>
      <c r="H253" s="183" t="s">
        <v>1213</v>
      </c>
      <c r="I253" s="183">
        <v>3</v>
      </c>
      <c r="J253" s="183" t="s">
        <v>473</v>
      </c>
      <c r="K253" s="183">
        <f>SUMIF('CF.1'!$D:$D,'CFS(2개월)'!G253,'CF.1'!$U:$U)</f>
        <v>0</v>
      </c>
      <c r="L253" s="183">
        <f>SUMIF('CF.1_2개월(단순차감)'!D:D,'CFS(2개월)'!G253,'CF.1_2개월(단순차감)'!AB:AB)</f>
        <v>0</v>
      </c>
      <c r="M253" s="186">
        <f t="shared" si="8"/>
        <v>0</v>
      </c>
      <c r="O253" s="182"/>
      <c r="P253" s="183">
        <f t="shared" si="7"/>
        <v>0</v>
      </c>
      <c r="Q253" s="184"/>
    </row>
    <row r="254" spans="4:17" ht="18" customHeight="1">
      <c r="D254" s="185">
        <v>2020</v>
      </c>
      <c r="E254" s="183">
        <v>12</v>
      </c>
      <c r="F254" s="183" t="s">
        <v>632</v>
      </c>
      <c r="G254" s="183" t="s">
        <v>1214</v>
      </c>
      <c r="H254" s="183" t="s">
        <v>1520</v>
      </c>
      <c r="I254" s="183">
        <v>3</v>
      </c>
      <c r="J254" s="183" t="s">
        <v>473</v>
      </c>
      <c r="K254" s="183">
        <f>SUMIF('CF.1'!$D:$D,'CFS(2개월)'!G254,'CF.1'!$U:$U)</f>
        <v>0</v>
      </c>
      <c r="L254" s="183">
        <f>SUMIF('CF.1_2개월(단순차감)'!D:D,'CFS(2개월)'!G254,'CF.1_2개월(단순차감)'!AB:AB)</f>
        <v>0</v>
      </c>
      <c r="M254" s="186">
        <f t="shared" si="8"/>
        <v>0</v>
      </c>
      <c r="O254" s="182"/>
      <c r="P254" s="183">
        <f t="shared" si="7"/>
        <v>0</v>
      </c>
      <c r="Q254" s="184"/>
    </row>
    <row r="255" spans="4:17" ht="18" customHeight="1">
      <c r="D255" s="185">
        <v>2020</v>
      </c>
      <c r="E255" s="183">
        <v>12</v>
      </c>
      <c r="F255" s="183" t="s">
        <v>632</v>
      </c>
      <c r="G255" s="183" t="s">
        <v>1216</v>
      </c>
      <c r="H255" s="183" t="s">
        <v>1217</v>
      </c>
      <c r="I255" s="183">
        <v>3</v>
      </c>
      <c r="J255" s="183" t="s">
        <v>473</v>
      </c>
      <c r="K255" s="183">
        <f>SUMIF('CF.1'!$D:$D,'CFS(2개월)'!G255,'CF.1'!$U:$U)</f>
        <v>0</v>
      </c>
      <c r="L255" s="183">
        <f>SUMIF('CF.1_2개월(단순차감)'!D:D,'CFS(2개월)'!G255,'CF.1_2개월(단순차감)'!AB:AB)</f>
        <v>0</v>
      </c>
      <c r="M255" s="186">
        <f t="shared" si="8"/>
        <v>0</v>
      </c>
      <c r="O255" s="182"/>
      <c r="P255" s="183">
        <f t="shared" si="7"/>
        <v>0</v>
      </c>
      <c r="Q255" s="184"/>
    </row>
    <row r="256" spans="4:17" ht="18" customHeight="1">
      <c r="D256" s="185">
        <v>2020</v>
      </c>
      <c r="E256" s="183">
        <v>12</v>
      </c>
      <c r="F256" s="183" t="s">
        <v>632</v>
      </c>
      <c r="G256" s="183" t="s">
        <v>1218</v>
      </c>
      <c r="H256" s="183" t="s">
        <v>1219</v>
      </c>
      <c r="I256" s="183">
        <v>3</v>
      </c>
      <c r="J256" s="183" t="s">
        <v>473</v>
      </c>
      <c r="K256" s="183">
        <f>SUMIF('CF.1'!$D:$D,'CFS(2개월)'!G256,'CF.1'!$U:$U)</f>
        <v>0</v>
      </c>
      <c r="L256" s="183">
        <f>SUMIF('CF.1_2개월(단순차감)'!D:D,'CFS(2개월)'!G256,'CF.1_2개월(단순차감)'!AB:AB)</f>
        <v>0</v>
      </c>
      <c r="M256" s="186">
        <f t="shared" si="8"/>
        <v>0</v>
      </c>
      <c r="O256" s="182"/>
      <c r="P256" s="183">
        <f t="shared" si="7"/>
        <v>0</v>
      </c>
      <c r="Q256" s="184"/>
    </row>
    <row r="257" spans="4:17" ht="18" customHeight="1">
      <c r="D257" s="185">
        <v>2020</v>
      </c>
      <c r="E257" s="183">
        <v>12</v>
      </c>
      <c r="F257" s="183" t="s">
        <v>632</v>
      </c>
      <c r="G257" s="183" t="s">
        <v>1220</v>
      </c>
      <c r="H257" s="183" t="s">
        <v>1221</v>
      </c>
      <c r="I257" s="183">
        <v>3</v>
      </c>
      <c r="J257" s="183" t="s">
        <v>473</v>
      </c>
      <c r="K257" s="183">
        <f>SUMIF('CF.1'!$D:$D,'CFS(2개월)'!G257,'CF.1'!$U:$U)</f>
        <v>0</v>
      </c>
      <c r="L257" s="183">
        <f>SUMIF('CF.1_2개월(단순차감)'!D:D,'CFS(2개월)'!G257,'CF.1_2개월(단순차감)'!AB:AB)</f>
        <v>0</v>
      </c>
      <c r="M257" s="186">
        <f t="shared" si="8"/>
        <v>0</v>
      </c>
      <c r="O257" s="182"/>
      <c r="P257" s="183">
        <f t="shared" si="7"/>
        <v>0</v>
      </c>
      <c r="Q257" s="184"/>
    </row>
    <row r="258" spans="4:17" ht="18" customHeight="1">
      <c r="D258" s="185">
        <v>2020</v>
      </c>
      <c r="E258" s="183">
        <v>12</v>
      </c>
      <c r="F258" s="183" t="s">
        <v>632</v>
      </c>
      <c r="G258" s="183" t="s">
        <v>1222</v>
      </c>
      <c r="H258" s="183" t="s">
        <v>1223</v>
      </c>
      <c r="I258" s="183">
        <v>3</v>
      </c>
      <c r="J258" s="183" t="s">
        <v>473</v>
      </c>
      <c r="K258" s="183">
        <f>SUMIF('CF.1'!$D:$D,'CFS(2개월)'!G258,'CF.1'!$U:$U)</f>
        <v>0</v>
      </c>
      <c r="L258" s="183">
        <f>SUMIF('CF.1_2개월(단순차감)'!D:D,'CFS(2개월)'!G258,'CF.1_2개월(단순차감)'!AB:AB)</f>
        <v>0</v>
      </c>
      <c r="M258" s="186">
        <f t="shared" si="8"/>
        <v>0</v>
      </c>
      <c r="O258" s="182"/>
      <c r="P258" s="183">
        <f t="shared" si="7"/>
        <v>0</v>
      </c>
      <c r="Q258" s="184"/>
    </row>
    <row r="259" spans="4:17" ht="18" customHeight="1">
      <c r="D259" s="185">
        <v>2020</v>
      </c>
      <c r="E259" s="183">
        <v>12</v>
      </c>
      <c r="F259" s="183" t="s">
        <v>632</v>
      </c>
      <c r="G259" s="183" t="s">
        <v>1232</v>
      </c>
      <c r="H259" s="183" t="s">
        <v>1233</v>
      </c>
      <c r="I259" s="183">
        <v>3</v>
      </c>
      <c r="J259" s="183" t="s">
        <v>473</v>
      </c>
      <c r="K259" s="183">
        <f>SUMIF('CF.1'!$D:$D,'CFS(2개월)'!G259,'CF.1'!$U:$U)</f>
        <v>0</v>
      </c>
      <c r="L259" s="183">
        <f>SUMIF('CF.1_2개월(단순차감)'!D:D,'CFS(2개월)'!G259,'CF.1_2개월(단순차감)'!AB:AB)</f>
        <v>0</v>
      </c>
      <c r="M259" s="186">
        <f t="shared" si="8"/>
        <v>0</v>
      </c>
      <c r="O259" s="182"/>
      <c r="P259" s="183">
        <f t="shared" si="7"/>
        <v>0</v>
      </c>
      <c r="Q259" s="184"/>
    </row>
    <row r="260" spans="4:17" ht="18" customHeight="1">
      <c r="D260" s="179">
        <v>2020</v>
      </c>
      <c r="E260" s="180">
        <v>12</v>
      </c>
      <c r="F260" s="180" t="s">
        <v>632</v>
      </c>
      <c r="G260" s="180" t="s">
        <v>1234</v>
      </c>
      <c r="H260" s="180" t="s">
        <v>1235</v>
      </c>
      <c r="I260" s="180">
        <v>1</v>
      </c>
      <c r="J260" s="180" t="s">
        <v>473</v>
      </c>
      <c r="K260" s="180">
        <f>K261+K282</f>
        <v>-2079841945</v>
      </c>
      <c r="L260" s="180">
        <f>L261+L282</f>
        <v>-314196560</v>
      </c>
      <c r="M260" s="181">
        <f>M261+M282</f>
        <v>1765645385</v>
      </c>
      <c r="O260" s="182"/>
      <c r="P260" s="183">
        <f t="shared" si="7"/>
        <v>314196560</v>
      </c>
      <c r="Q260" s="184"/>
    </row>
    <row r="261" spans="4:17" ht="18" customHeight="1">
      <c r="D261" s="179">
        <v>2020</v>
      </c>
      <c r="E261" s="180">
        <v>12</v>
      </c>
      <c r="F261" s="180" t="s">
        <v>632</v>
      </c>
      <c r="G261" s="180" t="s">
        <v>1236</v>
      </c>
      <c r="H261" s="180" t="s">
        <v>1237</v>
      </c>
      <c r="I261" s="180">
        <v>2</v>
      </c>
      <c r="J261" s="180" t="s">
        <v>473</v>
      </c>
      <c r="K261" s="180">
        <f>SUM(K262:K281)</f>
        <v>2468977</v>
      </c>
      <c r="L261" s="180">
        <f>SUM(L262:L281)</f>
        <v>0</v>
      </c>
      <c r="M261" s="181">
        <f>SUM(M262:M281)</f>
        <v>-2468977</v>
      </c>
      <c r="O261" s="182"/>
      <c r="P261" s="183">
        <f t="shared" si="7"/>
        <v>0</v>
      </c>
      <c r="Q261" s="184"/>
    </row>
    <row r="262" spans="4:17" ht="18" customHeight="1">
      <c r="D262" s="185">
        <v>2020</v>
      </c>
      <c r="E262" s="183">
        <v>12</v>
      </c>
      <c r="F262" s="183" t="s">
        <v>632</v>
      </c>
      <c r="G262" s="183" t="s">
        <v>1238</v>
      </c>
      <c r="H262" s="183" t="s">
        <v>1239</v>
      </c>
      <c r="I262" s="183">
        <v>3</v>
      </c>
      <c r="J262" s="183" t="s">
        <v>473</v>
      </c>
      <c r="K262" s="183">
        <f>SUMIF('CF.1'!$D:$D,'CFS(2개월)'!G262,'CF.1'!$U:$U)</f>
        <v>0</v>
      </c>
      <c r="L262" s="183">
        <f>SUMIF('CF.1_2개월(단순차감)'!D:D,'CFS(2개월)'!G262,'CF.1_2개월(단순차감)'!AB:AB)</f>
        <v>0</v>
      </c>
      <c r="M262" s="186">
        <f t="shared" ref="M262:M281" si="9">L262-K262</f>
        <v>0</v>
      </c>
      <c r="O262" s="182"/>
      <c r="P262" s="183">
        <f t="shared" si="7"/>
        <v>0</v>
      </c>
      <c r="Q262" s="184"/>
    </row>
    <row r="263" spans="4:17" ht="18" customHeight="1">
      <c r="D263" s="185">
        <v>2020</v>
      </c>
      <c r="E263" s="183">
        <v>12</v>
      </c>
      <c r="F263" s="183" t="s">
        <v>632</v>
      </c>
      <c r="G263" s="183" t="s">
        <v>1240</v>
      </c>
      <c r="H263" s="183" t="s">
        <v>1241</v>
      </c>
      <c r="I263" s="183">
        <v>3</v>
      </c>
      <c r="J263" s="183" t="s">
        <v>473</v>
      </c>
      <c r="K263" s="183">
        <f>SUMIF('CF.1'!$D:$D,'CFS(2개월)'!G263,'CF.1'!$U:$U)</f>
        <v>0</v>
      </c>
      <c r="L263" s="183">
        <f>SUMIF('CF.1_2개월(단순차감)'!D:D,'CFS(2개월)'!G263,'CF.1_2개월(단순차감)'!AB:AB)</f>
        <v>0</v>
      </c>
      <c r="M263" s="186">
        <f t="shared" si="9"/>
        <v>0</v>
      </c>
      <c r="O263" s="182"/>
      <c r="P263" s="183">
        <f t="shared" si="7"/>
        <v>0</v>
      </c>
      <c r="Q263" s="184"/>
    </row>
    <row r="264" spans="4:17" ht="18" customHeight="1">
      <c r="D264" s="185">
        <v>2020</v>
      </c>
      <c r="E264" s="183">
        <v>12</v>
      </c>
      <c r="F264" s="183" t="s">
        <v>632</v>
      </c>
      <c r="G264" s="183" t="s">
        <v>1242</v>
      </c>
      <c r="H264" s="183" t="s">
        <v>1243</v>
      </c>
      <c r="I264" s="183">
        <v>3</v>
      </c>
      <c r="J264" s="183" t="s">
        <v>473</v>
      </c>
      <c r="K264" s="183">
        <f>SUMIF('CF.1'!$D:$D,'CFS(2개월)'!G264,'CF.1'!$U:$U)</f>
        <v>0</v>
      </c>
      <c r="L264" s="183">
        <f>SUMIF('CF.1_2개월(단순차감)'!D:D,'CFS(2개월)'!G264,'CF.1_2개월(단순차감)'!AB:AB)</f>
        <v>0</v>
      </c>
      <c r="M264" s="186">
        <f t="shared" si="9"/>
        <v>0</v>
      </c>
      <c r="O264" s="182"/>
      <c r="P264" s="183">
        <f t="shared" si="7"/>
        <v>0</v>
      </c>
      <c r="Q264" s="184"/>
    </row>
    <row r="265" spans="4:17" ht="18" customHeight="1">
      <c r="D265" s="185">
        <v>2020</v>
      </c>
      <c r="E265" s="183">
        <v>12</v>
      </c>
      <c r="F265" s="183" t="s">
        <v>632</v>
      </c>
      <c r="G265" s="183" t="s">
        <v>1244</v>
      </c>
      <c r="H265" s="183" t="s">
        <v>1245</v>
      </c>
      <c r="I265" s="183">
        <v>3</v>
      </c>
      <c r="J265" s="183" t="s">
        <v>473</v>
      </c>
      <c r="K265" s="183">
        <f>SUMIF('CF.1'!$D:$D,'CFS(2개월)'!G265,'CF.1'!$U:$U)</f>
        <v>0</v>
      </c>
      <c r="L265" s="183">
        <f>SUMIF('CF.1_2개월(단순차감)'!D:D,'CFS(2개월)'!G265,'CF.1_2개월(단순차감)'!AB:AB)</f>
        <v>0</v>
      </c>
      <c r="M265" s="186">
        <f t="shared" si="9"/>
        <v>0</v>
      </c>
      <c r="O265" s="182"/>
      <c r="P265" s="183">
        <f t="shared" ref="P265:P316" si="10">O265-L265</f>
        <v>0</v>
      </c>
      <c r="Q265" s="184"/>
    </row>
    <row r="266" spans="4:17" ht="18" customHeight="1">
      <c r="D266" s="185">
        <v>2020</v>
      </c>
      <c r="E266" s="183">
        <v>12</v>
      </c>
      <c r="F266" s="183" t="s">
        <v>632</v>
      </c>
      <c r="G266" s="183" t="s">
        <v>1246</v>
      </c>
      <c r="H266" s="183" t="s">
        <v>1247</v>
      </c>
      <c r="I266" s="183">
        <v>3</v>
      </c>
      <c r="J266" s="183" t="s">
        <v>473</v>
      </c>
      <c r="K266" s="183">
        <f>SUMIF('CF.1'!$D:$D,'CFS(2개월)'!G266,'CF.1'!$U:$U)</f>
        <v>0</v>
      </c>
      <c r="L266" s="183">
        <f>SUMIF('CF.1_2개월(단순차감)'!D:D,'CFS(2개월)'!G266,'CF.1_2개월(단순차감)'!AB:AB)</f>
        <v>0</v>
      </c>
      <c r="M266" s="186">
        <f t="shared" si="9"/>
        <v>0</v>
      </c>
      <c r="O266" s="182"/>
      <c r="P266" s="183">
        <f t="shared" si="10"/>
        <v>0</v>
      </c>
      <c r="Q266" s="184"/>
    </row>
    <row r="267" spans="4:17" ht="18" customHeight="1">
      <c r="D267" s="185">
        <v>2020</v>
      </c>
      <c r="E267" s="183">
        <v>12</v>
      </c>
      <c r="F267" s="183" t="s">
        <v>632</v>
      </c>
      <c r="G267" s="183" t="s">
        <v>1248</v>
      </c>
      <c r="H267" s="183" t="s">
        <v>1249</v>
      </c>
      <c r="I267" s="183">
        <v>3</v>
      </c>
      <c r="J267" s="183" t="s">
        <v>473</v>
      </c>
      <c r="K267" s="183">
        <f>SUMIF('CF.1'!$D:$D,'CFS(2개월)'!G267,'CF.1'!$U:$U)</f>
        <v>0</v>
      </c>
      <c r="L267" s="183">
        <f>SUMIF('CF.1_2개월(단순차감)'!D:D,'CFS(2개월)'!G267,'CF.1_2개월(단순차감)'!AB:AB)</f>
        <v>0</v>
      </c>
      <c r="M267" s="186">
        <f t="shared" si="9"/>
        <v>0</v>
      </c>
      <c r="O267" s="182"/>
      <c r="P267" s="183">
        <f t="shared" si="10"/>
        <v>0</v>
      </c>
      <c r="Q267" s="184"/>
    </row>
    <row r="268" spans="4:17" ht="18" customHeight="1">
      <c r="D268" s="185">
        <v>2020</v>
      </c>
      <c r="E268" s="183">
        <v>12</v>
      </c>
      <c r="F268" s="183" t="s">
        <v>632</v>
      </c>
      <c r="G268" s="183" t="s">
        <v>1250</v>
      </c>
      <c r="H268" s="183" t="s">
        <v>1251</v>
      </c>
      <c r="I268" s="183">
        <v>3</v>
      </c>
      <c r="J268" s="183" t="s">
        <v>473</v>
      </c>
      <c r="K268" s="183">
        <f>SUMIF('CF.1'!$D:$D,'CFS(2개월)'!G268,'CF.1'!$U:$U)</f>
        <v>0</v>
      </c>
      <c r="L268" s="183">
        <f>SUMIF('CF.1_2개월(단순차감)'!D:D,'CFS(2개월)'!G268,'CF.1_2개월(단순차감)'!AB:AB)</f>
        <v>0</v>
      </c>
      <c r="M268" s="186">
        <f t="shared" si="9"/>
        <v>0</v>
      </c>
      <c r="O268" s="182"/>
      <c r="P268" s="183">
        <f t="shared" si="10"/>
        <v>0</v>
      </c>
      <c r="Q268" s="184"/>
    </row>
    <row r="269" spans="4:17" ht="18" customHeight="1">
      <c r="D269" s="185">
        <v>2020</v>
      </c>
      <c r="E269" s="183">
        <v>12</v>
      </c>
      <c r="F269" s="183" t="s">
        <v>632</v>
      </c>
      <c r="G269" s="183" t="s">
        <v>1252</v>
      </c>
      <c r="H269" s="183" t="s">
        <v>1253</v>
      </c>
      <c r="I269" s="183">
        <v>3</v>
      </c>
      <c r="J269" s="183" t="s">
        <v>473</v>
      </c>
      <c r="K269" s="183">
        <f>SUMIF('CF.1'!$D:$D,'CFS(2개월)'!G269,'CF.1'!$U:$U)</f>
        <v>0</v>
      </c>
      <c r="L269" s="183">
        <f>SUMIF('CF.1_2개월(단순차감)'!D:D,'CFS(2개월)'!G269,'CF.1_2개월(단순차감)'!AB:AB)</f>
        <v>0</v>
      </c>
      <c r="M269" s="186">
        <f t="shared" si="9"/>
        <v>0</v>
      </c>
      <c r="O269" s="182"/>
      <c r="P269" s="183">
        <f t="shared" si="10"/>
        <v>0</v>
      </c>
      <c r="Q269" s="184"/>
    </row>
    <row r="270" spans="4:17" ht="18" customHeight="1">
      <c r="D270" s="185">
        <v>2020</v>
      </c>
      <c r="E270" s="183">
        <v>12</v>
      </c>
      <c r="F270" s="183" t="s">
        <v>632</v>
      </c>
      <c r="G270" s="183" t="s">
        <v>1254</v>
      </c>
      <c r="H270" s="183" t="s">
        <v>1255</v>
      </c>
      <c r="I270" s="183">
        <v>3</v>
      </c>
      <c r="J270" s="183" t="s">
        <v>473</v>
      </c>
      <c r="K270" s="183">
        <f>SUMIF('CF.1'!$D:$D,'CFS(2개월)'!G270,'CF.1'!$U:$U)</f>
        <v>0</v>
      </c>
      <c r="L270" s="183">
        <f>SUMIF('CF.1_2개월(단순차감)'!D:D,'CFS(2개월)'!G270,'CF.1_2개월(단순차감)'!AB:AB)</f>
        <v>0</v>
      </c>
      <c r="M270" s="186">
        <f t="shared" si="9"/>
        <v>0</v>
      </c>
      <c r="O270" s="182"/>
      <c r="P270" s="183">
        <f t="shared" si="10"/>
        <v>0</v>
      </c>
      <c r="Q270" s="184"/>
    </row>
    <row r="271" spans="4:17" ht="18" customHeight="1">
      <c r="D271" s="185">
        <v>2020</v>
      </c>
      <c r="E271" s="183">
        <v>12</v>
      </c>
      <c r="F271" s="183" t="s">
        <v>632</v>
      </c>
      <c r="G271" s="183" t="s">
        <v>1256</v>
      </c>
      <c r="H271" s="183" t="s">
        <v>1031</v>
      </c>
      <c r="I271" s="183">
        <v>3</v>
      </c>
      <c r="J271" s="183" t="s">
        <v>473</v>
      </c>
      <c r="K271" s="183">
        <f>SUMIF('CF.1'!$D:$D,'CFS(2개월)'!G271,'CF.1'!$U:$U)</f>
        <v>0</v>
      </c>
      <c r="L271" s="183">
        <f>SUMIF('CF.1_2개월(단순차감)'!D:D,'CFS(2개월)'!G271,'CF.1_2개월(단순차감)'!AB:AB)</f>
        <v>0</v>
      </c>
      <c r="M271" s="186">
        <f t="shared" si="9"/>
        <v>0</v>
      </c>
      <c r="O271" s="182"/>
      <c r="P271" s="183">
        <f t="shared" si="10"/>
        <v>0</v>
      </c>
      <c r="Q271" s="184"/>
    </row>
    <row r="272" spans="4:17" ht="18" customHeight="1">
      <c r="D272" s="185">
        <v>2020</v>
      </c>
      <c r="E272" s="183">
        <v>12</v>
      </c>
      <c r="F272" s="183" t="s">
        <v>632</v>
      </c>
      <c r="G272" s="183" t="s">
        <v>1257</v>
      </c>
      <c r="H272" s="183" t="s">
        <v>1033</v>
      </c>
      <c r="I272" s="183">
        <v>3</v>
      </c>
      <c r="J272" s="183" t="s">
        <v>473</v>
      </c>
      <c r="K272" s="183">
        <f>SUMIF('CF.1'!$D:$D,'CFS(2개월)'!G272,'CF.1'!$U:$U)</f>
        <v>0</v>
      </c>
      <c r="L272" s="183">
        <f>SUMIF('CF.1_2개월(단순차감)'!D:D,'CFS(2개월)'!G272,'CF.1_2개월(단순차감)'!AB:AB)</f>
        <v>0</v>
      </c>
      <c r="M272" s="186">
        <f t="shared" si="9"/>
        <v>0</v>
      </c>
      <c r="O272" s="182"/>
      <c r="P272" s="183">
        <f t="shared" si="10"/>
        <v>0</v>
      </c>
      <c r="Q272" s="184"/>
    </row>
    <row r="273" spans="4:17" ht="18" customHeight="1">
      <c r="D273" s="185">
        <v>2020</v>
      </c>
      <c r="E273" s="183">
        <v>12</v>
      </c>
      <c r="F273" s="183" t="s">
        <v>632</v>
      </c>
      <c r="G273" s="183" t="s">
        <v>1258</v>
      </c>
      <c r="H273" s="183" t="s">
        <v>1259</v>
      </c>
      <c r="I273" s="183">
        <v>3</v>
      </c>
      <c r="J273" s="183" t="s">
        <v>473</v>
      </c>
      <c r="K273" s="183">
        <f>SUMIF('CF.1'!$D:$D,'CFS(2개월)'!G273,'CF.1'!$U:$U)</f>
        <v>2468977</v>
      </c>
      <c r="L273" s="183">
        <f>SUMIF('CF.1_2개월(단순차감)'!D:D,'CFS(2개월)'!G273,'CF.1_2개월(단순차감)'!AB:AB)</f>
        <v>0</v>
      </c>
      <c r="M273" s="186">
        <f t="shared" si="9"/>
        <v>-2468977</v>
      </c>
      <c r="O273" s="182"/>
      <c r="P273" s="183">
        <f t="shared" si="10"/>
        <v>0</v>
      </c>
      <c r="Q273" s="184"/>
    </row>
    <row r="274" spans="4:17" ht="18" customHeight="1">
      <c r="D274" s="185">
        <v>2020</v>
      </c>
      <c r="E274" s="183">
        <v>12</v>
      </c>
      <c r="F274" s="183" t="s">
        <v>632</v>
      </c>
      <c r="G274" s="183" t="s">
        <v>1260</v>
      </c>
      <c r="H274" s="183" t="s">
        <v>1261</v>
      </c>
      <c r="I274" s="183">
        <v>3</v>
      </c>
      <c r="J274" s="183" t="s">
        <v>473</v>
      </c>
      <c r="K274" s="183">
        <f>SUMIF('CF.1'!$D:$D,'CFS(2개월)'!G274,'CF.1'!$U:$U)</f>
        <v>0</v>
      </c>
      <c r="L274" s="183">
        <f>SUMIF('CF.1_2개월(단순차감)'!D:D,'CFS(2개월)'!G274,'CF.1_2개월(단순차감)'!AB:AB)</f>
        <v>0</v>
      </c>
      <c r="M274" s="186">
        <f t="shared" si="9"/>
        <v>0</v>
      </c>
      <c r="O274" s="182"/>
      <c r="P274" s="183">
        <f t="shared" si="10"/>
        <v>0</v>
      </c>
      <c r="Q274" s="184"/>
    </row>
    <row r="275" spans="4:17" ht="18" customHeight="1">
      <c r="D275" s="185">
        <v>2020</v>
      </c>
      <c r="E275" s="183">
        <v>12</v>
      </c>
      <c r="F275" s="183" t="s">
        <v>632</v>
      </c>
      <c r="G275" s="183" t="s">
        <v>1262</v>
      </c>
      <c r="H275" s="183" t="s">
        <v>1263</v>
      </c>
      <c r="I275" s="183">
        <v>3</v>
      </c>
      <c r="J275" s="183" t="s">
        <v>473</v>
      </c>
      <c r="K275" s="183">
        <f>SUMIF('CF.1'!$D:$D,'CFS(2개월)'!G275,'CF.1'!$U:$U)</f>
        <v>0</v>
      </c>
      <c r="L275" s="183">
        <f>SUMIF('CF.1_2개월(단순차감)'!D:D,'CFS(2개월)'!G275,'CF.1_2개월(단순차감)'!AB:AB)</f>
        <v>0</v>
      </c>
      <c r="M275" s="186">
        <f t="shared" si="9"/>
        <v>0</v>
      </c>
      <c r="O275" s="182"/>
      <c r="P275" s="183">
        <f t="shared" si="10"/>
        <v>0</v>
      </c>
      <c r="Q275" s="184"/>
    </row>
    <row r="276" spans="4:17" ht="18" customHeight="1">
      <c r="D276" s="185">
        <v>2020</v>
      </c>
      <c r="E276" s="183">
        <v>12</v>
      </c>
      <c r="F276" s="183" t="s">
        <v>632</v>
      </c>
      <c r="G276" s="183" t="s">
        <v>1264</v>
      </c>
      <c r="H276" s="183" t="s">
        <v>1265</v>
      </c>
      <c r="I276" s="183">
        <v>3</v>
      </c>
      <c r="J276" s="183" t="s">
        <v>473</v>
      </c>
      <c r="K276" s="183">
        <f>SUMIF('CF.1'!$D:$D,'CFS(2개월)'!G276,'CF.1'!$U:$U)</f>
        <v>0</v>
      </c>
      <c r="L276" s="183">
        <f>SUMIF('CF.1_2개월(단순차감)'!D:D,'CFS(2개월)'!G276,'CF.1_2개월(단순차감)'!AB:AB)</f>
        <v>0</v>
      </c>
      <c r="M276" s="186">
        <f t="shared" si="9"/>
        <v>0</v>
      </c>
      <c r="O276" s="182"/>
      <c r="P276" s="183">
        <f t="shared" si="10"/>
        <v>0</v>
      </c>
      <c r="Q276" s="184"/>
    </row>
    <row r="277" spans="4:17" ht="18" customHeight="1">
      <c r="D277" s="185">
        <v>2020</v>
      </c>
      <c r="E277" s="183">
        <v>12</v>
      </c>
      <c r="F277" s="183" t="s">
        <v>632</v>
      </c>
      <c r="G277" s="183" t="s">
        <v>1266</v>
      </c>
      <c r="H277" s="183" t="s">
        <v>1267</v>
      </c>
      <c r="I277" s="183">
        <v>3</v>
      </c>
      <c r="J277" s="183" t="s">
        <v>473</v>
      </c>
      <c r="K277" s="183">
        <f>SUMIF('CF.1'!$D:$D,'CFS(2개월)'!G277,'CF.1'!$U:$U)</f>
        <v>0</v>
      </c>
      <c r="L277" s="183">
        <f>SUMIF('CF.1_2개월(단순차감)'!D:D,'CFS(2개월)'!G277,'CF.1_2개월(단순차감)'!AB:AB)</f>
        <v>0</v>
      </c>
      <c r="M277" s="186">
        <f t="shared" si="9"/>
        <v>0</v>
      </c>
      <c r="O277" s="182"/>
      <c r="P277" s="183">
        <f t="shared" si="10"/>
        <v>0</v>
      </c>
      <c r="Q277" s="184"/>
    </row>
    <row r="278" spans="4:17" ht="18" customHeight="1">
      <c r="D278" s="185">
        <v>2020</v>
      </c>
      <c r="E278" s="183">
        <v>12</v>
      </c>
      <c r="F278" s="183" t="s">
        <v>632</v>
      </c>
      <c r="G278" s="183" t="s">
        <v>1268</v>
      </c>
      <c r="H278" s="183" t="s">
        <v>1269</v>
      </c>
      <c r="I278" s="183">
        <v>3</v>
      </c>
      <c r="J278" s="183" t="s">
        <v>473</v>
      </c>
      <c r="K278" s="183">
        <f>SUMIF('CF.1'!$D:$D,'CFS(2개월)'!G278,'CF.1'!$U:$U)</f>
        <v>0</v>
      </c>
      <c r="L278" s="183">
        <f>SUMIF('CF.1_2개월(단순차감)'!D:D,'CFS(2개월)'!G278,'CF.1_2개월(단순차감)'!AB:AB)</f>
        <v>0</v>
      </c>
      <c r="M278" s="186">
        <f t="shared" si="9"/>
        <v>0</v>
      </c>
      <c r="O278" s="182"/>
      <c r="P278" s="183">
        <f t="shared" si="10"/>
        <v>0</v>
      </c>
      <c r="Q278" s="184"/>
    </row>
    <row r="279" spans="4:17" ht="18" customHeight="1">
      <c r="D279" s="185">
        <v>2020</v>
      </c>
      <c r="E279" s="183">
        <v>12</v>
      </c>
      <c r="F279" s="183" t="s">
        <v>632</v>
      </c>
      <c r="G279" s="183" t="s">
        <v>1270</v>
      </c>
      <c r="H279" s="183" t="s">
        <v>1271</v>
      </c>
      <c r="I279" s="183">
        <v>3</v>
      </c>
      <c r="J279" s="183" t="s">
        <v>473</v>
      </c>
      <c r="K279" s="183">
        <f>SUMIF('CF.1'!$D:$D,'CFS(2개월)'!G279,'CF.1'!$U:$U)</f>
        <v>0</v>
      </c>
      <c r="L279" s="183">
        <f>SUMIF('CF.1_2개월(단순차감)'!D:D,'CFS(2개월)'!G279,'CF.1_2개월(단순차감)'!AB:AB)</f>
        <v>0</v>
      </c>
      <c r="M279" s="186">
        <f t="shared" si="9"/>
        <v>0</v>
      </c>
      <c r="O279" s="182"/>
      <c r="P279" s="183">
        <f t="shared" si="10"/>
        <v>0</v>
      </c>
      <c r="Q279" s="184"/>
    </row>
    <row r="280" spans="4:17" ht="18" customHeight="1">
      <c r="D280" s="185">
        <v>2020</v>
      </c>
      <c r="E280" s="183">
        <v>12</v>
      </c>
      <c r="F280" s="183" t="s">
        <v>632</v>
      </c>
      <c r="G280" s="183" t="s">
        <v>1521</v>
      </c>
      <c r="H280" s="183" t="s">
        <v>1522</v>
      </c>
      <c r="I280" s="183">
        <v>3</v>
      </c>
      <c r="J280" s="183" t="s">
        <v>473</v>
      </c>
      <c r="K280" s="183">
        <f>SUMIF('CF.1'!$D:$D,'CFS(2개월)'!G280,'CF.1'!$U:$U)</f>
        <v>0</v>
      </c>
      <c r="L280" s="183">
        <f>SUMIF('CF.1_2개월(단순차감)'!D:D,'CFS(2개월)'!G280,'CF.1_2개월(단순차감)'!AB:AB)</f>
        <v>0</v>
      </c>
      <c r="M280" s="186">
        <f t="shared" si="9"/>
        <v>0</v>
      </c>
      <c r="O280" s="182"/>
      <c r="P280" s="183">
        <f t="shared" si="10"/>
        <v>0</v>
      </c>
      <c r="Q280" s="184"/>
    </row>
    <row r="281" spans="4:17" ht="18" customHeight="1">
      <c r="D281" s="185">
        <v>2020</v>
      </c>
      <c r="E281" s="183">
        <v>12</v>
      </c>
      <c r="F281" s="183" t="s">
        <v>632</v>
      </c>
      <c r="G281" s="183" t="s">
        <v>1276</v>
      </c>
      <c r="H281" s="183" t="s">
        <v>1277</v>
      </c>
      <c r="I281" s="183">
        <v>3</v>
      </c>
      <c r="J281" s="183" t="s">
        <v>473</v>
      </c>
      <c r="K281" s="183">
        <f>SUMIF('CF.1'!$D:$D,'CFS(2개월)'!G281,'CF.1'!$U:$U)</f>
        <v>0</v>
      </c>
      <c r="L281" s="183">
        <f>SUMIF('CF.1_2개월(단순차감)'!D:D,'CFS(2개월)'!G281,'CF.1_2개월(단순차감)'!AB:AB)</f>
        <v>0</v>
      </c>
      <c r="M281" s="186">
        <f t="shared" si="9"/>
        <v>0</v>
      </c>
      <c r="O281" s="182"/>
      <c r="P281" s="183">
        <f t="shared" si="10"/>
        <v>0</v>
      </c>
      <c r="Q281" s="184"/>
    </row>
    <row r="282" spans="4:17" ht="18" customHeight="1">
      <c r="D282" s="179">
        <v>2020</v>
      </c>
      <c r="E282" s="180">
        <v>12</v>
      </c>
      <c r="F282" s="180" t="s">
        <v>632</v>
      </c>
      <c r="G282" s="180" t="s">
        <v>1278</v>
      </c>
      <c r="H282" s="180" t="s">
        <v>1279</v>
      </c>
      <c r="I282" s="180">
        <v>2</v>
      </c>
      <c r="J282" s="180" t="s">
        <v>473</v>
      </c>
      <c r="K282" s="180">
        <f>SUM(K283:K300)</f>
        <v>-2082310922</v>
      </c>
      <c r="L282" s="180">
        <f>SUM(L283:L300)</f>
        <v>-314196560</v>
      </c>
      <c r="M282" s="181">
        <f>SUM(M283:M300)</f>
        <v>1768114362</v>
      </c>
      <c r="O282" s="182"/>
      <c r="P282" s="183">
        <f t="shared" si="10"/>
        <v>314196560</v>
      </c>
      <c r="Q282" s="184"/>
    </row>
    <row r="283" spans="4:17" ht="18" customHeight="1">
      <c r="D283" s="185">
        <v>2020</v>
      </c>
      <c r="E283" s="183">
        <v>12</v>
      </c>
      <c r="F283" s="183" t="s">
        <v>632</v>
      </c>
      <c r="G283" s="183" t="s">
        <v>1280</v>
      </c>
      <c r="H283" s="183" t="s">
        <v>1281</v>
      </c>
      <c r="I283" s="183">
        <v>3</v>
      </c>
      <c r="J283" s="183" t="s">
        <v>473</v>
      </c>
      <c r="K283" s="183">
        <f>SUMIF('CF.1'!$D:$D,'CFS(2개월)'!G283,'CF.1'!$U:$U)</f>
        <v>0</v>
      </c>
      <c r="L283" s="183">
        <f>SUMIF('CF.1_2개월(단순차감)'!D:D,'CFS(2개월)'!G283,'CF.1_2개월(단순차감)'!AB:AB)</f>
        <v>0</v>
      </c>
      <c r="M283" s="186">
        <f t="shared" ref="M283:M303" si="11">L283-K283</f>
        <v>0</v>
      </c>
      <c r="O283" s="182"/>
      <c r="P283" s="183">
        <f t="shared" si="10"/>
        <v>0</v>
      </c>
      <c r="Q283" s="184"/>
    </row>
    <row r="284" spans="4:17" ht="18" customHeight="1">
      <c r="D284" s="185">
        <v>2020</v>
      </c>
      <c r="E284" s="183">
        <v>12</v>
      </c>
      <c r="F284" s="183" t="s">
        <v>632</v>
      </c>
      <c r="G284" s="183" t="s">
        <v>1282</v>
      </c>
      <c r="H284" s="183" t="s">
        <v>1283</v>
      </c>
      <c r="I284" s="183">
        <v>3</v>
      </c>
      <c r="J284" s="183" t="s">
        <v>473</v>
      </c>
      <c r="K284" s="183">
        <f>SUMIF('CF.1'!$D:$D,'CFS(2개월)'!G284,'CF.1'!$U:$U)</f>
        <v>0</v>
      </c>
      <c r="L284" s="183">
        <f>SUMIF('CF.1_2개월(단순차감)'!D:D,'CFS(2개월)'!G284,'CF.1_2개월(단순차감)'!AB:AB)</f>
        <v>0</v>
      </c>
      <c r="M284" s="186">
        <f t="shared" si="11"/>
        <v>0</v>
      </c>
      <c r="O284" s="182"/>
      <c r="P284" s="183">
        <f t="shared" si="10"/>
        <v>0</v>
      </c>
      <c r="Q284" s="184"/>
    </row>
    <row r="285" spans="4:17" ht="18" customHeight="1">
      <c r="D285" s="185">
        <v>2020</v>
      </c>
      <c r="E285" s="183">
        <v>12</v>
      </c>
      <c r="F285" s="183" t="s">
        <v>632</v>
      </c>
      <c r="G285" s="183" t="s">
        <v>1284</v>
      </c>
      <c r="H285" s="183" t="s">
        <v>1285</v>
      </c>
      <c r="I285" s="183">
        <v>3</v>
      </c>
      <c r="J285" s="183" t="s">
        <v>473</v>
      </c>
      <c r="K285" s="183">
        <f>SUMIF('CF.1'!$D:$D,'CFS(2개월)'!G285,'CF.1'!$U:$U)</f>
        <v>0</v>
      </c>
      <c r="L285" s="183">
        <f>SUMIF('CF.1_2개월(단순차감)'!D:D,'CFS(2개월)'!G285,'CF.1_2개월(단순차감)'!AB:AB)</f>
        <v>0</v>
      </c>
      <c r="M285" s="186">
        <f t="shared" si="11"/>
        <v>0</v>
      </c>
      <c r="O285" s="182"/>
      <c r="P285" s="183">
        <f t="shared" si="10"/>
        <v>0</v>
      </c>
      <c r="Q285" s="184"/>
    </row>
    <row r="286" spans="4:17" ht="18" customHeight="1">
      <c r="D286" s="185">
        <v>2020</v>
      </c>
      <c r="E286" s="183">
        <v>12</v>
      </c>
      <c r="F286" s="183" t="s">
        <v>632</v>
      </c>
      <c r="G286" s="183" t="s">
        <v>1286</v>
      </c>
      <c r="H286" s="183" t="s">
        <v>1287</v>
      </c>
      <c r="I286" s="183">
        <v>3</v>
      </c>
      <c r="J286" s="183" t="s">
        <v>473</v>
      </c>
      <c r="K286" s="183">
        <f>SUMIF('CF.1'!$D:$D,'CFS(2개월)'!G286,'CF.1'!$U:$U)</f>
        <v>0</v>
      </c>
      <c r="L286" s="183">
        <f>SUMIF('CF.1_2개월(단순차감)'!D:D,'CFS(2개월)'!G286,'CF.1_2개월(단순차감)'!AB:AB)</f>
        <v>0</v>
      </c>
      <c r="M286" s="186">
        <f t="shared" si="11"/>
        <v>0</v>
      </c>
      <c r="O286" s="182"/>
      <c r="P286" s="183">
        <f t="shared" si="10"/>
        <v>0</v>
      </c>
      <c r="Q286" s="184"/>
    </row>
    <row r="287" spans="4:17" ht="18" customHeight="1">
      <c r="D287" s="185">
        <v>2020</v>
      </c>
      <c r="E287" s="183">
        <v>12</v>
      </c>
      <c r="F287" s="183" t="s">
        <v>632</v>
      </c>
      <c r="G287" s="183" t="s">
        <v>1288</v>
      </c>
      <c r="H287" s="183" t="s">
        <v>1289</v>
      </c>
      <c r="I287" s="183">
        <v>3</v>
      </c>
      <c r="J287" s="183" t="s">
        <v>473</v>
      </c>
      <c r="K287" s="183">
        <f>SUMIF('CF.1'!$D:$D,'CFS(2개월)'!G287,'CF.1'!$U:$U)</f>
        <v>0</v>
      </c>
      <c r="L287" s="183">
        <f>SUMIF('CF.1_2개월(단순차감)'!D:D,'CFS(2개월)'!G287,'CF.1_2개월(단순차감)'!AB:AB)</f>
        <v>0</v>
      </c>
      <c r="M287" s="186">
        <f t="shared" si="11"/>
        <v>0</v>
      </c>
      <c r="O287" s="182"/>
      <c r="P287" s="183">
        <f t="shared" si="10"/>
        <v>0</v>
      </c>
      <c r="Q287" s="184"/>
    </row>
    <row r="288" spans="4:17" ht="18" customHeight="1">
      <c r="D288" s="185">
        <v>2020</v>
      </c>
      <c r="E288" s="183">
        <v>12</v>
      </c>
      <c r="F288" s="183" t="s">
        <v>632</v>
      </c>
      <c r="G288" s="183" t="s">
        <v>1290</v>
      </c>
      <c r="H288" s="183" t="s">
        <v>1291</v>
      </c>
      <c r="I288" s="183">
        <v>3</v>
      </c>
      <c r="J288" s="183" t="s">
        <v>473</v>
      </c>
      <c r="K288" s="183">
        <f>SUMIF('CF.1'!$D:$D,'CFS(2개월)'!G288,'CF.1'!$U:$U)</f>
        <v>0</v>
      </c>
      <c r="L288" s="183">
        <f>SUMIF('CF.1_2개월(단순차감)'!D:D,'CFS(2개월)'!G288,'CF.1_2개월(단순차감)'!AB:AB)</f>
        <v>0</v>
      </c>
      <c r="M288" s="186">
        <f t="shared" si="11"/>
        <v>0</v>
      </c>
      <c r="O288" s="182"/>
      <c r="P288" s="183">
        <f t="shared" si="10"/>
        <v>0</v>
      </c>
      <c r="Q288" s="184"/>
    </row>
    <row r="289" spans="4:17" ht="18" customHeight="1">
      <c r="D289" s="185">
        <v>2020</v>
      </c>
      <c r="E289" s="183">
        <v>12</v>
      </c>
      <c r="F289" s="183" t="s">
        <v>632</v>
      </c>
      <c r="G289" s="183" t="s">
        <v>1292</v>
      </c>
      <c r="H289" s="183" t="s">
        <v>1140</v>
      </c>
      <c r="I289" s="183">
        <v>3</v>
      </c>
      <c r="J289" s="183" t="s">
        <v>473</v>
      </c>
      <c r="K289" s="183">
        <f>SUMIF('CF.1'!$D:$D,'CFS(2개월)'!G289,'CF.1'!$U:$U)</f>
        <v>0</v>
      </c>
      <c r="L289" s="183">
        <f>SUMIF('CF.1_2개월(단순차감)'!D:D,'CFS(2개월)'!G289,'CF.1_2개월(단순차감)'!AB:AB)</f>
        <v>0</v>
      </c>
      <c r="M289" s="186">
        <f t="shared" si="11"/>
        <v>0</v>
      </c>
      <c r="O289" s="182"/>
      <c r="P289" s="183">
        <f t="shared" si="10"/>
        <v>0</v>
      </c>
      <c r="Q289" s="184"/>
    </row>
    <row r="290" spans="4:17" ht="18" customHeight="1">
      <c r="D290" s="185">
        <v>2020</v>
      </c>
      <c r="E290" s="183">
        <v>12</v>
      </c>
      <c r="F290" s="183" t="s">
        <v>632</v>
      </c>
      <c r="G290" s="183" t="s">
        <v>1293</v>
      </c>
      <c r="H290" s="183" t="s">
        <v>1142</v>
      </c>
      <c r="I290" s="183">
        <v>3</v>
      </c>
      <c r="J290" s="183" t="s">
        <v>473</v>
      </c>
      <c r="K290" s="183">
        <f>SUMIF('CF.1'!$D:$D,'CFS(2개월)'!G290,'CF.1'!$U:$U)</f>
        <v>0</v>
      </c>
      <c r="L290" s="183">
        <f>SUMIF('CF.1_2개월(단순차감)'!D:D,'CFS(2개월)'!G290,'CF.1_2개월(단순차감)'!AB:AB)</f>
        <v>0</v>
      </c>
      <c r="M290" s="186">
        <f t="shared" si="11"/>
        <v>0</v>
      </c>
      <c r="O290" s="182"/>
      <c r="P290" s="183">
        <f t="shared" si="10"/>
        <v>0</v>
      </c>
      <c r="Q290" s="184"/>
    </row>
    <row r="291" spans="4:17" ht="18" customHeight="1">
      <c r="D291" s="185">
        <v>2020</v>
      </c>
      <c r="E291" s="183">
        <v>12</v>
      </c>
      <c r="F291" s="183" t="s">
        <v>632</v>
      </c>
      <c r="G291" s="183" t="s">
        <v>1294</v>
      </c>
      <c r="H291" s="183" t="s">
        <v>1295</v>
      </c>
      <c r="I291" s="183">
        <v>3</v>
      </c>
      <c r="J291" s="7" t="s">
        <v>473</v>
      </c>
      <c r="K291" s="183">
        <f>SUMIF('CF.1'!$D:$D,'CFS(2개월)'!G291,'CF.1'!$U:$U)</f>
        <v>0</v>
      </c>
      <c r="L291" s="183">
        <f>SUMIF('CF.1_2개월(단순차감)'!D:D,'CFS(2개월)'!G291,'CF.1_2개월(단순차감)'!AB:AB)</f>
        <v>0</v>
      </c>
      <c r="M291" s="186">
        <f t="shared" si="11"/>
        <v>0</v>
      </c>
      <c r="O291" s="182"/>
      <c r="P291" s="183">
        <f t="shared" si="10"/>
        <v>0</v>
      </c>
      <c r="Q291" s="184"/>
    </row>
    <row r="292" spans="4:17" ht="18" customHeight="1">
      <c r="D292" s="185">
        <v>2020</v>
      </c>
      <c r="E292" s="183">
        <v>12</v>
      </c>
      <c r="F292" s="183" t="s">
        <v>632</v>
      </c>
      <c r="G292" s="183" t="s">
        <v>1296</v>
      </c>
      <c r="H292" s="183" t="s">
        <v>1297</v>
      </c>
      <c r="I292" s="183">
        <v>3</v>
      </c>
      <c r="J292" s="183" t="s">
        <v>473</v>
      </c>
      <c r="K292" s="183">
        <f>SUMIF('CF.1'!$D:$D,'CFS(2개월)'!G292,'CF.1'!$U:$U)</f>
        <v>0</v>
      </c>
      <c r="L292" s="183">
        <f>SUMIF('CF.1_2개월(단순차감)'!D:D,'CFS(2개월)'!G292,'CF.1_2개월(단순차감)'!AB:AB)</f>
        <v>0</v>
      </c>
      <c r="M292" s="186">
        <f t="shared" si="11"/>
        <v>0</v>
      </c>
      <c r="O292" s="182"/>
      <c r="P292" s="183">
        <f t="shared" si="10"/>
        <v>0</v>
      </c>
      <c r="Q292" s="184"/>
    </row>
    <row r="293" spans="4:17" ht="18" customHeight="1">
      <c r="D293" s="185">
        <v>2020</v>
      </c>
      <c r="E293" s="183">
        <v>12</v>
      </c>
      <c r="F293" s="183" t="s">
        <v>632</v>
      </c>
      <c r="G293" s="183" t="s">
        <v>1298</v>
      </c>
      <c r="H293" s="183" t="s">
        <v>1299</v>
      </c>
      <c r="I293" s="183">
        <v>3</v>
      </c>
      <c r="J293" s="183" t="s">
        <v>473</v>
      </c>
      <c r="K293" s="183">
        <f>SUMIF('CF.1'!$D:$D,'CFS(2개월)'!G293,'CF.1'!$U:$U)</f>
        <v>0</v>
      </c>
      <c r="L293" s="183">
        <f>SUMIF('CF.1_2개월(단순차감)'!D:D,'CFS(2개월)'!G293,'CF.1_2개월(단순차감)'!AB:AB)</f>
        <v>0</v>
      </c>
      <c r="M293" s="186">
        <f t="shared" si="11"/>
        <v>0</v>
      </c>
      <c r="O293" s="182"/>
      <c r="P293" s="183">
        <f t="shared" si="10"/>
        <v>0</v>
      </c>
      <c r="Q293" s="184"/>
    </row>
    <row r="294" spans="4:17" ht="18" customHeight="1">
      <c r="D294" s="185">
        <v>2020</v>
      </c>
      <c r="E294" s="183">
        <v>12</v>
      </c>
      <c r="F294" s="183" t="s">
        <v>632</v>
      </c>
      <c r="G294" s="183" t="s">
        <v>1300</v>
      </c>
      <c r="H294" s="183" t="s">
        <v>1523</v>
      </c>
      <c r="I294" s="183">
        <v>3</v>
      </c>
      <c r="J294" s="183" t="s">
        <v>473</v>
      </c>
      <c r="K294" s="183">
        <f>SUMIF('CF.1'!$D:$D,'CFS(2개월)'!G294,'CF.1'!$U:$U)</f>
        <v>0</v>
      </c>
      <c r="L294" s="183">
        <f>SUMIF('CF.1_2개월(단순차감)'!D:D,'CFS(2개월)'!G294,'CF.1_2개월(단순차감)'!AB:AB)</f>
        <v>0</v>
      </c>
      <c r="M294" s="186">
        <f t="shared" si="11"/>
        <v>0</v>
      </c>
      <c r="O294" s="182"/>
      <c r="P294" s="183">
        <f t="shared" si="10"/>
        <v>0</v>
      </c>
      <c r="Q294" s="184"/>
    </row>
    <row r="295" spans="4:17" ht="18" customHeight="1">
      <c r="D295" s="185">
        <v>2020</v>
      </c>
      <c r="E295" s="183">
        <v>12</v>
      </c>
      <c r="F295" s="183" t="s">
        <v>632</v>
      </c>
      <c r="G295" s="183" t="s">
        <v>1302</v>
      </c>
      <c r="H295" s="183" t="s">
        <v>1303</v>
      </c>
      <c r="I295" s="183">
        <v>3</v>
      </c>
      <c r="J295" s="183" t="s">
        <v>473</v>
      </c>
      <c r="K295" s="183">
        <f>SUMIF('CF.1'!$D:$D,'CFS(2개월)'!G295,'CF.1'!$U:$U)</f>
        <v>0</v>
      </c>
      <c r="L295" s="183">
        <f>SUMIF('CF.1_2개월(단순차감)'!D:D,'CFS(2개월)'!G295,'CF.1_2개월(단순차감)'!AB:AB)</f>
        <v>0</v>
      </c>
      <c r="M295" s="186">
        <f t="shared" si="11"/>
        <v>0</v>
      </c>
      <c r="O295" s="182"/>
      <c r="P295" s="183">
        <f t="shared" si="10"/>
        <v>0</v>
      </c>
      <c r="Q295" s="184"/>
    </row>
    <row r="296" spans="4:17" ht="18" customHeight="1">
      <c r="D296" s="185">
        <v>2020</v>
      </c>
      <c r="E296" s="183">
        <v>12</v>
      </c>
      <c r="F296" s="183" t="s">
        <v>632</v>
      </c>
      <c r="G296" s="183" t="s">
        <v>1304</v>
      </c>
      <c r="H296" s="183" t="s">
        <v>1305</v>
      </c>
      <c r="I296" s="183">
        <v>3</v>
      </c>
      <c r="J296" s="183" t="s">
        <v>473</v>
      </c>
      <c r="K296" s="183">
        <f>SUMIF('CF.1'!$D:$D,'CFS(2개월)'!G296,'CF.1'!$U:$U)</f>
        <v>0</v>
      </c>
      <c r="L296" s="183">
        <f>SUMIF('CF.1_2개월(단순차감)'!D:D,'CFS(2개월)'!G296,'CF.1_2개월(단순차감)'!AB:AB)</f>
        <v>0</v>
      </c>
      <c r="M296" s="186">
        <f t="shared" si="11"/>
        <v>0</v>
      </c>
      <c r="O296" s="182"/>
      <c r="P296" s="183">
        <f t="shared" si="10"/>
        <v>0</v>
      </c>
      <c r="Q296" s="184"/>
    </row>
    <row r="297" spans="4:17" ht="18" customHeight="1">
      <c r="D297" s="185">
        <v>2020</v>
      </c>
      <c r="E297" s="183">
        <v>12</v>
      </c>
      <c r="F297" s="183" t="s">
        <v>632</v>
      </c>
      <c r="G297" s="183" t="s">
        <v>1306</v>
      </c>
      <c r="H297" s="183" t="s">
        <v>1307</v>
      </c>
      <c r="I297" s="183">
        <v>3</v>
      </c>
      <c r="J297" s="183" t="s">
        <v>473</v>
      </c>
      <c r="K297" s="183">
        <f>SUMIF('CF.1'!$D:$D,'CFS(2개월)'!G297,'CF.1'!$U:$U)</f>
        <v>-2082310922</v>
      </c>
      <c r="L297" s="183">
        <f>SUMIF('CF.1_2개월(단순차감)'!D:D,'CFS(2개월)'!G297,'CF.1_2개월(단순차감)'!AB:AB)</f>
        <v>-314196560</v>
      </c>
      <c r="M297" s="186">
        <f t="shared" si="11"/>
        <v>1768114362</v>
      </c>
      <c r="O297" s="182"/>
      <c r="P297" s="183">
        <f t="shared" si="10"/>
        <v>314196560</v>
      </c>
      <c r="Q297" s="184"/>
    </row>
    <row r="298" spans="4:17" ht="18" customHeight="1">
      <c r="D298" s="185">
        <v>2020</v>
      </c>
      <c r="E298" s="183">
        <v>12</v>
      </c>
      <c r="F298" s="183" t="s">
        <v>632</v>
      </c>
      <c r="G298" s="183" t="s">
        <v>1308</v>
      </c>
      <c r="H298" s="183" t="s">
        <v>1309</v>
      </c>
      <c r="I298" s="183">
        <v>3</v>
      </c>
      <c r="J298" s="183" t="s">
        <v>473</v>
      </c>
      <c r="K298" s="183">
        <f>SUMIF('CF.1'!$D:$D,'CFS(2개월)'!G298,'CF.1'!$U:$U)</f>
        <v>0</v>
      </c>
      <c r="L298" s="183">
        <f>SUMIF('CF.1_2개월(단순차감)'!D:D,'CFS(2개월)'!G298,'CF.1_2개월(단순차감)'!AB:AB)</f>
        <v>0</v>
      </c>
      <c r="M298" s="186">
        <f t="shared" si="11"/>
        <v>0</v>
      </c>
      <c r="O298" s="182"/>
      <c r="P298" s="183">
        <f t="shared" si="10"/>
        <v>0</v>
      </c>
      <c r="Q298" s="184"/>
    </row>
    <row r="299" spans="4:17" ht="18" customHeight="1">
      <c r="D299" s="185">
        <v>2020</v>
      </c>
      <c r="E299" s="183">
        <v>12</v>
      </c>
      <c r="F299" s="183" t="s">
        <v>632</v>
      </c>
      <c r="G299" s="183" t="s">
        <v>1524</v>
      </c>
      <c r="H299" s="183" t="s">
        <v>1525</v>
      </c>
      <c r="I299" s="183">
        <v>3</v>
      </c>
      <c r="J299" s="183" t="s">
        <v>473</v>
      </c>
      <c r="K299" s="183">
        <f>SUMIF('CF.1'!$D:$D,'CFS(2개월)'!G299,'CF.1'!$U:$U)</f>
        <v>0</v>
      </c>
      <c r="L299" s="183">
        <f>SUMIF('CF.1_2개월(단순차감)'!D:D,'CFS(2개월)'!G299,'CF.1_2개월(단순차감)'!AB:AB)</f>
        <v>0</v>
      </c>
      <c r="M299" s="186">
        <f t="shared" si="11"/>
        <v>0</v>
      </c>
      <c r="O299" s="182"/>
      <c r="P299" s="183">
        <f t="shared" si="10"/>
        <v>0</v>
      </c>
      <c r="Q299" s="184"/>
    </row>
    <row r="300" spans="4:17" ht="18" customHeight="1">
      <c r="D300" s="185">
        <v>2020</v>
      </c>
      <c r="E300" s="183">
        <v>12</v>
      </c>
      <c r="F300" s="183" t="s">
        <v>632</v>
      </c>
      <c r="G300" s="183" t="s">
        <v>1312</v>
      </c>
      <c r="H300" s="183" t="s">
        <v>1313</v>
      </c>
      <c r="I300" s="183">
        <v>3</v>
      </c>
      <c r="J300" s="183" t="s">
        <v>473</v>
      </c>
      <c r="K300" s="183">
        <f>SUMIF('CF.1'!$D:$D,'CFS(2개월)'!G300,'CF.1'!$U:$U)</f>
        <v>0</v>
      </c>
      <c r="L300" s="183">
        <f>SUMIF('CF.1_2개월(단순차감)'!D:D,'CFS(2개월)'!G300,'CF.1_2개월(단순차감)'!AB:AB)</f>
        <v>0</v>
      </c>
      <c r="M300" s="186">
        <f t="shared" si="11"/>
        <v>0</v>
      </c>
      <c r="O300" s="182"/>
      <c r="P300" s="183">
        <f t="shared" si="10"/>
        <v>0</v>
      </c>
      <c r="Q300" s="184"/>
    </row>
    <row r="301" spans="4:17" ht="18" customHeight="1">
      <c r="D301" s="179">
        <v>2020</v>
      </c>
      <c r="E301" s="180">
        <v>12</v>
      </c>
      <c r="F301" s="180" t="s">
        <v>632</v>
      </c>
      <c r="G301" s="180" t="s">
        <v>1314</v>
      </c>
      <c r="H301" s="180" t="s">
        <v>1315</v>
      </c>
      <c r="I301" s="180">
        <v>1</v>
      </c>
      <c r="J301" s="180" t="s">
        <v>473</v>
      </c>
      <c r="K301" s="180">
        <f t="shared" ref="K301:M302" si="12">K302</f>
        <v>1334300764</v>
      </c>
      <c r="L301" s="180">
        <f t="shared" si="12"/>
        <v>157670909</v>
      </c>
      <c r="M301" s="181">
        <f t="shared" si="12"/>
        <v>-1176629855</v>
      </c>
      <c r="O301" s="182"/>
      <c r="P301" s="183">
        <f t="shared" si="10"/>
        <v>-157670909</v>
      </c>
      <c r="Q301" s="184"/>
    </row>
    <row r="302" spans="4:17" ht="18" customHeight="1">
      <c r="D302" s="179">
        <v>2020</v>
      </c>
      <c r="E302" s="180">
        <v>12</v>
      </c>
      <c r="F302" s="180" t="s">
        <v>632</v>
      </c>
      <c r="G302" s="180" t="s">
        <v>1316</v>
      </c>
      <c r="H302" s="180" t="s">
        <v>1315</v>
      </c>
      <c r="I302" s="180">
        <v>2</v>
      </c>
      <c r="J302" s="180" t="s">
        <v>473</v>
      </c>
      <c r="K302" s="180">
        <f t="shared" si="12"/>
        <v>1334300764</v>
      </c>
      <c r="L302" s="180">
        <f t="shared" si="12"/>
        <v>157670909</v>
      </c>
      <c r="M302" s="181">
        <f t="shared" si="12"/>
        <v>-1176629855</v>
      </c>
      <c r="O302" s="182"/>
      <c r="P302" s="183">
        <f t="shared" si="10"/>
        <v>-157670909</v>
      </c>
      <c r="Q302" s="184"/>
    </row>
    <row r="303" spans="4:17" ht="18" customHeight="1">
      <c r="D303" s="185">
        <v>2020</v>
      </c>
      <c r="E303" s="183">
        <v>12</v>
      </c>
      <c r="F303" s="183" t="s">
        <v>632</v>
      </c>
      <c r="G303" s="183" t="s">
        <v>1317</v>
      </c>
      <c r="H303" s="183" t="s">
        <v>1318</v>
      </c>
      <c r="I303" s="183">
        <v>3</v>
      </c>
      <c r="J303" s="183" t="s">
        <v>473</v>
      </c>
      <c r="K303" s="183">
        <f>SUMIF('CF.1'!$D:$D,'CFS(2개월)'!G303,'CF.1'!$U:$U)</f>
        <v>1334300764</v>
      </c>
      <c r="L303" s="183">
        <f>SUMIF('CF.1_2개월(단순차감)'!D:D,'CFS(2개월)'!G303,'CF.1_2개월(단순차감)'!AB:AB)</f>
        <v>157670909</v>
      </c>
      <c r="M303" s="186">
        <f t="shared" si="11"/>
        <v>-1176629855</v>
      </c>
      <c r="O303" s="182"/>
      <c r="P303" s="183">
        <f t="shared" si="10"/>
        <v>-157670909</v>
      </c>
      <c r="Q303" s="184"/>
    </row>
    <row r="304" spans="4:17" ht="18" customHeight="1">
      <c r="D304" s="179">
        <v>2020</v>
      </c>
      <c r="E304" s="180">
        <v>12</v>
      </c>
      <c r="F304" s="180" t="s">
        <v>632</v>
      </c>
      <c r="G304" s="180" t="s">
        <v>1319</v>
      </c>
      <c r="H304" s="180" t="s">
        <v>1526</v>
      </c>
      <c r="I304" s="180">
        <v>1</v>
      </c>
      <c r="J304" s="180" t="s">
        <v>473</v>
      </c>
      <c r="K304" s="180">
        <f t="shared" ref="K304:M305" si="13">K305</f>
        <v>0</v>
      </c>
      <c r="L304" s="180">
        <f t="shared" si="13"/>
        <v>0</v>
      </c>
      <c r="M304" s="181">
        <f t="shared" si="13"/>
        <v>0</v>
      </c>
      <c r="O304" s="182"/>
      <c r="P304" s="183">
        <f t="shared" si="10"/>
        <v>0</v>
      </c>
      <c r="Q304" s="184"/>
    </row>
    <row r="305" spans="4:17" ht="18" customHeight="1">
      <c r="D305" s="179">
        <v>2020</v>
      </c>
      <c r="E305" s="180">
        <v>12</v>
      </c>
      <c r="F305" s="180" t="s">
        <v>632</v>
      </c>
      <c r="G305" s="180" t="s">
        <v>1321</v>
      </c>
      <c r="H305" s="180" t="s">
        <v>1526</v>
      </c>
      <c r="I305" s="180">
        <v>2</v>
      </c>
      <c r="J305" s="180" t="s">
        <v>473</v>
      </c>
      <c r="K305" s="180">
        <f t="shared" si="13"/>
        <v>0</v>
      </c>
      <c r="L305" s="180">
        <f t="shared" si="13"/>
        <v>0</v>
      </c>
      <c r="M305" s="181">
        <f t="shared" si="13"/>
        <v>0</v>
      </c>
      <c r="O305" s="182"/>
      <c r="P305" s="183">
        <f t="shared" si="10"/>
        <v>0</v>
      </c>
      <c r="Q305" s="184"/>
    </row>
    <row r="306" spans="4:17" ht="18" customHeight="1">
      <c r="D306" s="185">
        <v>2020</v>
      </c>
      <c r="E306" s="183">
        <v>12</v>
      </c>
      <c r="F306" s="183" t="s">
        <v>632</v>
      </c>
      <c r="G306" s="183" t="s">
        <v>1322</v>
      </c>
      <c r="H306" s="183" t="s">
        <v>1527</v>
      </c>
      <c r="I306" s="183">
        <v>3</v>
      </c>
      <c r="J306" s="183" t="s">
        <v>473</v>
      </c>
      <c r="K306" s="183">
        <f>SUMIF('CF.1'!$D:$D,'CFS(2개월)'!G306,'CF.1'!$U:$U)</f>
        <v>0</v>
      </c>
      <c r="L306" s="183">
        <f>SUMIF('CF.1_2개월(단순차감)'!D:D,'CFS(2개월)'!G306,'CF.1_2개월(단순차감)'!AB:AB)</f>
        <v>0</v>
      </c>
      <c r="M306" s="186">
        <f t="shared" ref="M306:M316" si="14">L306-K306</f>
        <v>0</v>
      </c>
      <c r="O306" s="182"/>
      <c r="P306" s="183">
        <f t="shared" si="10"/>
        <v>0</v>
      </c>
      <c r="Q306" s="184"/>
    </row>
    <row r="307" spans="4:17" ht="18" customHeight="1">
      <c r="D307" s="179">
        <v>2020</v>
      </c>
      <c r="E307" s="180">
        <v>12</v>
      </c>
      <c r="F307" s="180" t="s">
        <v>632</v>
      </c>
      <c r="G307" s="180" t="s">
        <v>1324</v>
      </c>
      <c r="H307" s="180" t="s">
        <v>1325</v>
      </c>
      <c r="I307" s="180">
        <v>1</v>
      </c>
      <c r="J307" s="180" t="s">
        <v>473</v>
      </c>
      <c r="K307" s="180">
        <f>K301+K260+K156+K5</f>
        <v>41028538023</v>
      </c>
      <c r="L307" s="180">
        <f>L301+L260+L156+L5</f>
        <v>-519337447</v>
      </c>
      <c r="M307" s="181">
        <f t="shared" si="14"/>
        <v>-41547875470</v>
      </c>
      <c r="O307" s="182"/>
      <c r="P307" s="183">
        <f t="shared" si="10"/>
        <v>519337447</v>
      </c>
      <c r="Q307" s="184"/>
    </row>
    <row r="308" spans="4:17" ht="18" customHeight="1">
      <c r="D308" s="179">
        <v>2020</v>
      </c>
      <c r="E308" s="180">
        <v>12</v>
      </c>
      <c r="F308" s="180" t="s">
        <v>632</v>
      </c>
      <c r="G308" s="180" t="s">
        <v>1326</v>
      </c>
      <c r="H308" s="180" t="s">
        <v>1327</v>
      </c>
      <c r="I308" s="180">
        <v>1</v>
      </c>
      <c r="J308" s="180" t="s">
        <v>473</v>
      </c>
      <c r="K308" s="180">
        <f>K309</f>
        <v>132018644520</v>
      </c>
      <c r="L308" s="180">
        <f>L309</f>
        <v>132537981967</v>
      </c>
      <c r="M308" s="181">
        <f t="shared" si="14"/>
        <v>519337447</v>
      </c>
      <c r="O308" s="182"/>
      <c r="P308" s="183">
        <f t="shared" si="10"/>
        <v>-132537981967</v>
      </c>
      <c r="Q308" s="184"/>
    </row>
    <row r="309" spans="4:17" ht="18" customHeight="1">
      <c r="D309" s="179">
        <v>2020</v>
      </c>
      <c r="E309" s="180">
        <v>12</v>
      </c>
      <c r="F309" s="180" t="s">
        <v>632</v>
      </c>
      <c r="G309" s="180" t="s">
        <v>1328</v>
      </c>
      <c r="H309" s="180" t="s">
        <v>1327</v>
      </c>
      <c r="I309" s="180">
        <v>2</v>
      </c>
      <c r="J309" s="180" t="s">
        <v>473</v>
      </c>
      <c r="K309" s="180">
        <f>K310</f>
        <v>132018644520</v>
      </c>
      <c r="L309" s="180">
        <f>L310</f>
        <v>132537981967</v>
      </c>
      <c r="M309" s="181">
        <f t="shared" si="14"/>
        <v>519337447</v>
      </c>
      <c r="O309" s="182"/>
      <c r="P309" s="183">
        <f t="shared" si="10"/>
        <v>-132537981967</v>
      </c>
      <c r="Q309" s="184"/>
    </row>
    <row r="310" spans="4:17" ht="18" customHeight="1">
      <c r="D310" s="185">
        <v>2020</v>
      </c>
      <c r="E310" s="183">
        <v>12</v>
      </c>
      <c r="F310" s="183" t="s">
        <v>632</v>
      </c>
      <c r="G310" s="183" t="s">
        <v>1329</v>
      </c>
      <c r="H310" s="183" t="s">
        <v>1330</v>
      </c>
      <c r="I310" s="183">
        <v>3</v>
      </c>
      <c r="J310" s="183" t="s">
        <v>473</v>
      </c>
      <c r="K310" s="183">
        <f>SUMIF('CF.1'!$D:$D,'CFS(2개월)'!G310,'CF.1'!$U:$U)</f>
        <v>132018644520</v>
      </c>
      <c r="L310" s="183">
        <f>SUMIF('CF.1_2개월(단순차감)'!D:D,'CFS(2개월)'!G310,'CF.1_2개월(단순차감)'!AB:AB)</f>
        <v>132537981967</v>
      </c>
      <c r="M310" s="186">
        <f t="shared" si="14"/>
        <v>519337447</v>
      </c>
      <c r="O310" s="182"/>
      <c r="P310" s="183">
        <f t="shared" si="10"/>
        <v>-132537981967</v>
      </c>
      <c r="Q310" s="184"/>
    </row>
    <row r="311" spans="4:17" ht="18" customHeight="1">
      <c r="D311" s="179">
        <v>2020</v>
      </c>
      <c r="E311" s="180">
        <v>12</v>
      </c>
      <c r="F311" s="180" t="s">
        <v>632</v>
      </c>
      <c r="G311" s="180" t="s">
        <v>1331</v>
      </c>
      <c r="H311" s="180" t="s">
        <v>1332</v>
      </c>
      <c r="I311" s="180">
        <v>1</v>
      </c>
      <c r="J311" s="180" t="s">
        <v>473</v>
      </c>
      <c r="K311" s="180">
        <f t="shared" ref="K311:M312" si="15">K312</f>
        <v>145337843155</v>
      </c>
      <c r="L311" s="180">
        <f t="shared" si="15"/>
        <v>132018644520</v>
      </c>
      <c r="M311" s="181">
        <f t="shared" si="15"/>
        <v>-13319198635</v>
      </c>
      <c r="O311" s="182"/>
      <c r="P311" s="183">
        <f t="shared" si="10"/>
        <v>-132018644520</v>
      </c>
      <c r="Q311" s="184"/>
    </row>
    <row r="312" spans="4:17" ht="18" customHeight="1">
      <c r="D312" s="179">
        <v>2020</v>
      </c>
      <c r="E312" s="180">
        <v>12</v>
      </c>
      <c r="F312" s="180" t="s">
        <v>632</v>
      </c>
      <c r="G312" s="180" t="s">
        <v>1333</v>
      </c>
      <c r="H312" s="180" t="s">
        <v>1332</v>
      </c>
      <c r="I312" s="180">
        <v>2</v>
      </c>
      <c r="J312" s="180" t="s">
        <v>473</v>
      </c>
      <c r="K312" s="180">
        <f t="shared" si="15"/>
        <v>145337843155</v>
      </c>
      <c r="L312" s="180">
        <f t="shared" si="15"/>
        <v>132018644520</v>
      </c>
      <c r="M312" s="181">
        <f t="shared" si="15"/>
        <v>-13319198635</v>
      </c>
      <c r="O312" s="182"/>
      <c r="P312" s="183">
        <f t="shared" si="10"/>
        <v>-132018644520</v>
      </c>
      <c r="Q312" s="184"/>
    </row>
    <row r="313" spans="4:17" ht="18" customHeight="1">
      <c r="D313" s="185">
        <v>2020</v>
      </c>
      <c r="E313" s="183">
        <v>12</v>
      </c>
      <c r="F313" s="183" t="s">
        <v>632</v>
      </c>
      <c r="G313" s="183" t="s">
        <v>1334</v>
      </c>
      <c r="H313" s="183" t="s">
        <v>1335</v>
      </c>
      <c r="I313" s="183">
        <v>3</v>
      </c>
      <c r="J313" s="183" t="s">
        <v>473</v>
      </c>
      <c r="K313" s="183">
        <f>SUMIF('CF.1'!$D:$D,'CFS(2개월)'!G313,'CF.1'!$U:$U)</f>
        <v>145337843155</v>
      </c>
      <c r="L313" s="183">
        <f>SUMIF('CF.1_2개월(단순차감)'!D:D,'CFS(2개월)'!G313,'CF.1_2개월(단순차감)'!AB:AB)</f>
        <v>132018644520</v>
      </c>
      <c r="M313" s="186">
        <f t="shared" si="14"/>
        <v>-13319198635</v>
      </c>
      <c r="O313" s="182"/>
      <c r="P313" s="183">
        <f t="shared" si="10"/>
        <v>-132018644520</v>
      </c>
      <c r="Q313" s="184"/>
    </row>
    <row r="314" spans="4:17" ht="18" customHeight="1">
      <c r="D314" s="179">
        <v>2020</v>
      </c>
      <c r="E314" s="180">
        <v>12</v>
      </c>
      <c r="F314" s="180" t="s">
        <v>632</v>
      </c>
      <c r="G314" s="180" t="s">
        <v>1336</v>
      </c>
      <c r="H314" s="180" t="s">
        <v>1337</v>
      </c>
      <c r="I314" s="180">
        <v>1</v>
      </c>
      <c r="J314" s="180" t="s">
        <v>473</v>
      </c>
      <c r="K314" s="180">
        <v>0</v>
      </c>
      <c r="L314" s="180">
        <v>0</v>
      </c>
      <c r="M314" s="181">
        <f t="shared" si="14"/>
        <v>0</v>
      </c>
      <c r="O314" s="182"/>
      <c r="P314" s="183">
        <f t="shared" si="10"/>
        <v>0</v>
      </c>
      <c r="Q314" s="184"/>
    </row>
    <row r="315" spans="4:17" ht="18" customHeight="1">
      <c r="D315" s="179">
        <v>2020</v>
      </c>
      <c r="E315" s="180">
        <v>12</v>
      </c>
      <c r="F315" s="180" t="s">
        <v>632</v>
      </c>
      <c r="G315" s="180" t="s">
        <v>1338</v>
      </c>
      <c r="H315" s="180" t="s">
        <v>1337</v>
      </c>
      <c r="I315" s="180">
        <v>2</v>
      </c>
      <c r="J315" s="180" t="s">
        <v>473</v>
      </c>
      <c r="K315" s="180">
        <v>0</v>
      </c>
      <c r="L315" s="180">
        <v>0</v>
      </c>
      <c r="M315" s="181">
        <f t="shared" si="14"/>
        <v>0</v>
      </c>
      <c r="O315" s="182"/>
      <c r="P315" s="183">
        <f t="shared" si="10"/>
        <v>0</v>
      </c>
      <c r="Q315" s="184"/>
    </row>
    <row r="316" spans="4:17" ht="18" customHeight="1" thickBot="1">
      <c r="D316" s="193">
        <v>2020</v>
      </c>
      <c r="E316" s="194">
        <v>12</v>
      </c>
      <c r="F316" s="194" t="s">
        <v>632</v>
      </c>
      <c r="G316" s="194" t="s">
        <v>1339</v>
      </c>
      <c r="H316" s="194" t="s">
        <v>1340</v>
      </c>
      <c r="I316" s="194">
        <v>3</v>
      </c>
      <c r="J316" s="194" t="s">
        <v>473</v>
      </c>
      <c r="K316" s="194">
        <f>SUMIF('CF.1'!$D:$D,'CFS(2개월)'!G316,'CF.1'!$U:$U)</f>
        <v>0</v>
      </c>
      <c r="L316" s="183">
        <f>SUMIF('CF.1_2개월(단순차감)'!D:D,'CFS(2개월)'!G316,'CF.1_2개월(단순차감)'!AB:AB)</f>
        <v>0</v>
      </c>
      <c r="M316" s="195">
        <f t="shared" si="14"/>
        <v>0</v>
      </c>
      <c r="O316" s="196"/>
      <c r="P316" s="183">
        <f t="shared" si="10"/>
        <v>0</v>
      </c>
      <c r="Q316" s="197"/>
    </row>
    <row r="317" spans="4:17" ht="18" customHeight="1" thickBot="1">
      <c r="D317" s="198"/>
      <c r="E317" s="199"/>
      <c r="F317" s="199"/>
      <c r="G317" s="199"/>
      <c r="H317" s="199"/>
      <c r="I317" s="199"/>
      <c r="J317" s="199"/>
      <c r="K317" s="199">
        <f>K307+K308-K313</f>
        <v>27709339388</v>
      </c>
      <c r="L317" s="199">
        <f>L307+L308-L313</f>
        <v>0</v>
      </c>
      <c r="M317" s="200"/>
    </row>
  </sheetData>
  <autoFilter ref="D4:M317" xr:uid="{00000000-0009-0000-0000-000012000000}"/>
  <phoneticPr fontId="2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D1:O234"/>
  <sheetViews>
    <sheetView zoomScale="80" zoomScaleNormal="80" workbookViewId="0">
      <selection activeCell="K28" sqref="K28:L28"/>
    </sheetView>
  </sheetViews>
  <sheetFormatPr defaultColWidth="8.75" defaultRowHeight="11.25"/>
  <cols>
    <col min="1" max="3" width="2.625" style="3" customWidth="1"/>
    <col min="4" max="4" width="25.75" style="446" customWidth="1"/>
    <col min="5" max="5" width="25.75" style="3" customWidth="1"/>
    <col min="6" max="9" width="15.625" style="3" customWidth="1"/>
    <col min="10" max="10" width="10.625" style="3" customWidth="1"/>
    <col min="11" max="11" width="25.375" style="3" bestFit="1" customWidth="1"/>
    <col min="12" max="12" width="19.25" style="3" bestFit="1" customWidth="1"/>
    <col min="13" max="13" width="10.25" style="3" bestFit="1" customWidth="1"/>
    <col min="14" max="16384" width="8.75" style="3"/>
  </cols>
  <sheetData>
    <row r="1" spans="4:15" ht="18" customHeight="1">
      <c r="D1" s="3"/>
    </row>
    <row r="2" spans="4:15" ht="18" customHeight="1">
      <c r="D2" s="379">
        <v>44329</v>
      </c>
      <c r="H2" s="1" t="s">
        <v>2084</v>
      </c>
      <c r="I2" s="1">
        <v>1</v>
      </c>
      <c r="K2" s="380" t="s">
        <v>1811</v>
      </c>
      <c r="L2" s="373">
        <f>+I190</f>
        <v>35469883</v>
      </c>
    </row>
    <row r="3" spans="4:15" ht="18" customHeight="1">
      <c r="D3" s="381" t="s">
        <v>2362</v>
      </c>
      <c r="F3" s="5"/>
      <c r="H3" s="1" t="s">
        <v>455</v>
      </c>
      <c r="I3" s="1">
        <v>1</v>
      </c>
      <c r="K3" s="380" t="s">
        <v>2085</v>
      </c>
      <c r="L3" s="373">
        <v>1500000000</v>
      </c>
    </row>
    <row r="4" spans="4:15" ht="18" customHeight="1">
      <c r="D4" s="381" t="s">
        <v>473</v>
      </c>
      <c r="F4" s="5"/>
      <c r="H4" s="1" t="s">
        <v>456</v>
      </c>
      <c r="I4" s="1">
        <v>1</v>
      </c>
      <c r="K4" s="380" t="s">
        <v>1803</v>
      </c>
      <c r="L4" s="378">
        <f>+L3-L2</f>
        <v>1464530117</v>
      </c>
    </row>
    <row r="5" spans="4:15" s="346" customFormat="1" ht="18" customHeight="1">
      <c r="F5" s="382" t="s">
        <v>2086</v>
      </c>
      <c r="G5" s="382"/>
      <c r="H5" s="382"/>
      <c r="L5" s="375"/>
    </row>
    <row r="6" spans="4:15" s="346" customFormat="1" ht="18" customHeight="1">
      <c r="E6" s="346" t="s">
        <v>2087</v>
      </c>
      <c r="F6" s="5"/>
      <c r="G6" s="382"/>
      <c r="H6" s="382"/>
      <c r="I6" s="172"/>
    </row>
    <row r="7" spans="4:15" s="346" customFormat="1" ht="18" customHeight="1" thickBot="1">
      <c r="D7" s="172"/>
      <c r="E7" s="172" t="s">
        <v>2088</v>
      </c>
      <c r="F7" s="383">
        <f>F10-F214</f>
        <v>0</v>
      </c>
      <c r="G7" s="383">
        <f>G10-G214</f>
        <v>0</v>
      </c>
      <c r="H7" s="383">
        <f>H10-H214</f>
        <v>0</v>
      </c>
      <c r="I7" s="384">
        <f>I10-I214-0</f>
        <v>0</v>
      </c>
    </row>
    <row r="8" spans="4:15" ht="18" customHeight="1">
      <c r="D8" s="385" t="s">
        <v>16</v>
      </c>
      <c r="E8" s="386" t="s">
        <v>19</v>
      </c>
      <c r="F8" s="387">
        <f>$D$2</f>
        <v>44329</v>
      </c>
      <c r="G8" s="386" t="s">
        <v>2089</v>
      </c>
      <c r="H8" s="386">
        <f>F8</f>
        <v>44329</v>
      </c>
      <c r="I8" s="388">
        <f>$D$2</f>
        <v>44329</v>
      </c>
    </row>
    <row r="9" spans="4:15" ht="18" customHeight="1">
      <c r="D9" s="389"/>
      <c r="E9" s="390"/>
      <c r="F9" s="391" t="str">
        <f>D4</f>
        <v>KRW</v>
      </c>
      <c r="G9" s="390" t="str">
        <f>F9</f>
        <v>KRW</v>
      </c>
      <c r="H9" s="390" t="str">
        <f>G9</f>
        <v>KRW</v>
      </c>
      <c r="I9" s="392" t="s">
        <v>473</v>
      </c>
      <c r="K9" s="393" t="s">
        <v>2090</v>
      </c>
      <c r="L9" s="394" t="s">
        <v>2091</v>
      </c>
      <c r="M9" s="395" t="s">
        <v>2092</v>
      </c>
      <c r="N9" s="396"/>
      <c r="O9" s="396"/>
    </row>
    <row r="10" spans="4:15" ht="18" customHeight="1">
      <c r="D10" s="397"/>
      <c r="E10" s="259" t="s">
        <v>0</v>
      </c>
      <c r="F10" s="398">
        <f>SUM(F11,F66)</f>
        <v>58675929</v>
      </c>
      <c r="G10" s="399">
        <f>SUM(G11,G66)</f>
        <v>0</v>
      </c>
      <c r="H10" s="399">
        <f>SUM(H11,H66)</f>
        <v>58675929</v>
      </c>
      <c r="I10" s="400">
        <f>SUM(I11,I66)</f>
        <v>58675929</v>
      </c>
      <c r="K10" s="401"/>
      <c r="L10" s="401"/>
      <c r="M10" s="402"/>
      <c r="N10" s="396"/>
      <c r="O10" s="396"/>
    </row>
    <row r="11" spans="4:15" ht="18" customHeight="1">
      <c r="D11" s="403"/>
      <c r="E11" s="260" t="s">
        <v>20</v>
      </c>
      <c r="F11" s="404">
        <f>SUM(F12,F16,F37,F47,F32,F52,)</f>
        <v>38675929</v>
      </c>
      <c r="G11" s="405">
        <f>SUM(G12,G16,G37,G47,G32,G52,)</f>
        <v>0</v>
      </c>
      <c r="H11" s="405">
        <f>SUM(H12,H16,H37,H47,H32,H52,)</f>
        <v>38675929</v>
      </c>
      <c r="I11" s="406">
        <f>SUM(I12,I16,I37,I47,I32,I52,)</f>
        <v>38675929</v>
      </c>
      <c r="K11" s="407" t="s">
        <v>2093</v>
      </c>
      <c r="L11" s="408"/>
      <c r="M11" s="409"/>
      <c r="N11" s="396"/>
      <c r="O11" s="396"/>
    </row>
    <row r="12" spans="4:15" ht="18" customHeight="1">
      <c r="D12" s="410"/>
      <c r="E12" s="261" t="s">
        <v>1</v>
      </c>
      <c r="F12" s="411">
        <f>SUM(F13:F15)</f>
        <v>20206929</v>
      </c>
      <c r="G12" s="412">
        <f>SUM(G13:G15)</f>
        <v>0</v>
      </c>
      <c r="H12" s="412">
        <f>SUM(H13:H15)</f>
        <v>20206929</v>
      </c>
      <c r="I12" s="413">
        <f>SUM(I13:I15)</f>
        <v>20206929</v>
      </c>
      <c r="K12" s="414" t="s">
        <v>1650</v>
      </c>
      <c r="L12" s="415"/>
      <c r="M12" s="416">
        <v>38675929</v>
      </c>
      <c r="N12" s="396"/>
      <c r="O12" s="396"/>
    </row>
    <row r="13" spans="4:15" ht="18" customHeight="1">
      <c r="D13" s="417" t="s">
        <v>1344</v>
      </c>
      <c r="E13" s="418" t="s">
        <v>1342</v>
      </c>
      <c r="F13" s="419">
        <f>SUMIF(N:N,D13,M:M)</f>
        <v>0</v>
      </c>
      <c r="G13" s="420">
        <v>0</v>
      </c>
      <c r="H13" s="420">
        <v>0</v>
      </c>
      <c r="I13" s="421">
        <v>0</v>
      </c>
      <c r="K13" s="422" t="s">
        <v>2094</v>
      </c>
      <c r="L13" s="415"/>
      <c r="M13" s="416">
        <v>38675929</v>
      </c>
      <c r="N13" s="396"/>
      <c r="O13" s="396"/>
    </row>
    <row r="14" spans="4:15" ht="18" customHeight="1">
      <c r="D14" s="417">
        <v>111151</v>
      </c>
      <c r="E14" s="418" t="s">
        <v>21</v>
      </c>
      <c r="F14" s="419">
        <f>SUMIF(N:N,D14,M:M)</f>
        <v>20206929</v>
      </c>
      <c r="G14" s="420">
        <v>0</v>
      </c>
      <c r="H14" s="420">
        <v>20206929</v>
      </c>
      <c r="I14" s="421">
        <v>20206929</v>
      </c>
      <c r="K14" s="423" t="s">
        <v>2095</v>
      </c>
      <c r="L14" s="424" t="s">
        <v>1</v>
      </c>
      <c r="M14" s="425">
        <v>0</v>
      </c>
      <c r="N14" s="396"/>
      <c r="O14" s="396"/>
    </row>
    <row r="15" spans="4:15" ht="18" customHeight="1">
      <c r="D15" s="417">
        <v>111171</v>
      </c>
      <c r="E15" s="418" t="s">
        <v>22</v>
      </c>
      <c r="F15" s="419">
        <f>SUMIF(N:N,D15,M:M)</f>
        <v>0</v>
      </c>
      <c r="G15" s="420">
        <v>0</v>
      </c>
      <c r="H15" s="420">
        <v>0</v>
      </c>
      <c r="I15" s="421">
        <v>0</v>
      </c>
      <c r="K15" s="423" t="s">
        <v>2095</v>
      </c>
      <c r="L15" s="424" t="s">
        <v>1</v>
      </c>
      <c r="M15" s="425">
        <v>20206929</v>
      </c>
      <c r="N15" s="396">
        <v>111151</v>
      </c>
      <c r="O15" s="396" t="s">
        <v>21</v>
      </c>
    </row>
    <row r="16" spans="4:15" ht="18" customHeight="1">
      <c r="D16" s="426"/>
      <c r="E16" s="261" t="s">
        <v>23</v>
      </c>
      <c r="F16" s="411">
        <f>SUM(F17:F31)</f>
        <v>10976000</v>
      </c>
      <c r="G16" s="412">
        <f>SUM(G17:G31)</f>
        <v>0</v>
      </c>
      <c r="H16" s="412">
        <f>SUM(H17:H31)</f>
        <v>10976000</v>
      </c>
      <c r="I16" s="413">
        <f>SUM(I17:I31)</f>
        <v>10976000</v>
      </c>
      <c r="K16" s="423" t="s">
        <v>2095</v>
      </c>
      <c r="L16" s="424" t="s">
        <v>1</v>
      </c>
      <c r="M16" s="425">
        <v>0</v>
      </c>
      <c r="N16" s="396"/>
      <c r="O16" s="396"/>
    </row>
    <row r="17" spans="4:15" ht="18" customHeight="1">
      <c r="D17" s="417">
        <v>111711</v>
      </c>
      <c r="E17" s="418" t="s">
        <v>24</v>
      </c>
      <c r="F17" s="419">
        <f t="shared" ref="F17:F31" si="0">SUMIF(N:N,D17,M:M)</f>
        <v>10976000</v>
      </c>
      <c r="G17" s="420">
        <v>0</v>
      </c>
      <c r="H17" s="420">
        <v>10976000</v>
      </c>
      <c r="I17" s="421">
        <v>10976000</v>
      </c>
      <c r="K17" s="423" t="s">
        <v>2096</v>
      </c>
      <c r="L17" s="424" t="s">
        <v>2097</v>
      </c>
      <c r="M17" s="425">
        <v>10976000</v>
      </c>
      <c r="N17" s="396">
        <v>111711</v>
      </c>
      <c r="O17" s="396" t="s">
        <v>24</v>
      </c>
    </row>
    <row r="18" spans="4:15" ht="18" customHeight="1">
      <c r="D18" s="417">
        <v>111712</v>
      </c>
      <c r="E18" s="418" t="s">
        <v>25</v>
      </c>
      <c r="F18" s="419">
        <f t="shared" si="0"/>
        <v>0</v>
      </c>
      <c r="G18" s="420">
        <v>0</v>
      </c>
      <c r="H18" s="420">
        <v>0</v>
      </c>
      <c r="I18" s="421">
        <v>0</v>
      </c>
      <c r="K18" s="423" t="s">
        <v>639</v>
      </c>
      <c r="L18" s="424" t="s">
        <v>2098</v>
      </c>
      <c r="M18" s="425">
        <v>0</v>
      </c>
      <c r="N18" s="396"/>
      <c r="O18" s="396"/>
    </row>
    <row r="19" spans="4:15" ht="18" customHeight="1">
      <c r="D19" s="417">
        <v>111731</v>
      </c>
      <c r="E19" s="418" t="s">
        <v>26</v>
      </c>
      <c r="F19" s="419">
        <f t="shared" si="0"/>
        <v>0</v>
      </c>
      <c r="G19" s="420">
        <v>0</v>
      </c>
      <c r="H19" s="420">
        <v>0</v>
      </c>
      <c r="I19" s="421">
        <v>0</v>
      </c>
      <c r="K19" s="423" t="s">
        <v>2099</v>
      </c>
      <c r="L19" s="424" t="s">
        <v>2100</v>
      </c>
      <c r="M19" s="425">
        <v>7493000</v>
      </c>
      <c r="N19" s="396">
        <v>112511</v>
      </c>
      <c r="O19" s="396" t="s">
        <v>60</v>
      </c>
    </row>
    <row r="20" spans="4:15" ht="18" customHeight="1">
      <c r="D20" s="417">
        <v>111732</v>
      </c>
      <c r="E20" s="418" t="s">
        <v>27</v>
      </c>
      <c r="F20" s="419">
        <f t="shared" si="0"/>
        <v>0</v>
      </c>
      <c r="G20" s="420">
        <v>0</v>
      </c>
      <c r="H20" s="420">
        <v>0</v>
      </c>
      <c r="I20" s="421">
        <v>0</v>
      </c>
      <c r="K20" s="423" t="s">
        <v>641</v>
      </c>
      <c r="L20" s="424" t="s">
        <v>2100</v>
      </c>
      <c r="M20" s="425">
        <v>0</v>
      </c>
      <c r="N20" s="396"/>
      <c r="O20" s="396"/>
    </row>
    <row r="21" spans="4:15" ht="18" customHeight="1">
      <c r="D21" s="417">
        <v>111761</v>
      </c>
      <c r="E21" s="418" t="s">
        <v>28</v>
      </c>
      <c r="F21" s="419">
        <f t="shared" si="0"/>
        <v>0</v>
      </c>
      <c r="G21" s="420">
        <v>0</v>
      </c>
      <c r="H21" s="420">
        <v>0</v>
      </c>
      <c r="I21" s="421">
        <v>0</v>
      </c>
      <c r="K21" s="423" t="s">
        <v>2101</v>
      </c>
      <c r="L21" s="424" t="s">
        <v>2100</v>
      </c>
      <c r="M21" s="425">
        <v>0</v>
      </c>
      <c r="N21" s="396"/>
      <c r="O21" s="396"/>
    </row>
    <row r="22" spans="4:15" ht="18" customHeight="1">
      <c r="D22" s="417">
        <v>111762</v>
      </c>
      <c r="E22" s="418" t="s">
        <v>29</v>
      </c>
      <c r="F22" s="419">
        <f t="shared" si="0"/>
        <v>0</v>
      </c>
      <c r="G22" s="420">
        <v>0</v>
      </c>
      <c r="H22" s="420">
        <v>0</v>
      </c>
      <c r="I22" s="421">
        <v>0</v>
      </c>
      <c r="K22" s="423" t="s">
        <v>2102</v>
      </c>
      <c r="L22" s="424" t="s">
        <v>2103</v>
      </c>
      <c r="M22" s="425">
        <v>0</v>
      </c>
      <c r="N22" s="396">
        <v>113100</v>
      </c>
      <c r="O22" s="396" t="s">
        <v>52</v>
      </c>
    </row>
    <row r="23" spans="4:15" ht="18" customHeight="1">
      <c r="D23" s="417">
        <v>111763</v>
      </c>
      <c r="E23" s="418" t="s">
        <v>30</v>
      </c>
      <c r="F23" s="419">
        <f t="shared" si="0"/>
        <v>0</v>
      </c>
      <c r="G23" s="420">
        <v>0</v>
      </c>
      <c r="H23" s="420">
        <v>0</v>
      </c>
      <c r="I23" s="421">
        <v>0</v>
      </c>
      <c r="K23" s="427" t="s">
        <v>2104</v>
      </c>
      <c r="L23" s="424" t="s">
        <v>2098</v>
      </c>
      <c r="M23" s="425"/>
      <c r="N23" s="396">
        <v>113310</v>
      </c>
      <c r="O23" s="396" t="s">
        <v>37</v>
      </c>
    </row>
    <row r="24" spans="4:15" ht="18" customHeight="1">
      <c r="D24" s="417">
        <v>111910</v>
      </c>
      <c r="E24" s="418" t="s">
        <v>31</v>
      </c>
      <c r="F24" s="419">
        <f t="shared" si="0"/>
        <v>0</v>
      </c>
      <c r="G24" s="420">
        <v>0</v>
      </c>
      <c r="H24" s="420">
        <v>0</v>
      </c>
      <c r="I24" s="421">
        <v>0</v>
      </c>
      <c r="K24" s="422" t="s">
        <v>2105</v>
      </c>
      <c r="L24" s="415"/>
      <c r="M24" s="416">
        <v>0</v>
      </c>
      <c r="N24" s="396"/>
      <c r="O24" s="396"/>
    </row>
    <row r="25" spans="4:15" ht="18" customHeight="1">
      <c r="D25" s="417" t="s">
        <v>1688</v>
      </c>
      <c r="E25" s="418" t="s">
        <v>2106</v>
      </c>
      <c r="F25" s="419">
        <f t="shared" si="0"/>
        <v>0</v>
      </c>
      <c r="G25" s="420">
        <v>0</v>
      </c>
      <c r="H25" s="420">
        <v>0</v>
      </c>
      <c r="I25" s="421">
        <v>0</v>
      </c>
      <c r="K25" s="423" t="s">
        <v>45</v>
      </c>
      <c r="L25" s="424" t="s">
        <v>2107</v>
      </c>
      <c r="M25" s="425">
        <v>0</v>
      </c>
      <c r="N25" s="396"/>
      <c r="O25" s="396"/>
    </row>
    <row r="26" spans="4:15" ht="18" customHeight="1">
      <c r="D26" s="417">
        <v>112111</v>
      </c>
      <c r="E26" s="418" t="s">
        <v>32</v>
      </c>
      <c r="F26" s="419">
        <f t="shared" si="0"/>
        <v>0</v>
      </c>
      <c r="G26" s="420">
        <v>0</v>
      </c>
      <c r="H26" s="420">
        <v>0</v>
      </c>
      <c r="I26" s="421">
        <v>0</v>
      </c>
      <c r="K26" s="423" t="s">
        <v>2108</v>
      </c>
      <c r="L26" s="424" t="s">
        <v>2107</v>
      </c>
      <c r="M26" s="425">
        <v>0</v>
      </c>
      <c r="N26" s="396"/>
      <c r="O26" s="396"/>
    </row>
    <row r="27" spans="4:15" ht="18" customHeight="1">
      <c r="D27" s="417">
        <v>112113</v>
      </c>
      <c r="E27" s="418" t="s">
        <v>33</v>
      </c>
      <c r="F27" s="419">
        <f t="shared" si="0"/>
        <v>0</v>
      </c>
      <c r="G27" s="420">
        <v>0</v>
      </c>
      <c r="H27" s="420">
        <v>0</v>
      </c>
      <c r="I27" s="421">
        <v>0</v>
      </c>
      <c r="K27" s="423" t="s">
        <v>49</v>
      </c>
      <c r="L27" s="424" t="s">
        <v>2107</v>
      </c>
      <c r="M27" s="425">
        <v>0</v>
      </c>
      <c r="N27" s="396"/>
      <c r="O27" s="396"/>
    </row>
    <row r="28" spans="4:15" ht="18" customHeight="1">
      <c r="D28" s="417">
        <v>112115</v>
      </c>
      <c r="E28" s="418" t="s">
        <v>34</v>
      </c>
      <c r="F28" s="419">
        <f t="shared" si="0"/>
        <v>0</v>
      </c>
      <c r="G28" s="420">
        <v>0</v>
      </c>
      <c r="H28" s="420">
        <v>0</v>
      </c>
      <c r="I28" s="421">
        <v>0</v>
      </c>
      <c r="K28" s="423" t="s">
        <v>2109</v>
      </c>
      <c r="L28" s="424" t="s">
        <v>2107</v>
      </c>
      <c r="M28" s="425">
        <v>0</v>
      </c>
      <c r="N28" s="396"/>
      <c r="O28" s="396"/>
    </row>
    <row r="29" spans="4:15" ht="18" customHeight="1">
      <c r="D29" s="417">
        <v>112116</v>
      </c>
      <c r="E29" s="418" t="s">
        <v>35</v>
      </c>
      <c r="F29" s="419">
        <f t="shared" si="0"/>
        <v>0</v>
      </c>
      <c r="G29" s="420">
        <v>0</v>
      </c>
      <c r="H29" s="420">
        <v>0</v>
      </c>
      <c r="I29" s="421">
        <v>0</v>
      </c>
      <c r="K29" s="423" t="s">
        <v>47</v>
      </c>
      <c r="L29" s="424" t="s">
        <v>2107</v>
      </c>
      <c r="M29" s="425">
        <v>0</v>
      </c>
      <c r="N29" s="396"/>
      <c r="O29" s="396"/>
    </row>
    <row r="30" spans="4:15" ht="18" customHeight="1">
      <c r="D30" s="417">
        <v>112300</v>
      </c>
      <c r="E30" s="418" t="s">
        <v>36</v>
      </c>
      <c r="F30" s="419">
        <f t="shared" si="0"/>
        <v>0</v>
      </c>
      <c r="G30" s="420">
        <v>0</v>
      </c>
      <c r="H30" s="420">
        <v>0</v>
      </c>
      <c r="I30" s="421">
        <v>0</v>
      </c>
      <c r="K30" s="414" t="s">
        <v>2110</v>
      </c>
      <c r="L30" s="415"/>
      <c r="M30" s="416">
        <v>20000000</v>
      </c>
      <c r="N30" s="396"/>
      <c r="O30" s="396"/>
    </row>
    <row r="31" spans="4:15" ht="18" customHeight="1">
      <c r="D31" s="417">
        <v>113310</v>
      </c>
      <c r="E31" s="418" t="s">
        <v>37</v>
      </c>
      <c r="F31" s="419">
        <f t="shared" si="0"/>
        <v>0</v>
      </c>
      <c r="G31" s="420">
        <v>0</v>
      </c>
      <c r="H31" s="420">
        <v>0</v>
      </c>
      <c r="I31" s="421">
        <v>0</v>
      </c>
      <c r="K31" s="422" t="s">
        <v>2111</v>
      </c>
      <c r="L31" s="415"/>
      <c r="M31" s="416">
        <v>0</v>
      </c>
      <c r="N31" s="396"/>
      <c r="O31" s="396"/>
    </row>
    <row r="32" spans="4:15" ht="18" customHeight="1">
      <c r="D32" s="426"/>
      <c r="E32" s="261" t="s">
        <v>38</v>
      </c>
      <c r="F32" s="411">
        <f>SUM(F33:F36)</f>
        <v>0</v>
      </c>
      <c r="G32" s="412">
        <f>SUM(G33:G36)</f>
        <v>0</v>
      </c>
      <c r="H32" s="412">
        <f>SUM(H33:H36)</f>
        <v>0</v>
      </c>
      <c r="I32" s="413">
        <f>SUM(I33:I36)</f>
        <v>0</v>
      </c>
      <c r="K32" s="423" t="s">
        <v>2112</v>
      </c>
      <c r="L32" s="424" t="s">
        <v>2113</v>
      </c>
      <c r="M32" s="425">
        <v>0</v>
      </c>
      <c r="N32" s="396"/>
      <c r="O32" s="396"/>
    </row>
    <row r="33" spans="4:15" ht="18" customHeight="1">
      <c r="D33" s="417">
        <v>111391</v>
      </c>
      <c r="E33" s="418" t="s">
        <v>39</v>
      </c>
      <c r="F33" s="419">
        <f>SUMIF(N:N,D33,M:M)</f>
        <v>0</v>
      </c>
      <c r="G33" s="420">
        <v>0</v>
      </c>
      <c r="H33" s="420">
        <v>0</v>
      </c>
      <c r="I33" s="421">
        <v>0</v>
      </c>
      <c r="K33" s="423"/>
      <c r="L33" s="424"/>
      <c r="M33" s="425"/>
      <c r="N33" s="396"/>
      <c r="O33" s="396"/>
    </row>
    <row r="34" spans="4:15" ht="18" customHeight="1">
      <c r="D34" s="417">
        <v>111410</v>
      </c>
      <c r="E34" s="418" t="s">
        <v>40</v>
      </c>
      <c r="F34" s="419">
        <f>SUMIF(N:N,D34,M:M)</f>
        <v>0</v>
      </c>
      <c r="G34" s="420">
        <v>0</v>
      </c>
      <c r="H34" s="420">
        <v>0</v>
      </c>
      <c r="I34" s="421">
        <v>0</v>
      </c>
      <c r="K34" s="422" t="s">
        <v>2114</v>
      </c>
      <c r="L34" s="415"/>
      <c r="M34" s="416">
        <v>0</v>
      </c>
      <c r="N34" s="396"/>
      <c r="O34" s="396"/>
    </row>
    <row r="35" spans="4:15" ht="18" customHeight="1">
      <c r="D35" s="417" t="s">
        <v>219</v>
      </c>
      <c r="E35" s="418" t="s">
        <v>41</v>
      </c>
      <c r="F35" s="419">
        <f>SUMIF(N:N,D35,M:M)</f>
        <v>0</v>
      </c>
      <c r="G35" s="420">
        <v>0</v>
      </c>
      <c r="H35" s="420">
        <v>0</v>
      </c>
      <c r="I35" s="421">
        <v>0</v>
      </c>
      <c r="K35" s="423" t="s">
        <v>2115</v>
      </c>
      <c r="L35" s="424" t="s">
        <v>2116</v>
      </c>
      <c r="M35" s="425">
        <v>0</v>
      </c>
      <c r="N35" s="396"/>
      <c r="O35" s="396"/>
    </row>
    <row r="36" spans="4:15" ht="18" customHeight="1">
      <c r="D36" s="417" t="s">
        <v>220</v>
      </c>
      <c r="E36" s="418" t="s">
        <v>42</v>
      </c>
      <c r="F36" s="419">
        <f>SUMIF(N:N,D36,M:M)</f>
        <v>0</v>
      </c>
      <c r="G36" s="420">
        <v>0</v>
      </c>
      <c r="H36" s="420">
        <v>0</v>
      </c>
      <c r="I36" s="421">
        <v>0</v>
      </c>
      <c r="K36" s="423" t="s">
        <v>2117</v>
      </c>
      <c r="L36" s="424" t="s">
        <v>2116</v>
      </c>
      <c r="M36" s="425">
        <v>0</v>
      </c>
      <c r="N36" s="396"/>
      <c r="O36" s="396"/>
    </row>
    <row r="37" spans="4:15" ht="18" customHeight="1">
      <c r="D37" s="426"/>
      <c r="E37" s="261" t="s">
        <v>2</v>
      </c>
      <c r="F37" s="411">
        <f>SUM(F38:F46)</f>
        <v>0</v>
      </c>
      <c r="G37" s="412">
        <f>SUM(G38:G46)</f>
        <v>0</v>
      </c>
      <c r="H37" s="412">
        <f>SUM(H38:H46)</f>
        <v>0</v>
      </c>
      <c r="I37" s="413">
        <f>SUM(I38:I46)</f>
        <v>0</v>
      </c>
      <c r="K37" s="423" t="s">
        <v>2118</v>
      </c>
      <c r="L37" s="424" t="s">
        <v>2116</v>
      </c>
      <c r="M37" s="425">
        <v>0</v>
      </c>
      <c r="N37" s="396"/>
      <c r="O37" s="396"/>
    </row>
    <row r="38" spans="4:15" ht="18" customHeight="1">
      <c r="D38" s="417">
        <v>115100</v>
      </c>
      <c r="E38" s="418" t="s">
        <v>43</v>
      </c>
      <c r="F38" s="419">
        <f t="shared" ref="F38:F46" si="1">SUMIF(N:N,D38,M:M)</f>
        <v>0</v>
      </c>
      <c r="G38" s="420">
        <v>0</v>
      </c>
      <c r="H38" s="420">
        <v>0</v>
      </c>
      <c r="I38" s="421">
        <v>0</v>
      </c>
      <c r="K38" s="423" t="s">
        <v>2119</v>
      </c>
      <c r="L38" s="424" t="s">
        <v>2116</v>
      </c>
      <c r="M38" s="425">
        <v>0</v>
      </c>
      <c r="N38" s="396"/>
      <c r="O38" s="396"/>
    </row>
    <row r="39" spans="4:15" ht="18" customHeight="1">
      <c r="D39" s="417">
        <v>115170</v>
      </c>
      <c r="E39" s="418" t="s">
        <v>44</v>
      </c>
      <c r="F39" s="419">
        <f t="shared" si="1"/>
        <v>0</v>
      </c>
      <c r="G39" s="420">
        <v>0</v>
      </c>
      <c r="H39" s="420">
        <v>0</v>
      </c>
      <c r="I39" s="421">
        <v>0</v>
      </c>
      <c r="K39" s="423" t="s">
        <v>2120</v>
      </c>
      <c r="L39" s="424"/>
      <c r="M39" s="425">
        <v>0</v>
      </c>
      <c r="N39" s="396"/>
      <c r="O39" s="396"/>
    </row>
    <row r="40" spans="4:15" ht="18" customHeight="1">
      <c r="D40" s="417">
        <v>115200</v>
      </c>
      <c r="E40" s="418" t="s">
        <v>45</v>
      </c>
      <c r="F40" s="419">
        <f t="shared" si="1"/>
        <v>0</v>
      </c>
      <c r="G40" s="420">
        <v>0</v>
      </c>
      <c r="H40" s="420">
        <v>0</v>
      </c>
      <c r="I40" s="421">
        <v>0</v>
      </c>
      <c r="K40" s="423" t="s">
        <v>84</v>
      </c>
      <c r="L40" s="424" t="s">
        <v>2116</v>
      </c>
      <c r="M40" s="425">
        <v>0</v>
      </c>
      <c r="N40" s="396"/>
      <c r="O40" s="396"/>
    </row>
    <row r="41" spans="4:15" ht="18" customHeight="1">
      <c r="D41" s="417">
        <v>115270</v>
      </c>
      <c r="E41" s="418" t="s">
        <v>46</v>
      </c>
      <c r="F41" s="419">
        <f t="shared" si="1"/>
        <v>0</v>
      </c>
      <c r="G41" s="420">
        <v>0</v>
      </c>
      <c r="H41" s="420">
        <v>0</v>
      </c>
      <c r="I41" s="421">
        <v>0</v>
      </c>
      <c r="K41" s="423" t="s">
        <v>2121</v>
      </c>
      <c r="L41" s="424" t="s">
        <v>2116</v>
      </c>
      <c r="M41" s="425">
        <v>0</v>
      </c>
      <c r="N41" s="396"/>
      <c r="O41" s="396"/>
    </row>
    <row r="42" spans="4:15" ht="18" customHeight="1">
      <c r="D42" s="417">
        <v>115300</v>
      </c>
      <c r="E42" s="418" t="s">
        <v>47</v>
      </c>
      <c r="F42" s="419">
        <f t="shared" si="1"/>
        <v>0</v>
      </c>
      <c r="G42" s="420">
        <v>0</v>
      </c>
      <c r="H42" s="420">
        <v>0</v>
      </c>
      <c r="I42" s="421">
        <v>0</v>
      </c>
      <c r="K42" s="423" t="s">
        <v>2122</v>
      </c>
      <c r="L42" s="424"/>
      <c r="M42" s="425">
        <v>0</v>
      </c>
      <c r="N42" s="396"/>
      <c r="O42" s="396"/>
    </row>
    <row r="43" spans="4:15" ht="18" customHeight="1">
      <c r="D43" s="417">
        <v>115350</v>
      </c>
      <c r="E43" s="418" t="s">
        <v>48</v>
      </c>
      <c r="F43" s="419">
        <f t="shared" si="1"/>
        <v>0</v>
      </c>
      <c r="G43" s="420">
        <v>0</v>
      </c>
      <c r="H43" s="420">
        <v>0</v>
      </c>
      <c r="I43" s="421">
        <v>0</v>
      </c>
      <c r="K43" s="423" t="s">
        <v>86</v>
      </c>
      <c r="L43" s="424" t="s">
        <v>2116</v>
      </c>
      <c r="M43" s="425">
        <v>0</v>
      </c>
      <c r="N43" s="396"/>
      <c r="O43" s="396"/>
    </row>
    <row r="44" spans="4:15" ht="18" customHeight="1">
      <c r="D44" s="417">
        <v>115400</v>
      </c>
      <c r="E44" s="418" t="s">
        <v>49</v>
      </c>
      <c r="F44" s="419">
        <f t="shared" si="1"/>
        <v>0</v>
      </c>
      <c r="G44" s="420">
        <v>0</v>
      </c>
      <c r="H44" s="420">
        <v>0</v>
      </c>
      <c r="I44" s="421">
        <v>0</v>
      </c>
      <c r="K44" s="423" t="s">
        <v>2123</v>
      </c>
      <c r="L44" s="424" t="s">
        <v>2116</v>
      </c>
      <c r="M44" s="425">
        <v>0</v>
      </c>
      <c r="N44" s="396"/>
      <c r="O44" s="396"/>
    </row>
    <row r="45" spans="4:15" ht="18" customHeight="1">
      <c r="D45" s="417">
        <v>115470</v>
      </c>
      <c r="E45" s="418" t="s">
        <v>50</v>
      </c>
      <c r="F45" s="419">
        <f t="shared" si="1"/>
        <v>0</v>
      </c>
      <c r="G45" s="420">
        <v>0</v>
      </c>
      <c r="H45" s="420">
        <v>0</v>
      </c>
      <c r="I45" s="421">
        <v>0</v>
      </c>
      <c r="K45" s="423" t="s">
        <v>95</v>
      </c>
      <c r="L45" s="424" t="s">
        <v>2116</v>
      </c>
      <c r="M45" s="425">
        <v>0</v>
      </c>
      <c r="N45" s="396"/>
      <c r="O45" s="396"/>
    </row>
    <row r="46" spans="4:15" ht="18" customHeight="1">
      <c r="D46" s="417">
        <v>115800</v>
      </c>
      <c r="E46" s="418" t="s">
        <v>51</v>
      </c>
      <c r="F46" s="419">
        <f t="shared" si="1"/>
        <v>0</v>
      </c>
      <c r="G46" s="420">
        <v>0</v>
      </c>
      <c r="H46" s="420">
        <v>0</v>
      </c>
      <c r="I46" s="421">
        <v>0</v>
      </c>
      <c r="K46" s="423" t="s">
        <v>2124</v>
      </c>
      <c r="L46" s="424" t="s">
        <v>2116</v>
      </c>
      <c r="M46" s="425">
        <v>0</v>
      </c>
      <c r="N46" s="396"/>
      <c r="O46" s="396"/>
    </row>
    <row r="47" spans="4:15" ht="18" customHeight="1">
      <c r="D47" s="426"/>
      <c r="E47" s="261" t="s">
        <v>3</v>
      </c>
      <c r="F47" s="411">
        <f>SUM(F48:F51)</f>
        <v>0</v>
      </c>
      <c r="G47" s="412">
        <f>SUM(G48:G51)</f>
        <v>0</v>
      </c>
      <c r="H47" s="412">
        <f>SUM(H48:H51)</f>
        <v>0</v>
      </c>
      <c r="I47" s="413">
        <f>SUM(I48:I51)</f>
        <v>0</v>
      </c>
      <c r="K47" s="427" t="s">
        <v>2125</v>
      </c>
      <c r="L47" s="424" t="s">
        <v>2116</v>
      </c>
      <c r="M47" s="425">
        <v>0</v>
      </c>
      <c r="N47" s="396"/>
      <c r="O47" s="396"/>
    </row>
    <row r="48" spans="4:15" ht="18" customHeight="1">
      <c r="D48" s="417">
        <v>113100</v>
      </c>
      <c r="E48" s="418" t="s">
        <v>52</v>
      </c>
      <c r="F48" s="419">
        <f>SUMIF(N:N,D48,M:M)</f>
        <v>0</v>
      </c>
      <c r="G48" s="420">
        <v>0</v>
      </c>
      <c r="H48" s="420">
        <v>0</v>
      </c>
      <c r="I48" s="421">
        <v>0</v>
      </c>
      <c r="K48" s="427" t="s">
        <v>2126</v>
      </c>
      <c r="L48" s="424" t="s">
        <v>2116</v>
      </c>
      <c r="M48" s="425">
        <v>0</v>
      </c>
      <c r="N48" s="396"/>
      <c r="O48" s="396"/>
    </row>
    <row r="49" spans="4:15" ht="18" customHeight="1">
      <c r="D49" s="417">
        <v>113101</v>
      </c>
      <c r="E49" s="418" t="s">
        <v>53</v>
      </c>
      <c r="F49" s="419">
        <f>SUMIF(N:N,D49,M:M)</f>
        <v>0</v>
      </c>
      <c r="G49" s="420">
        <v>0</v>
      </c>
      <c r="H49" s="420">
        <v>0</v>
      </c>
      <c r="I49" s="421">
        <v>0</v>
      </c>
      <c r="K49" s="423" t="s">
        <v>2127</v>
      </c>
      <c r="L49" s="424" t="s">
        <v>2116</v>
      </c>
      <c r="M49" s="425">
        <v>0</v>
      </c>
      <c r="N49" s="396"/>
      <c r="O49" s="396"/>
    </row>
    <row r="50" spans="4:15" ht="18" customHeight="1">
      <c r="D50" s="417">
        <v>113160</v>
      </c>
      <c r="E50" s="418" t="s">
        <v>54</v>
      </c>
      <c r="F50" s="419">
        <f>SUMIF(N:N,D50,M:M)</f>
        <v>0</v>
      </c>
      <c r="G50" s="420">
        <v>0</v>
      </c>
      <c r="H50" s="420">
        <v>0</v>
      </c>
      <c r="I50" s="421">
        <v>0</v>
      </c>
      <c r="K50" s="423"/>
      <c r="L50" s="424"/>
      <c r="M50" s="425"/>
      <c r="N50" s="396"/>
      <c r="O50" s="396"/>
    </row>
    <row r="51" spans="4:15" ht="18" customHeight="1">
      <c r="D51" s="417">
        <v>113161</v>
      </c>
      <c r="E51" s="418" t="s">
        <v>55</v>
      </c>
      <c r="F51" s="419">
        <f>SUMIF(N:N,D51,M:M)</f>
        <v>0</v>
      </c>
      <c r="G51" s="420">
        <v>0</v>
      </c>
      <c r="H51" s="420">
        <v>0</v>
      </c>
      <c r="I51" s="421">
        <v>0</v>
      </c>
      <c r="K51" s="422" t="s">
        <v>2128</v>
      </c>
      <c r="L51" s="415"/>
      <c r="M51" s="416">
        <v>0</v>
      </c>
      <c r="N51" s="396"/>
      <c r="O51" s="396"/>
    </row>
    <row r="52" spans="4:15" ht="18" customHeight="1">
      <c r="D52" s="426"/>
      <c r="E52" s="261" t="s">
        <v>4</v>
      </c>
      <c r="F52" s="411">
        <f>SUM(F53:F65)</f>
        <v>7493000</v>
      </c>
      <c r="G52" s="412">
        <f>SUM(G53:G65)</f>
        <v>0</v>
      </c>
      <c r="H52" s="412">
        <f>SUM(H53:H65)</f>
        <v>7493000</v>
      </c>
      <c r="I52" s="413">
        <f>SUM(I53:I65)</f>
        <v>7493000</v>
      </c>
      <c r="K52" s="423" t="s">
        <v>2129</v>
      </c>
      <c r="L52" s="424" t="s">
        <v>6</v>
      </c>
      <c r="M52" s="425">
        <v>0</v>
      </c>
      <c r="N52" s="396"/>
      <c r="O52" s="396"/>
    </row>
    <row r="53" spans="4:15" ht="18" customHeight="1">
      <c r="D53" s="417">
        <v>112710</v>
      </c>
      <c r="E53" s="418" t="s">
        <v>56</v>
      </c>
      <c r="F53" s="419">
        <f t="shared" ref="F53:F65" si="2">SUMIF(N:N,D53,M:M)</f>
        <v>0</v>
      </c>
      <c r="G53" s="420">
        <v>0</v>
      </c>
      <c r="H53" s="420">
        <v>0</v>
      </c>
      <c r="I53" s="421">
        <v>0</v>
      </c>
      <c r="K53" s="423" t="s">
        <v>2130</v>
      </c>
      <c r="L53" s="424" t="s">
        <v>6</v>
      </c>
      <c r="M53" s="425">
        <v>0</v>
      </c>
      <c r="N53" s="396"/>
      <c r="O53" s="396"/>
    </row>
    <row r="54" spans="4:15" ht="18" customHeight="1">
      <c r="D54" s="417">
        <v>112720</v>
      </c>
      <c r="E54" s="418" t="s">
        <v>57</v>
      </c>
      <c r="F54" s="419">
        <f t="shared" si="2"/>
        <v>0</v>
      </c>
      <c r="G54" s="420">
        <v>0</v>
      </c>
      <c r="H54" s="420">
        <v>0</v>
      </c>
      <c r="I54" s="421">
        <v>0</v>
      </c>
      <c r="K54" s="423" t="s">
        <v>2131</v>
      </c>
      <c r="L54" s="424" t="s">
        <v>6</v>
      </c>
      <c r="M54" s="425">
        <v>0</v>
      </c>
      <c r="N54" s="396"/>
      <c r="O54" s="396"/>
    </row>
    <row r="55" spans="4:15" ht="18" customHeight="1">
      <c r="D55" s="417">
        <v>112730</v>
      </c>
      <c r="E55" s="418" t="s">
        <v>58</v>
      </c>
      <c r="F55" s="419">
        <f t="shared" si="2"/>
        <v>0</v>
      </c>
      <c r="G55" s="420">
        <v>0</v>
      </c>
      <c r="H55" s="420">
        <v>0</v>
      </c>
      <c r="I55" s="421">
        <v>0</v>
      </c>
      <c r="K55" s="423" t="s">
        <v>2132</v>
      </c>
      <c r="L55" s="424" t="s">
        <v>2133</v>
      </c>
      <c r="M55" s="425">
        <v>0</v>
      </c>
      <c r="N55" s="396"/>
      <c r="O55" s="396"/>
    </row>
    <row r="56" spans="4:15" ht="18" customHeight="1">
      <c r="D56" s="417">
        <v>113340</v>
      </c>
      <c r="E56" s="418" t="s">
        <v>59</v>
      </c>
      <c r="F56" s="419">
        <f t="shared" si="2"/>
        <v>0</v>
      </c>
      <c r="G56" s="420">
        <v>0</v>
      </c>
      <c r="H56" s="420">
        <v>0</v>
      </c>
      <c r="I56" s="421">
        <v>0</v>
      </c>
      <c r="K56" s="423"/>
      <c r="L56" s="424"/>
      <c r="M56" s="425"/>
      <c r="N56" s="396"/>
      <c r="O56" s="396"/>
    </row>
    <row r="57" spans="4:15" ht="18" customHeight="1">
      <c r="D57" s="417">
        <v>112511</v>
      </c>
      <c r="E57" s="418" t="s">
        <v>60</v>
      </c>
      <c r="F57" s="419">
        <f t="shared" si="2"/>
        <v>7493000</v>
      </c>
      <c r="G57" s="420">
        <v>0</v>
      </c>
      <c r="H57" s="420">
        <v>7493000</v>
      </c>
      <c r="I57" s="421">
        <v>7493000</v>
      </c>
      <c r="K57" s="422" t="s">
        <v>2134</v>
      </c>
      <c r="L57" s="415"/>
      <c r="M57" s="416">
        <v>20000000</v>
      </c>
      <c r="N57" s="396"/>
      <c r="O57" s="396"/>
    </row>
    <row r="58" spans="4:15" ht="18" customHeight="1">
      <c r="D58" s="417">
        <v>112521</v>
      </c>
      <c r="E58" s="418" t="s">
        <v>61</v>
      </c>
      <c r="F58" s="419">
        <f t="shared" si="2"/>
        <v>0</v>
      </c>
      <c r="G58" s="420">
        <v>0</v>
      </c>
      <c r="H58" s="420">
        <v>0</v>
      </c>
      <c r="I58" s="421">
        <v>0</v>
      </c>
      <c r="K58" s="423" t="s">
        <v>2135</v>
      </c>
      <c r="L58" s="424" t="s">
        <v>2136</v>
      </c>
      <c r="M58" s="425">
        <v>20000000</v>
      </c>
      <c r="N58" s="396">
        <v>121531</v>
      </c>
      <c r="O58" s="396" t="s">
        <v>75</v>
      </c>
    </row>
    <row r="59" spans="4:15" ht="18" customHeight="1">
      <c r="D59" s="417">
        <v>112522</v>
      </c>
      <c r="E59" s="418" t="s">
        <v>62</v>
      </c>
      <c r="F59" s="419">
        <f t="shared" si="2"/>
        <v>0</v>
      </c>
      <c r="G59" s="420">
        <v>0</v>
      </c>
      <c r="H59" s="420">
        <v>0</v>
      </c>
      <c r="I59" s="421">
        <v>0</v>
      </c>
      <c r="K59" s="423" t="s">
        <v>2137</v>
      </c>
      <c r="L59" s="424" t="s">
        <v>2137</v>
      </c>
      <c r="M59" s="425">
        <v>0</v>
      </c>
      <c r="N59" s="396"/>
      <c r="O59" s="396"/>
    </row>
    <row r="60" spans="4:15" ht="18" customHeight="1">
      <c r="D60" s="417">
        <v>112531</v>
      </c>
      <c r="E60" s="418" t="s">
        <v>63</v>
      </c>
      <c r="F60" s="419">
        <f t="shared" si="2"/>
        <v>0</v>
      </c>
      <c r="G60" s="420">
        <v>0</v>
      </c>
      <c r="H60" s="420">
        <v>0</v>
      </c>
      <c r="I60" s="421">
        <v>0</v>
      </c>
      <c r="K60" s="423" t="s">
        <v>2125</v>
      </c>
      <c r="L60" s="424" t="s">
        <v>2125</v>
      </c>
      <c r="M60" s="425">
        <v>0</v>
      </c>
      <c r="N60" s="396"/>
      <c r="O60" s="396"/>
    </row>
    <row r="61" spans="4:15" ht="18" customHeight="1">
      <c r="D61" s="417">
        <v>112533</v>
      </c>
      <c r="E61" s="418" t="s">
        <v>64</v>
      </c>
      <c r="F61" s="419">
        <f t="shared" si="2"/>
        <v>0</v>
      </c>
      <c r="G61" s="420">
        <v>0</v>
      </c>
      <c r="H61" s="420">
        <v>0</v>
      </c>
      <c r="I61" s="421">
        <v>0</v>
      </c>
      <c r="K61" s="423" t="s">
        <v>2138</v>
      </c>
      <c r="L61" s="424" t="s">
        <v>2113</v>
      </c>
      <c r="M61" s="425">
        <v>0</v>
      </c>
      <c r="N61" s="396"/>
      <c r="O61" s="396"/>
    </row>
    <row r="62" spans="4:15" ht="18" customHeight="1">
      <c r="D62" s="417">
        <v>112534</v>
      </c>
      <c r="E62" s="418" t="s">
        <v>65</v>
      </c>
      <c r="F62" s="419">
        <f t="shared" si="2"/>
        <v>0</v>
      </c>
      <c r="G62" s="420">
        <v>0</v>
      </c>
      <c r="H62" s="420">
        <v>0</v>
      </c>
      <c r="I62" s="421">
        <v>0</v>
      </c>
      <c r="K62" s="428" t="s">
        <v>2139</v>
      </c>
      <c r="L62" s="429"/>
      <c r="M62" s="430">
        <v>58675929</v>
      </c>
      <c r="N62" s="431"/>
      <c r="O62" s="431"/>
    </row>
    <row r="63" spans="4:15" ht="18" customHeight="1">
      <c r="D63" s="417">
        <v>112535</v>
      </c>
      <c r="E63" s="418" t="s">
        <v>66</v>
      </c>
      <c r="F63" s="419">
        <f t="shared" si="2"/>
        <v>0</v>
      </c>
      <c r="G63" s="420">
        <v>0</v>
      </c>
      <c r="H63" s="420">
        <v>0</v>
      </c>
      <c r="I63" s="421">
        <v>0</v>
      </c>
      <c r="K63" s="396"/>
      <c r="L63" s="424"/>
      <c r="M63" s="425"/>
      <c r="N63" s="396"/>
      <c r="O63" s="396"/>
    </row>
    <row r="64" spans="4:15" ht="18" customHeight="1">
      <c r="D64" s="417">
        <v>112900</v>
      </c>
      <c r="E64" s="418" t="s">
        <v>67</v>
      </c>
      <c r="F64" s="419">
        <f t="shared" si="2"/>
        <v>0</v>
      </c>
      <c r="G64" s="420">
        <v>0</v>
      </c>
      <c r="H64" s="420">
        <v>0</v>
      </c>
      <c r="I64" s="421">
        <v>0</v>
      </c>
      <c r="K64" s="407" t="s">
        <v>2140</v>
      </c>
      <c r="L64" s="424"/>
      <c r="M64" s="425"/>
      <c r="N64" s="396"/>
      <c r="O64" s="396"/>
    </row>
    <row r="65" spans="4:15" ht="18" customHeight="1">
      <c r="D65" s="417" t="s">
        <v>68</v>
      </c>
      <c r="E65" s="418" t="s">
        <v>69</v>
      </c>
      <c r="F65" s="419">
        <f t="shared" si="2"/>
        <v>0</v>
      </c>
      <c r="G65" s="420">
        <v>0</v>
      </c>
      <c r="H65" s="420">
        <v>0</v>
      </c>
      <c r="I65" s="421">
        <v>0</v>
      </c>
      <c r="K65" s="414" t="s">
        <v>1654</v>
      </c>
      <c r="L65" s="415"/>
      <c r="M65" s="416">
        <v>23206046</v>
      </c>
      <c r="N65" s="396"/>
      <c r="O65" s="396"/>
    </row>
    <row r="66" spans="4:15" ht="18" customHeight="1">
      <c r="D66" s="432"/>
      <c r="E66" s="260" t="s">
        <v>70</v>
      </c>
      <c r="F66" s="404">
        <f>SUM(F67,F72,F77,F80,F103,F124)</f>
        <v>20000000</v>
      </c>
      <c r="G66" s="405">
        <f>SUM(G67,G72,G77,G80,G103,G124)</f>
        <v>0</v>
      </c>
      <c r="H66" s="405">
        <f>SUM(H67,H72,H77,H80,H103,H124)</f>
        <v>20000000</v>
      </c>
      <c r="I66" s="406">
        <f>SUM(I67,I72,I77,I80,I103,I124)</f>
        <v>20000000</v>
      </c>
      <c r="K66" s="423" t="s">
        <v>651</v>
      </c>
      <c r="L66" s="424" t="s">
        <v>2141</v>
      </c>
      <c r="M66" s="425">
        <v>33957</v>
      </c>
      <c r="N66" s="396">
        <v>211111</v>
      </c>
      <c r="O66" s="396" t="s">
        <v>138</v>
      </c>
    </row>
    <row r="67" spans="4:15" ht="18" customHeight="1">
      <c r="D67" s="426"/>
      <c r="E67" s="261" t="s">
        <v>71</v>
      </c>
      <c r="F67" s="411">
        <f>SUM(F68:F71)</f>
        <v>20000000</v>
      </c>
      <c r="G67" s="412">
        <f>SUM(G68:G71)</f>
        <v>0</v>
      </c>
      <c r="H67" s="412">
        <f>SUM(H68:H71)</f>
        <v>20000000</v>
      </c>
      <c r="I67" s="413">
        <f>SUM(I68:I71)</f>
        <v>20000000</v>
      </c>
      <c r="K67" s="423" t="s">
        <v>653</v>
      </c>
      <c r="L67" s="424" t="s">
        <v>2142</v>
      </c>
      <c r="M67" s="425">
        <v>580200</v>
      </c>
      <c r="N67" s="396">
        <v>213100</v>
      </c>
      <c r="O67" s="396" t="s">
        <v>144</v>
      </c>
    </row>
    <row r="68" spans="4:15" ht="18" customHeight="1">
      <c r="D68" s="417">
        <v>121551</v>
      </c>
      <c r="E68" s="418" t="s">
        <v>72</v>
      </c>
      <c r="F68" s="419">
        <f>SUMIF(N:N,D68,M:M)</f>
        <v>0</v>
      </c>
      <c r="G68" s="420">
        <v>0</v>
      </c>
      <c r="H68" s="420">
        <v>0</v>
      </c>
      <c r="I68" s="421">
        <v>0</v>
      </c>
      <c r="K68" s="423" t="s">
        <v>655</v>
      </c>
      <c r="L68" s="424" t="s">
        <v>2143</v>
      </c>
      <c r="M68" s="425">
        <v>692280</v>
      </c>
      <c r="N68" s="396">
        <v>215900</v>
      </c>
      <c r="O68" s="396" t="s">
        <v>176</v>
      </c>
    </row>
    <row r="69" spans="4:15" ht="18" customHeight="1">
      <c r="D69" s="417">
        <v>121511</v>
      </c>
      <c r="E69" s="418" t="s">
        <v>73</v>
      </c>
      <c r="F69" s="419">
        <f>SUMIF(N:N,D69,M:M)</f>
        <v>0</v>
      </c>
      <c r="G69" s="420">
        <v>0</v>
      </c>
      <c r="H69" s="420">
        <v>0</v>
      </c>
      <c r="I69" s="421">
        <v>0</v>
      </c>
      <c r="K69" s="423" t="s">
        <v>179</v>
      </c>
      <c r="L69" s="424" t="s">
        <v>2143</v>
      </c>
      <c r="M69" s="425">
        <v>6355995</v>
      </c>
      <c r="N69" s="396">
        <v>219000</v>
      </c>
      <c r="O69" s="396" t="s">
        <v>179</v>
      </c>
    </row>
    <row r="70" spans="4:15" ht="18" customHeight="1">
      <c r="D70" s="417">
        <v>121532</v>
      </c>
      <c r="E70" s="418" t="s">
        <v>74</v>
      </c>
      <c r="F70" s="419">
        <f>SUMIF(N:N,D70,M:M)</f>
        <v>0</v>
      </c>
      <c r="G70" s="420">
        <v>0</v>
      </c>
      <c r="H70" s="420">
        <v>0</v>
      </c>
      <c r="I70" s="421">
        <v>0</v>
      </c>
      <c r="K70" s="423" t="s">
        <v>2144</v>
      </c>
      <c r="L70" s="424" t="s">
        <v>2143</v>
      </c>
      <c r="M70" s="425">
        <v>4118990</v>
      </c>
      <c r="N70" s="396">
        <v>214100</v>
      </c>
      <c r="O70" s="396" t="s">
        <v>163</v>
      </c>
    </row>
    <row r="71" spans="4:15" ht="18" customHeight="1">
      <c r="D71" s="417">
        <v>121531</v>
      </c>
      <c r="E71" s="418" t="s">
        <v>75</v>
      </c>
      <c r="F71" s="419">
        <f>SUMIF(N:N,D71,M:M)</f>
        <v>20000000</v>
      </c>
      <c r="G71" s="420">
        <v>0</v>
      </c>
      <c r="H71" s="420">
        <v>20000000</v>
      </c>
      <c r="I71" s="421">
        <v>20000000</v>
      </c>
      <c r="K71" s="423" t="s">
        <v>2145</v>
      </c>
      <c r="L71" s="424" t="s">
        <v>2143</v>
      </c>
      <c r="M71" s="425">
        <v>5580000</v>
      </c>
      <c r="N71" s="396">
        <v>214400</v>
      </c>
      <c r="O71" s="396" t="s">
        <v>168</v>
      </c>
    </row>
    <row r="72" spans="4:15" ht="18" customHeight="1">
      <c r="D72" s="426"/>
      <c r="E72" s="261" t="s">
        <v>76</v>
      </c>
      <c r="F72" s="411">
        <f>SUM(F73:F76)</f>
        <v>0</v>
      </c>
      <c r="G72" s="412">
        <f>SUM(G73:G76)</f>
        <v>0</v>
      </c>
      <c r="H72" s="412">
        <f>SUM(H73:H76)</f>
        <v>0</v>
      </c>
      <c r="I72" s="413">
        <f>SUM(I73:I76)</f>
        <v>0</v>
      </c>
      <c r="K72" s="423" t="s">
        <v>2146</v>
      </c>
      <c r="L72" s="424" t="s">
        <v>2147</v>
      </c>
      <c r="M72" s="425">
        <v>0</v>
      </c>
      <c r="N72" s="396">
        <v>212300</v>
      </c>
      <c r="O72" s="396" t="s">
        <v>157</v>
      </c>
    </row>
    <row r="73" spans="4:15" ht="18" customHeight="1">
      <c r="D73" s="417">
        <v>121410</v>
      </c>
      <c r="E73" s="418" t="s">
        <v>77</v>
      </c>
      <c r="F73" s="419">
        <f>SUMIF(N:N,D73,M:M)</f>
        <v>0</v>
      </c>
      <c r="G73" s="420">
        <v>0</v>
      </c>
      <c r="H73" s="420">
        <v>0</v>
      </c>
      <c r="I73" s="421">
        <v>0</v>
      </c>
      <c r="K73" s="423" t="s">
        <v>2148</v>
      </c>
      <c r="L73" s="424" t="s">
        <v>2147</v>
      </c>
      <c r="M73" s="425">
        <v>0</v>
      </c>
      <c r="N73" s="396"/>
      <c r="O73" s="396"/>
    </row>
    <row r="74" spans="4:15" ht="18" customHeight="1">
      <c r="D74" s="417" t="s">
        <v>221</v>
      </c>
      <c r="E74" s="418" t="s">
        <v>78</v>
      </c>
      <c r="F74" s="419">
        <f>SUMIF(N:N,D74,M:M)</f>
        <v>0</v>
      </c>
      <c r="G74" s="420">
        <v>0</v>
      </c>
      <c r="H74" s="420">
        <v>0</v>
      </c>
      <c r="I74" s="421">
        <v>0</v>
      </c>
      <c r="K74" s="423" t="s">
        <v>1645</v>
      </c>
      <c r="L74" s="424" t="s">
        <v>2149</v>
      </c>
      <c r="M74" s="425">
        <v>0</v>
      </c>
      <c r="N74" s="396"/>
      <c r="O74" s="396"/>
    </row>
    <row r="75" spans="4:15" ht="18" customHeight="1">
      <c r="D75" s="417" t="s">
        <v>222</v>
      </c>
      <c r="E75" s="418" t="s">
        <v>79</v>
      </c>
      <c r="F75" s="419">
        <f>SUMIF(N:N,D75,M:M)</f>
        <v>0</v>
      </c>
      <c r="G75" s="420">
        <v>0</v>
      </c>
      <c r="H75" s="420">
        <v>0</v>
      </c>
      <c r="I75" s="421">
        <v>0</v>
      </c>
      <c r="K75" s="423" t="s">
        <v>657</v>
      </c>
      <c r="L75" s="424" t="s">
        <v>2142</v>
      </c>
      <c r="M75" s="425">
        <v>3739624</v>
      </c>
      <c r="N75" s="396">
        <v>217900</v>
      </c>
      <c r="O75" s="396" t="s">
        <v>150</v>
      </c>
    </row>
    <row r="76" spans="4:15" ht="18" customHeight="1">
      <c r="D76" s="417" t="s">
        <v>223</v>
      </c>
      <c r="E76" s="418" t="s">
        <v>42</v>
      </c>
      <c r="F76" s="419">
        <f>SUMIF(N:N,D76,M:M)</f>
        <v>0</v>
      </c>
      <c r="G76" s="420">
        <v>0</v>
      </c>
      <c r="H76" s="420">
        <v>0</v>
      </c>
      <c r="I76" s="421">
        <v>0</v>
      </c>
      <c r="K76" s="423" t="s">
        <v>2150</v>
      </c>
      <c r="L76" s="424" t="s">
        <v>2142</v>
      </c>
      <c r="M76" s="425">
        <v>2105000</v>
      </c>
      <c r="N76" s="396">
        <v>212300</v>
      </c>
      <c r="O76" s="396" t="s">
        <v>157</v>
      </c>
    </row>
    <row r="77" spans="4:15" ht="18" customHeight="1">
      <c r="D77" s="426"/>
      <c r="E77" s="261" t="s">
        <v>80</v>
      </c>
      <c r="F77" s="411">
        <f>SUM(F78:F79)</f>
        <v>0</v>
      </c>
      <c r="G77" s="412">
        <f>SUM(G78:G79)</f>
        <v>0</v>
      </c>
      <c r="H77" s="412">
        <f>SUM(H78:H79)</f>
        <v>0</v>
      </c>
      <c r="I77" s="413">
        <f>SUM(I78:I79)</f>
        <v>0</v>
      </c>
      <c r="K77" s="423" t="s">
        <v>182</v>
      </c>
      <c r="L77" s="424" t="s">
        <v>2151</v>
      </c>
      <c r="M77" s="425">
        <v>0</v>
      </c>
      <c r="N77" s="396"/>
      <c r="O77" s="396"/>
    </row>
    <row r="78" spans="4:15" ht="18" customHeight="1">
      <c r="D78" s="417">
        <v>900019</v>
      </c>
      <c r="E78" s="418" t="s">
        <v>81</v>
      </c>
      <c r="F78" s="419">
        <f>SUMIF(N:N,D78,M:M)</f>
        <v>0</v>
      </c>
      <c r="G78" s="420">
        <v>0</v>
      </c>
      <c r="H78" s="420">
        <v>0</v>
      </c>
      <c r="I78" s="421">
        <v>0</v>
      </c>
      <c r="K78" s="423"/>
      <c r="L78" s="424"/>
      <c r="M78" s="425"/>
      <c r="N78" s="396"/>
      <c r="O78" s="396"/>
    </row>
    <row r="79" spans="4:15" ht="18" customHeight="1">
      <c r="D79" s="417" t="s">
        <v>82</v>
      </c>
      <c r="E79" s="418" t="s">
        <v>83</v>
      </c>
      <c r="F79" s="419">
        <f>SUMIF(N:N,D79,M:M)</f>
        <v>0</v>
      </c>
      <c r="G79" s="420">
        <v>0</v>
      </c>
      <c r="H79" s="420">
        <v>0</v>
      </c>
      <c r="I79" s="421">
        <v>0</v>
      </c>
      <c r="K79" s="414" t="s">
        <v>1657</v>
      </c>
      <c r="L79" s="415"/>
      <c r="M79" s="416">
        <v>0</v>
      </c>
      <c r="N79" s="396"/>
      <c r="O79" s="396"/>
    </row>
    <row r="80" spans="4:15" ht="18" customHeight="1">
      <c r="D80" s="426"/>
      <c r="E80" s="261" t="s">
        <v>5</v>
      </c>
      <c r="F80" s="411">
        <f>SUM(F81:F102)</f>
        <v>0</v>
      </c>
      <c r="G80" s="412">
        <f>SUM(G81:G102)</f>
        <v>0</v>
      </c>
      <c r="H80" s="412">
        <f>SUM(H81:H102)</f>
        <v>0</v>
      </c>
      <c r="I80" s="413">
        <f>SUM(I81:I102)</f>
        <v>0</v>
      </c>
      <c r="K80" s="423" t="s">
        <v>2152</v>
      </c>
      <c r="L80" s="424" t="s">
        <v>2153</v>
      </c>
      <c r="M80" s="425">
        <v>0</v>
      </c>
      <c r="N80" s="396"/>
      <c r="O80" s="396"/>
    </row>
    <row r="81" spans="4:15" ht="18" customHeight="1">
      <c r="D81" s="417">
        <v>123700</v>
      </c>
      <c r="E81" s="418" t="s">
        <v>84</v>
      </c>
      <c r="F81" s="419">
        <f t="shared" ref="F81:F102" si="3">SUMIF(N:N,D81,M:M)</f>
        <v>0</v>
      </c>
      <c r="G81" s="420">
        <v>0</v>
      </c>
      <c r="H81" s="420">
        <v>0</v>
      </c>
      <c r="I81" s="421">
        <v>0</v>
      </c>
      <c r="K81" s="423" t="s">
        <v>2154</v>
      </c>
      <c r="L81" s="424" t="s">
        <v>2153</v>
      </c>
      <c r="M81" s="425">
        <v>0</v>
      </c>
      <c r="N81" s="396"/>
      <c r="O81" s="396"/>
    </row>
    <row r="82" spans="4:15" ht="18" customHeight="1">
      <c r="D82" s="417">
        <v>123750</v>
      </c>
      <c r="E82" s="418" t="s">
        <v>85</v>
      </c>
      <c r="F82" s="419">
        <f t="shared" si="3"/>
        <v>0</v>
      </c>
      <c r="G82" s="420">
        <v>0</v>
      </c>
      <c r="H82" s="420">
        <v>0</v>
      </c>
      <c r="I82" s="421">
        <v>0</v>
      </c>
      <c r="K82" s="423" t="s">
        <v>2155</v>
      </c>
      <c r="L82" s="424" t="s">
        <v>2156</v>
      </c>
      <c r="M82" s="425">
        <v>0</v>
      </c>
      <c r="N82" s="396"/>
      <c r="O82" s="396"/>
    </row>
    <row r="83" spans="4:15" ht="18" customHeight="1">
      <c r="D83" s="417">
        <v>123900</v>
      </c>
      <c r="E83" s="418" t="s">
        <v>86</v>
      </c>
      <c r="F83" s="419">
        <f t="shared" si="3"/>
        <v>0</v>
      </c>
      <c r="G83" s="420">
        <v>0</v>
      </c>
      <c r="H83" s="420">
        <v>0</v>
      </c>
      <c r="I83" s="421">
        <v>0</v>
      </c>
      <c r="K83" s="423" t="s">
        <v>2157</v>
      </c>
      <c r="L83" s="424" t="s">
        <v>2156</v>
      </c>
      <c r="M83" s="425">
        <v>0</v>
      </c>
      <c r="N83" s="396"/>
      <c r="O83" s="396"/>
    </row>
    <row r="84" spans="4:15" ht="18" customHeight="1">
      <c r="D84" s="417">
        <v>123950</v>
      </c>
      <c r="E84" s="418" t="s">
        <v>87</v>
      </c>
      <c r="F84" s="419">
        <f t="shared" si="3"/>
        <v>0</v>
      </c>
      <c r="G84" s="420">
        <v>0</v>
      </c>
      <c r="H84" s="420">
        <v>0</v>
      </c>
      <c r="I84" s="421">
        <v>0</v>
      </c>
      <c r="K84" s="423" t="s">
        <v>2158</v>
      </c>
      <c r="L84" s="424" t="s">
        <v>2159</v>
      </c>
      <c r="M84" s="425">
        <v>0</v>
      </c>
      <c r="N84" s="396"/>
      <c r="O84" s="396"/>
    </row>
    <row r="85" spans="4:15" ht="18" customHeight="1">
      <c r="D85" s="417">
        <v>123960</v>
      </c>
      <c r="E85" s="418" t="s">
        <v>88</v>
      </c>
      <c r="F85" s="419">
        <f t="shared" si="3"/>
        <v>0</v>
      </c>
      <c r="G85" s="420">
        <v>0</v>
      </c>
      <c r="H85" s="420">
        <v>0</v>
      </c>
      <c r="I85" s="421">
        <v>0</v>
      </c>
      <c r="K85" s="423" t="s">
        <v>664</v>
      </c>
      <c r="L85" s="424" t="s">
        <v>2160</v>
      </c>
      <c r="M85" s="425">
        <v>0</v>
      </c>
      <c r="N85" s="396" t="s">
        <v>2161</v>
      </c>
      <c r="O85" s="396" t="s">
        <v>484</v>
      </c>
    </row>
    <row r="86" spans="4:15" ht="18" customHeight="1">
      <c r="D86" s="417">
        <v>124000</v>
      </c>
      <c r="E86" s="418" t="s">
        <v>89</v>
      </c>
      <c r="F86" s="419">
        <f t="shared" si="3"/>
        <v>0</v>
      </c>
      <c r="G86" s="420">
        <v>0</v>
      </c>
      <c r="H86" s="420">
        <v>0</v>
      </c>
      <c r="I86" s="421">
        <v>0</v>
      </c>
      <c r="K86" s="423" t="s">
        <v>189</v>
      </c>
      <c r="L86" s="424" t="s">
        <v>2151</v>
      </c>
      <c r="M86" s="425">
        <v>0</v>
      </c>
      <c r="N86" s="396"/>
      <c r="O86" s="396"/>
    </row>
    <row r="87" spans="4:15" ht="18" customHeight="1">
      <c r="D87" s="417">
        <v>124050</v>
      </c>
      <c r="E87" s="418" t="s">
        <v>90</v>
      </c>
      <c r="F87" s="419">
        <f t="shared" si="3"/>
        <v>0</v>
      </c>
      <c r="G87" s="420">
        <v>0</v>
      </c>
      <c r="H87" s="420">
        <v>0</v>
      </c>
      <c r="I87" s="421">
        <v>0</v>
      </c>
      <c r="K87" s="423"/>
      <c r="L87" s="424"/>
      <c r="M87" s="425"/>
      <c r="N87" s="396"/>
      <c r="O87" s="396"/>
    </row>
    <row r="88" spans="4:15" ht="18" customHeight="1">
      <c r="D88" s="417">
        <v>124160</v>
      </c>
      <c r="E88" s="418" t="s">
        <v>91</v>
      </c>
      <c r="F88" s="419">
        <f t="shared" si="3"/>
        <v>0</v>
      </c>
      <c r="G88" s="420">
        <v>0</v>
      </c>
      <c r="H88" s="420">
        <v>0</v>
      </c>
      <c r="I88" s="421">
        <v>0</v>
      </c>
      <c r="K88" s="428" t="s">
        <v>2162</v>
      </c>
      <c r="L88" s="429"/>
      <c r="M88" s="430">
        <v>23206046</v>
      </c>
      <c r="N88" s="407"/>
      <c r="O88" s="407"/>
    </row>
    <row r="89" spans="4:15" ht="18" customHeight="1">
      <c r="D89" s="417">
        <v>124200</v>
      </c>
      <c r="E89" s="418" t="s">
        <v>92</v>
      </c>
      <c r="F89" s="419">
        <f t="shared" si="3"/>
        <v>0</v>
      </c>
      <c r="G89" s="420">
        <v>0</v>
      </c>
      <c r="H89" s="420">
        <v>0</v>
      </c>
      <c r="I89" s="421">
        <v>0</v>
      </c>
      <c r="K89" s="407"/>
      <c r="L89" s="424"/>
      <c r="M89" s="425"/>
      <c r="N89" s="396"/>
      <c r="O89" s="396"/>
    </row>
    <row r="90" spans="4:15" ht="18" customHeight="1">
      <c r="D90" s="417">
        <v>124250</v>
      </c>
      <c r="E90" s="418" t="s">
        <v>93</v>
      </c>
      <c r="F90" s="419">
        <f t="shared" si="3"/>
        <v>0</v>
      </c>
      <c r="G90" s="420">
        <v>0</v>
      </c>
      <c r="H90" s="420">
        <v>0</v>
      </c>
      <c r="I90" s="421">
        <v>0</v>
      </c>
      <c r="K90" s="407" t="s">
        <v>2163</v>
      </c>
      <c r="L90" s="424"/>
      <c r="M90" s="425"/>
      <c r="N90" s="396"/>
      <c r="O90" s="396"/>
    </row>
    <row r="91" spans="4:15" ht="18" customHeight="1">
      <c r="D91" s="417">
        <v>124260</v>
      </c>
      <c r="E91" s="418" t="s">
        <v>94</v>
      </c>
      <c r="F91" s="419">
        <f t="shared" si="3"/>
        <v>0</v>
      </c>
      <c r="G91" s="420">
        <v>0</v>
      </c>
      <c r="H91" s="420">
        <v>0</v>
      </c>
      <c r="I91" s="421">
        <v>0</v>
      </c>
      <c r="K91" s="414" t="s">
        <v>2164</v>
      </c>
      <c r="L91" s="415"/>
      <c r="M91" s="416">
        <v>5000000</v>
      </c>
      <c r="N91" s="396"/>
      <c r="O91" s="396"/>
    </row>
    <row r="92" spans="4:15" ht="18" customHeight="1">
      <c r="D92" s="417">
        <v>124300</v>
      </c>
      <c r="E92" s="418" t="s">
        <v>95</v>
      </c>
      <c r="F92" s="419">
        <f t="shared" si="3"/>
        <v>0</v>
      </c>
      <c r="G92" s="420">
        <v>0</v>
      </c>
      <c r="H92" s="420">
        <v>0</v>
      </c>
      <c r="I92" s="421">
        <v>0</v>
      </c>
      <c r="J92" s="5"/>
      <c r="K92" s="423" t="s">
        <v>2165</v>
      </c>
      <c r="L92" s="424" t="s">
        <v>2166</v>
      </c>
      <c r="M92" s="425">
        <v>5000000</v>
      </c>
      <c r="N92" s="396">
        <v>310100</v>
      </c>
      <c r="O92" s="396" t="s">
        <v>190</v>
      </c>
    </row>
    <row r="93" spans="4:15" ht="18" customHeight="1">
      <c r="D93" s="417">
        <v>124350</v>
      </c>
      <c r="E93" s="418" t="s">
        <v>96</v>
      </c>
      <c r="F93" s="419">
        <f t="shared" si="3"/>
        <v>0</v>
      </c>
      <c r="G93" s="420">
        <v>0</v>
      </c>
      <c r="H93" s="420">
        <v>0</v>
      </c>
      <c r="I93" s="421">
        <v>0</v>
      </c>
      <c r="J93" s="5"/>
      <c r="K93" s="423"/>
      <c r="L93" s="424"/>
      <c r="M93" s="425"/>
      <c r="N93" s="396"/>
      <c r="O93" s="396"/>
    </row>
    <row r="94" spans="4:15" ht="18" customHeight="1">
      <c r="D94" s="417">
        <v>124360</v>
      </c>
      <c r="E94" s="418" t="s">
        <v>97</v>
      </c>
      <c r="F94" s="419">
        <f t="shared" si="3"/>
        <v>0</v>
      </c>
      <c r="G94" s="420">
        <v>0</v>
      </c>
      <c r="H94" s="420">
        <v>0</v>
      </c>
      <c r="I94" s="421">
        <v>0</v>
      </c>
      <c r="K94" s="414" t="s">
        <v>2167</v>
      </c>
      <c r="L94" s="424"/>
      <c r="M94" s="416">
        <v>0</v>
      </c>
      <c r="N94" s="396"/>
      <c r="O94" s="396"/>
    </row>
    <row r="95" spans="4:15" ht="18" customHeight="1">
      <c r="D95" s="417">
        <v>124400</v>
      </c>
      <c r="E95" s="418" t="s">
        <v>98</v>
      </c>
      <c r="F95" s="419">
        <f t="shared" si="3"/>
        <v>0</v>
      </c>
      <c r="G95" s="420">
        <v>0</v>
      </c>
      <c r="H95" s="420">
        <v>0</v>
      </c>
      <c r="I95" s="421">
        <v>0</v>
      </c>
      <c r="K95" s="423" t="s">
        <v>2168</v>
      </c>
      <c r="L95" s="424" t="s">
        <v>2169</v>
      </c>
      <c r="M95" s="425">
        <v>0</v>
      </c>
      <c r="N95" s="396"/>
      <c r="O95" s="396"/>
    </row>
    <row r="96" spans="4:15" ht="18" customHeight="1">
      <c r="D96" s="417">
        <v>124450</v>
      </c>
      <c r="E96" s="418" t="s">
        <v>99</v>
      </c>
      <c r="F96" s="419">
        <f t="shared" si="3"/>
        <v>0</v>
      </c>
      <c r="G96" s="420">
        <v>0</v>
      </c>
      <c r="H96" s="420">
        <v>0</v>
      </c>
      <c r="I96" s="421">
        <v>0</v>
      </c>
      <c r="K96" s="423"/>
      <c r="L96" s="424"/>
      <c r="M96" s="425"/>
      <c r="N96" s="396"/>
      <c r="O96" s="396"/>
    </row>
    <row r="97" spans="4:15" ht="18" customHeight="1">
      <c r="D97" s="417">
        <v>124600</v>
      </c>
      <c r="E97" s="418" t="s">
        <v>100</v>
      </c>
      <c r="F97" s="419">
        <f t="shared" si="3"/>
        <v>0</v>
      </c>
      <c r="G97" s="420">
        <v>0</v>
      </c>
      <c r="H97" s="420">
        <v>0</v>
      </c>
      <c r="I97" s="421">
        <v>0</v>
      </c>
      <c r="K97" s="414" t="s">
        <v>2170</v>
      </c>
      <c r="L97" s="396"/>
      <c r="M97" s="416">
        <v>-807600</v>
      </c>
      <c r="N97" s="396"/>
      <c r="O97" s="396"/>
    </row>
    <row r="98" spans="4:15" ht="18" customHeight="1">
      <c r="D98" s="417">
        <v>126100</v>
      </c>
      <c r="E98" s="418" t="s">
        <v>101</v>
      </c>
      <c r="F98" s="419">
        <f t="shared" si="3"/>
        <v>0</v>
      </c>
      <c r="G98" s="420">
        <v>0</v>
      </c>
      <c r="H98" s="420">
        <v>0</v>
      </c>
      <c r="I98" s="421">
        <v>0</v>
      </c>
      <c r="K98" s="423" t="s">
        <v>2171</v>
      </c>
      <c r="L98" s="423" t="s">
        <v>2171</v>
      </c>
      <c r="M98" s="425">
        <v>-807600</v>
      </c>
      <c r="N98" s="396">
        <v>320100</v>
      </c>
      <c r="O98" s="396" t="s">
        <v>191</v>
      </c>
    </row>
    <row r="99" spans="4:15" ht="18" customHeight="1">
      <c r="D99" s="417">
        <v>126110</v>
      </c>
      <c r="E99" s="418" t="s">
        <v>102</v>
      </c>
      <c r="F99" s="419">
        <f t="shared" si="3"/>
        <v>0</v>
      </c>
      <c r="G99" s="420">
        <v>0</v>
      </c>
      <c r="H99" s="420">
        <v>0</v>
      </c>
      <c r="I99" s="421">
        <v>0</v>
      </c>
      <c r="J99" s="5"/>
      <c r="K99" s="423"/>
      <c r="L99" s="424"/>
      <c r="M99" s="425"/>
      <c r="N99" s="396"/>
      <c r="O99" s="396"/>
    </row>
    <row r="100" spans="4:15" ht="18" customHeight="1">
      <c r="D100" s="417">
        <v>126200</v>
      </c>
      <c r="E100" s="418" t="s">
        <v>103</v>
      </c>
      <c r="F100" s="419">
        <f t="shared" si="3"/>
        <v>0</v>
      </c>
      <c r="G100" s="420">
        <v>0</v>
      </c>
      <c r="H100" s="420">
        <v>0</v>
      </c>
      <c r="I100" s="421">
        <v>0</v>
      </c>
      <c r="K100" s="414" t="s">
        <v>2172</v>
      </c>
      <c r="L100" s="415"/>
      <c r="M100" s="416">
        <v>31277483</v>
      </c>
      <c r="N100" s="396"/>
      <c r="O100" s="396"/>
    </row>
    <row r="101" spans="4:15" ht="18" customHeight="1">
      <c r="D101" s="417">
        <v>126210</v>
      </c>
      <c r="E101" s="418" t="s">
        <v>104</v>
      </c>
      <c r="F101" s="419">
        <f t="shared" si="3"/>
        <v>0</v>
      </c>
      <c r="G101" s="420">
        <v>0</v>
      </c>
      <c r="H101" s="420">
        <v>0</v>
      </c>
      <c r="I101" s="421">
        <v>0</v>
      </c>
      <c r="K101" s="423" t="s">
        <v>2173</v>
      </c>
      <c r="L101" s="424" t="s">
        <v>13</v>
      </c>
      <c r="M101" s="425">
        <v>0</v>
      </c>
      <c r="N101" s="396"/>
      <c r="O101" s="396"/>
    </row>
    <row r="102" spans="4:15" ht="18" customHeight="1">
      <c r="D102" s="417" t="s">
        <v>2174</v>
      </c>
      <c r="E102" s="418" t="s">
        <v>533</v>
      </c>
      <c r="F102" s="419">
        <f t="shared" si="3"/>
        <v>0</v>
      </c>
      <c r="G102" s="420">
        <v>0</v>
      </c>
      <c r="H102" s="420">
        <v>0</v>
      </c>
      <c r="I102" s="421">
        <v>0</v>
      </c>
      <c r="K102" s="423" t="s">
        <v>2175</v>
      </c>
      <c r="L102" s="424" t="s">
        <v>13</v>
      </c>
      <c r="M102" s="425">
        <v>0</v>
      </c>
      <c r="N102" s="396"/>
      <c r="O102" s="396"/>
    </row>
    <row r="103" spans="4:15" ht="18" customHeight="1">
      <c r="D103" s="426"/>
      <c r="E103" s="261" t="s">
        <v>6</v>
      </c>
      <c r="F103" s="411">
        <f>SUM(F104:F123)</f>
        <v>0</v>
      </c>
      <c r="G103" s="412">
        <f>SUM(G104:G123)</f>
        <v>0</v>
      </c>
      <c r="H103" s="412">
        <f>SUM(H104:H123)</f>
        <v>0</v>
      </c>
      <c r="I103" s="413">
        <f>SUM(I104:I123)</f>
        <v>0</v>
      </c>
      <c r="K103" s="423" t="s">
        <v>2176</v>
      </c>
      <c r="L103" s="424"/>
      <c r="M103" s="425">
        <v>31277483</v>
      </c>
      <c r="N103" s="396"/>
      <c r="O103" s="396"/>
    </row>
    <row r="104" spans="4:15" ht="18" customHeight="1">
      <c r="D104" s="417" t="s">
        <v>105</v>
      </c>
      <c r="E104" s="418" t="s">
        <v>106</v>
      </c>
      <c r="F104" s="419">
        <f t="shared" ref="F104:F123" si="4">SUMIF(N:N,D104,M:M)</f>
        <v>0</v>
      </c>
      <c r="G104" s="420">
        <v>0</v>
      </c>
      <c r="H104" s="420">
        <v>0</v>
      </c>
      <c r="I104" s="421">
        <v>0</v>
      </c>
      <c r="K104" s="433" t="s">
        <v>2177</v>
      </c>
      <c r="L104" s="424" t="s">
        <v>2178</v>
      </c>
      <c r="M104" s="425">
        <v>75278331</v>
      </c>
      <c r="N104" s="396" t="s">
        <v>1354</v>
      </c>
      <c r="O104" s="396" t="s">
        <v>207</v>
      </c>
    </row>
    <row r="105" spans="4:15" ht="18" customHeight="1">
      <c r="D105" s="417" t="s">
        <v>107</v>
      </c>
      <c r="E105" s="418" t="s">
        <v>108</v>
      </c>
      <c r="F105" s="419">
        <f t="shared" si="4"/>
        <v>0</v>
      </c>
      <c r="G105" s="420">
        <v>0</v>
      </c>
      <c r="H105" s="420">
        <v>0</v>
      </c>
      <c r="I105" s="421">
        <v>0</v>
      </c>
      <c r="K105" s="433" t="s">
        <v>2179</v>
      </c>
      <c r="L105" s="424" t="s">
        <v>2180</v>
      </c>
      <c r="M105" s="425">
        <v>0</v>
      </c>
      <c r="N105" s="396" t="s">
        <v>1355</v>
      </c>
      <c r="O105" s="396" t="s">
        <v>209</v>
      </c>
    </row>
    <row r="106" spans="4:15" ht="18" customHeight="1">
      <c r="D106" s="417" t="s">
        <v>109</v>
      </c>
      <c r="E106" s="418" t="s">
        <v>110</v>
      </c>
      <c r="F106" s="419">
        <f t="shared" si="4"/>
        <v>0</v>
      </c>
      <c r="G106" s="420">
        <v>0</v>
      </c>
      <c r="H106" s="420">
        <v>0</v>
      </c>
      <c r="I106" s="421">
        <v>0</v>
      </c>
      <c r="K106" s="433" t="s">
        <v>2181</v>
      </c>
      <c r="L106" s="424" t="s">
        <v>2178</v>
      </c>
      <c r="M106" s="425">
        <v>-44000848</v>
      </c>
      <c r="N106" s="396" t="s">
        <v>1355</v>
      </c>
      <c r="O106" s="396" t="s">
        <v>209</v>
      </c>
    </row>
    <row r="107" spans="4:15" ht="18" customHeight="1">
      <c r="D107" s="417" t="s">
        <v>111</v>
      </c>
      <c r="E107" s="418" t="s">
        <v>112</v>
      </c>
      <c r="F107" s="419">
        <f t="shared" si="4"/>
        <v>0</v>
      </c>
      <c r="G107" s="420">
        <v>0</v>
      </c>
      <c r="H107" s="420">
        <v>0</v>
      </c>
      <c r="I107" s="421">
        <v>0</v>
      </c>
      <c r="K107" s="428" t="s">
        <v>2182</v>
      </c>
      <c r="L107" s="429"/>
      <c r="M107" s="430">
        <v>35469883</v>
      </c>
      <c r="N107" s="407"/>
      <c r="O107" s="407"/>
    </row>
    <row r="108" spans="4:15" ht="18" customHeight="1">
      <c r="D108" s="417" t="s">
        <v>113</v>
      </c>
      <c r="E108" s="418" t="s">
        <v>114</v>
      </c>
      <c r="F108" s="419">
        <f t="shared" si="4"/>
        <v>0</v>
      </c>
      <c r="G108" s="420">
        <v>0</v>
      </c>
      <c r="H108" s="420">
        <v>0</v>
      </c>
      <c r="I108" s="421">
        <v>0</v>
      </c>
      <c r="J108" s="5"/>
      <c r="K108" s="428" t="s">
        <v>2183</v>
      </c>
      <c r="L108" s="429"/>
      <c r="M108" s="430">
        <v>58675929</v>
      </c>
      <c r="N108" s="407"/>
      <c r="O108" s="407"/>
    </row>
    <row r="109" spans="4:15" ht="18" customHeight="1">
      <c r="D109" s="417">
        <v>125300</v>
      </c>
      <c r="E109" s="418" t="s">
        <v>115</v>
      </c>
      <c r="F109" s="419">
        <f t="shared" si="4"/>
        <v>0</v>
      </c>
      <c r="G109" s="420">
        <v>0</v>
      </c>
      <c r="H109" s="420">
        <v>0</v>
      </c>
      <c r="I109" s="421">
        <v>0</v>
      </c>
      <c r="J109" s="5"/>
    </row>
    <row r="110" spans="4:15" ht="18" customHeight="1">
      <c r="D110" s="417" t="s">
        <v>119</v>
      </c>
      <c r="E110" s="418" t="s">
        <v>120</v>
      </c>
      <c r="F110" s="419">
        <f t="shared" si="4"/>
        <v>0</v>
      </c>
      <c r="G110" s="420">
        <v>0</v>
      </c>
      <c r="H110" s="420">
        <v>0</v>
      </c>
      <c r="I110" s="421">
        <v>0</v>
      </c>
    </row>
    <row r="111" spans="4:15" ht="18" customHeight="1">
      <c r="D111" s="417">
        <v>125400</v>
      </c>
      <c r="E111" s="418" t="s">
        <v>116</v>
      </c>
      <c r="F111" s="419">
        <f t="shared" si="4"/>
        <v>0</v>
      </c>
      <c r="G111" s="420">
        <v>0</v>
      </c>
      <c r="H111" s="420">
        <v>0</v>
      </c>
      <c r="I111" s="421">
        <v>0</v>
      </c>
      <c r="J111" s="5"/>
    </row>
    <row r="112" spans="4:15" ht="18" customHeight="1">
      <c r="D112" s="417" t="s">
        <v>117</v>
      </c>
      <c r="E112" s="418" t="s">
        <v>118</v>
      </c>
      <c r="F112" s="419">
        <f t="shared" si="4"/>
        <v>0</v>
      </c>
      <c r="G112" s="420">
        <v>0</v>
      </c>
      <c r="H112" s="420">
        <v>0</v>
      </c>
      <c r="I112" s="421">
        <v>0</v>
      </c>
      <c r="J112" s="5"/>
    </row>
    <row r="113" spans="4:10" ht="18" customHeight="1">
      <c r="D113" s="417" t="s">
        <v>121</v>
      </c>
      <c r="E113" s="418" t="s">
        <v>122</v>
      </c>
      <c r="F113" s="419">
        <f t="shared" si="4"/>
        <v>0</v>
      </c>
      <c r="G113" s="420">
        <v>0</v>
      </c>
      <c r="H113" s="420">
        <v>0</v>
      </c>
      <c r="I113" s="421">
        <v>0</v>
      </c>
    </row>
    <row r="114" spans="4:10" ht="18" customHeight="1">
      <c r="D114" s="417">
        <v>125900</v>
      </c>
      <c r="E114" s="418" t="s">
        <v>123</v>
      </c>
      <c r="F114" s="419">
        <f t="shared" si="4"/>
        <v>0</v>
      </c>
      <c r="G114" s="420">
        <v>0</v>
      </c>
      <c r="H114" s="420">
        <v>0</v>
      </c>
      <c r="I114" s="421">
        <v>0</v>
      </c>
    </row>
    <row r="115" spans="4:10" ht="18" customHeight="1">
      <c r="D115" s="417" t="s">
        <v>126</v>
      </c>
      <c r="E115" s="418" t="s">
        <v>127</v>
      </c>
      <c r="F115" s="419">
        <f t="shared" si="4"/>
        <v>0</v>
      </c>
      <c r="G115" s="420">
        <v>0</v>
      </c>
      <c r="H115" s="420">
        <v>0</v>
      </c>
      <c r="I115" s="421">
        <v>0</v>
      </c>
      <c r="J115" s="5"/>
    </row>
    <row r="116" spans="4:10" ht="18" customHeight="1">
      <c r="D116" s="417" t="s">
        <v>124</v>
      </c>
      <c r="E116" s="418" t="s">
        <v>125</v>
      </c>
      <c r="F116" s="419">
        <f t="shared" si="4"/>
        <v>0</v>
      </c>
      <c r="G116" s="420">
        <v>0</v>
      </c>
      <c r="H116" s="420">
        <v>0</v>
      </c>
      <c r="I116" s="421">
        <v>0</v>
      </c>
      <c r="J116" s="5"/>
    </row>
    <row r="117" spans="4:10" ht="18" customHeight="1">
      <c r="D117" s="417" t="s">
        <v>128</v>
      </c>
      <c r="E117" s="418" t="s">
        <v>129</v>
      </c>
      <c r="F117" s="419">
        <f t="shared" si="4"/>
        <v>0</v>
      </c>
      <c r="G117" s="420">
        <v>0</v>
      </c>
      <c r="H117" s="420">
        <v>0</v>
      </c>
      <c r="I117" s="421">
        <v>0</v>
      </c>
    </row>
    <row r="118" spans="4:10" ht="18" customHeight="1">
      <c r="D118" s="417" t="s">
        <v>130</v>
      </c>
      <c r="E118" s="418" t="s">
        <v>131</v>
      </c>
      <c r="F118" s="419">
        <f t="shared" si="4"/>
        <v>0</v>
      </c>
      <c r="G118" s="420">
        <v>0</v>
      </c>
      <c r="H118" s="420">
        <v>0</v>
      </c>
      <c r="I118" s="421">
        <v>0</v>
      </c>
    </row>
    <row r="119" spans="4:10" ht="18" customHeight="1">
      <c r="D119" s="417">
        <v>125950</v>
      </c>
      <c r="E119" s="418" t="s">
        <v>132</v>
      </c>
      <c r="F119" s="419">
        <f t="shared" si="4"/>
        <v>0</v>
      </c>
      <c r="G119" s="420">
        <v>0</v>
      </c>
      <c r="H119" s="420">
        <v>0</v>
      </c>
      <c r="I119" s="421">
        <v>0</v>
      </c>
    </row>
    <row r="120" spans="4:10" ht="18" customHeight="1">
      <c r="D120" s="417">
        <v>125960</v>
      </c>
      <c r="E120" s="418" t="s">
        <v>133</v>
      </c>
      <c r="F120" s="419">
        <f t="shared" si="4"/>
        <v>0</v>
      </c>
      <c r="G120" s="420">
        <v>0</v>
      </c>
      <c r="H120" s="420">
        <v>0</v>
      </c>
      <c r="I120" s="421">
        <v>0</v>
      </c>
    </row>
    <row r="121" spans="4:10" ht="18" customHeight="1">
      <c r="D121" s="417">
        <v>125970</v>
      </c>
      <c r="E121" s="418" t="s">
        <v>134</v>
      </c>
      <c r="F121" s="419">
        <f t="shared" si="4"/>
        <v>0</v>
      </c>
      <c r="G121" s="420">
        <v>0</v>
      </c>
      <c r="H121" s="420">
        <v>0</v>
      </c>
      <c r="I121" s="421">
        <v>0</v>
      </c>
    </row>
    <row r="122" spans="4:10" ht="18" customHeight="1">
      <c r="D122" s="417">
        <v>125980</v>
      </c>
      <c r="E122" s="418" t="s">
        <v>135</v>
      </c>
      <c r="F122" s="419">
        <f t="shared" si="4"/>
        <v>0</v>
      </c>
      <c r="G122" s="420">
        <v>0</v>
      </c>
      <c r="H122" s="420">
        <v>0</v>
      </c>
      <c r="I122" s="421">
        <v>0</v>
      </c>
    </row>
    <row r="123" spans="4:10" ht="18" customHeight="1">
      <c r="D123" s="417" t="s">
        <v>486</v>
      </c>
      <c r="E123" s="418" t="s">
        <v>2184</v>
      </c>
      <c r="F123" s="419">
        <f t="shared" si="4"/>
        <v>0</v>
      </c>
      <c r="G123" s="420">
        <v>0</v>
      </c>
      <c r="H123" s="420">
        <v>0</v>
      </c>
      <c r="I123" s="421">
        <v>0</v>
      </c>
    </row>
    <row r="124" spans="4:10" ht="18" customHeight="1">
      <c r="D124" s="426"/>
      <c r="E124" s="261" t="s">
        <v>7</v>
      </c>
      <c r="F124" s="411">
        <f>F125</f>
        <v>0</v>
      </c>
      <c r="G124" s="412">
        <f>G125</f>
        <v>0</v>
      </c>
      <c r="H124" s="412">
        <f>H125</f>
        <v>0</v>
      </c>
      <c r="I124" s="413">
        <f>I125</f>
        <v>0</v>
      </c>
    </row>
    <row r="125" spans="4:10" ht="18" customHeight="1">
      <c r="D125" s="417">
        <v>121850</v>
      </c>
      <c r="E125" s="418" t="s">
        <v>136</v>
      </c>
      <c r="F125" s="419">
        <f>SUMIF(N:N,D125,M:M)</f>
        <v>0</v>
      </c>
      <c r="G125" s="420">
        <v>0</v>
      </c>
      <c r="H125" s="420">
        <v>0</v>
      </c>
      <c r="I125" s="421">
        <v>0</v>
      </c>
    </row>
    <row r="126" spans="4:10" ht="18" customHeight="1">
      <c r="D126" s="434"/>
      <c r="E126" s="259" t="s">
        <v>8</v>
      </c>
      <c r="F126" s="398">
        <f>F127+F180</f>
        <v>23206046</v>
      </c>
      <c r="G126" s="399">
        <f>G127+G180</f>
        <v>0</v>
      </c>
      <c r="H126" s="399">
        <f>H127+H180</f>
        <v>23206046</v>
      </c>
      <c r="I126" s="400">
        <f>I127+I180</f>
        <v>23206046</v>
      </c>
    </row>
    <row r="127" spans="4:10" ht="18" customHeight="1">
      <c r="D127" s="432"/>
      <c r="E127" s="260" t="s">
        <v>9</v>
      </c>
      <c r="F127" s="404">
        <f>SUM(F128,F147,F154,F176,F178)</f>
        <v>23206046</v>
      </c>
      <c r="G127" s="405">
        <f>SUM(G128,G147,G154,G176,G178)</f>
        <v>0</v>
      </c>
      <c r="H127" s="405">
        <f>SUM(H128,H147,H154,H176,H178)</f>
        <v>23206046</v>
      </c>
      <c r="I127" s="406">
        <f>SUM(I128,I147,I154,I176,I178)</f>
        <v>23206046</v>
      </c>
    </row>
    <row r="128" spans="4:10" ht="18" customHeight="1">
      <c r="D128" s="426">
        <v>211000</v>
      </c>
      <c r="E128" s="261" t="s">
        <v>137</v>
      </c>
      <c r="F128" s="411">
        <f>SUM(F129:F146)</f>
        <v>4353781</v>
      </c>
      <c r="G128" s="412">
        <f>SUM(G129:G146)</f>
        <v>0</v>
      </c>
      <c r="H128" s="412">
        <f>SUM(H129:H146)</f>
        <v>4353781</v>
      </c>
      <c r="I128" s="413">
        <f>SUM(I129:I146)</f>
        <v>4353781</v>
      </c>
    </row>
    <row r="129" spans="4:9" ht="18" customHeight="1">
      <c r="D129" s="417">
        <v>211111</v>
      </c>
      <c r="E129" s="418" t="s">
        <v>138</v>
      </c>
      <c r="F129" s="419">
        <f t="shared" ref="F129:F146" si="5">SUMIF(N:N,D129,M:M)</f>
        <v>33957</v>
      </c>
      <c r="G129" s="420">
        <v>0</v>
      </c>
      <c r="H129" s="420">
        <v>33957</v>
      </c>
      <c r="I129" s="421">
        <v>33957</v>
      </c>
    </row>
    <row r="130" spans="4:9" ht="18" customHeight="1">
      <c r="D130" s="417">
        <v>211121</v>
      </c>
      <c r="E130" s="418" t="s">
        <v>139</v>
      </c>
      <c r="F130" s="419">
        <f t="shared" si="5"/>
        <v>0</v>
      </c>
      <c r="G130" s="420">
        <v>0</v>
      </c>
      <c r="H130" s="420">
        <v>0</v>
      </c>
      <c r="I130" s="421">
        <v>0</v>
      </c>
    </row>
    <row r="131" spans="4:9" ht="18" customHeight="1">
      <c r="D131" s="417">
        <v>211131</v>
      </c>
      <c r="E131" s="418" t="s">
        <v>140</v>
      </c>
      <c r="F131" s="419">
        <f t="shared" si="5"/>
        <v>0</v>
      </c>
      <c r="G131" s="420">
        <v>0</v>
      </c>
      <c r="H131" s="420">
        <v>0</v>
      </c>
      <c r="I131" s="421">
        <v>0</v>
      </c>
    </row>
    <row r="132" spans="4:9" ht="18" customHeight="1">
      <c r="D132" s="417">
        <v>211141</v>
      </c>
      <c r="E132" s="418" t="s">
        <v>141</v>
      </c>
      <c r="F132" s="419">
        <f t="shared" si="5"/>
        <v>0</v>
      </c>
      <c r="G132" s="420">
        <v>0</v>
      </c>
      <c r="H132" s="420">
        <v>0</v>
      </c>
      <c r="I132" s="421">
        <v>0</v>
      </c>
    </row>
    <row r="133" spans="4:9" ht="18" customHeight="1">
      <c r="D133" s="417">
        <v>211151</v>
      </c>
      <c r="E133" s="418" t="s">
        <v>142</v>
      </c>
      <c r="F133" s="419">
        <f t="shared" si="5"/>
        <v>0</v>
      </c>
      <c r="G133" s="420">
        <v>0</v>
      </c>
      <c r="H133" s="420">
        <v>0</v>
      </c>
      <c r="I133" s="421">
        <v>0</v>
      </c>
    </row>
    <row r="134" spans="4:9" ht="18" customHeight="1">
      <c r="D134" s="417">
        <v>211161</v>
      </c>
      <c r="E134" s="418" t="s">
        <v>143</v>
      </c>
      <c r="F134" s="419">
        <f t="shared" si="5"/>
        <v>0</v>
      </c>
      <c r="G134" s="420">
        <v>0</v>
      </c>
      <c r="H134" s="420">
        <v>0</v>
      </c>
      <c r="I134" s="421">
        <v>0</v>
      </c>
    </row>
    <row r="135" spans="4:9" ht="18" customHeight="1">
      <c r="D135" s="417">
        <v>213100</v>
      </c>
      <c r="E135" s="418" t="s">
        <v>144</v>
      </c>
      <c r="F135" s="419">
        <f t="shared" si="5"/>
        <v>580200</v>
      </c>
      <c r="G135" s="420">
        <v>0</v>
      </c>
      <c r="H135" s="420">
        <v>580200</v>
      </c>
      <c r="I135" s="421">
        <v>580200</v>
      </c>
    </row>
    <row r="136" spans="4:9" ht="18" customHeight="1">
      <c r="D136" s="417">
        <v>213150</v>
      </c>
      <c r="E136" s="418" t="s">
        <v>145</v>
      </c>
      <c r="F136" s="419">
        <f t="shared" si="5"/>
        <v>0</v>
      </c>
      <c r="G136" s="420">
        <v>0</v>
      </c>
      <c r="H136" s="420">
        <v>0</v>
      </c>
      <c r="I136" s="421">
        <v>0</v>
      </c>
    </row>
    <row r="137" spans="4:9" ht="18" customHeight="1">
      <c r="D137" s="417">
        <v>213900</v>
      </c>
      <c r="E137" s="418" t="s">
        <v>146</v>
      </c>
      <c r="F137" s="419">
        <f t="shared" si="5"/>
        <v>0</v>
      </c>
      <c r="G137" s="420">
        <v>0</v>
      </c>
      <c r="H137" s="420">
        <v>0</v>
      </c>
      <c r="I137" s="421">
        <v>0</v>
      </c>
    </row>
    <row r="138" spans="4:9" ht="18" customHeight="1">
      <c r="D138" s="417">
        <v>213800</v>
      </c>
      <c r="E138" s="418" t="s">
        <v>147</v>
      </c>
      <c r="F138" s="419">
        <f t="shared" si="5"/>
        <v>0</v>
      </c>
      <c r="G138" s="420">
        <v>0</v>
      </c>
      <c r="H138" s="420">
        <v>0</v>
      </c>
      <c r="I138" s="421">
        <v>0</v>
      </c>
    </row>
    <row r="139" spans="4:9" ht="18" customHeight="1">
      <c r="D139" s="417">
        <v>213101</v>
      </c>
      <c r="E139" s="418" t="s">
        <v>148</v>
      </c>
      <c r="F139" s="419">
        <f t="shared" si="5"/>
        <v>0</v>
      </c>
      <c r="G139" s="420">
        <v>0</v>
      </c>
      <c r="H139" s="420">
        <v>0</v>
      </c>
      <c r="I139" s="421">
        <v>0</v>
      </c>
    </row>
    <row r="140" spans="4:9" ht="18" customHeight="1">
      <c r="D140" s="417">
        <v>213200</v>
      </c>
      <c r="E140" s="418" t="s">
        <v>149</v>
      </c>
      <c r="F140" s="419">
        <f t="shared" si="5"/>
        <v>0</v>
      </c>
      <c r="G140" s="420">
        <v>0</v>
      </c>
      <c r="H140" s="420">
        <v>0</v>
      </c>
      <c r="I140" s="421">
        <v>0</v>
      </c>
    </row>
    <row r="141" spans="4:9" ht="18" customHeight="1">
      <c r="D141" s="417">
        <v>217900</v>
      </c>
      <c r="E141" s="418" t="s">
        <v>150</v>
      </c>
      <c r="F141" s="419">
        <f t="shared" si="5"/>
        <v>3739624</v>
      </c>
      <c r="G141" s="420">
        <v>0</v>
      </c>
      <c r="H141" s="420">
        <v>3739624</v>
      </c>
      <c r="I141" s="421">
        <v>3739624</v>
      </c>
    </row>
    <row r="142" spans="4:9" ht="18" customHeight="1">
      <c r="D142" s="417">
        <v>217200</v>
      </c>
      <c r="E142" s="418" t="s">
        <v>151</v>
      </c>
      <c r="F142" s="419">
        <f t="shared" si="5"/>
        <v>0</v>
      </c>
      <c r="G142" s="420">
        <v>0</v>
      </c>
      <c r="H142" s="420">
        <v>0</v>
      </c>
      <c r="I142" s="421">
        <v>0</v>
      </c>
    </row>
    <row r="143" spans="4:9" ht="18" customHeight="1">
      <c r="D143" s="417">
        <v>217300</v>
      </c>
      <c r="E143" s="418" t="s">
        <v>152</v>
      </c>
      <c r="F143" s="419">
        <f t="shared" si="5"/>
        <v>0</v>
      </c>
      <c r="G143" s="420">
        <v>0</v>
      </c>
      <c r="H143" s="420">
        <v>0</v>
      </c>
      <c r="I143" s="421">
        <v>0</v>
      </c>
    </row>
    <row r="144" spans="4:9" ht="18" customHeight="1">
      <c r="D144" s="417">
        <v>217400</v>
      </c>
      <c r="E144" s="418" t="s">
        <v>153</v>
      </c>
      <c r="F144" s="419">
        <f t="shared" si="5"/>
        <v>0</v>
      </c>
      <c r="G144" s="420">
        <v>0</v>
      </c>
      <c r="H144" s="420">
        <v>0</v>
      </c>
      <c r="I144" s="421">
        <v>0</v>
      </c>
    </row>
    <row r="145" spans="4:9" ht="18" customHeight="1">
      <c r="D145" s="417">
        <v>217500</v>
      </c>
      <c r="E145" s="418" t="s">
        <v>154</v>
      </c>
      <c r="F145" s="419">
        <f t="shared" si="5"/>
        <v>0</v>
      </c>
      <c r="G145" s="420">
        <v>0</v>
      </c>
      <c r="H145" s="420">
        <v>0</v>
      </c>
      <c r="I145" s="421">
        <v>0</v>
      </c>
    </row>
    <row r="146" spans="4:9" ht="18" customHeight="1">
      <c r="D146" s="417">
        <v>223150</v>
      </c>
      <c r="E146" s="418" t="s">
        <v>155</v>
      </c>
      <c r="F146" s="419">
        <f t="shared" si="5"/>
        <v>0</v>
      </c>
      <c r="G146" s="420">
        <v>0</v>
      </c>
      <c r="H146" s="420">
        <v>0</v>
      </c>
      <c r="I146" s="421">
        <v>0</v>
      </c>
    </row>
    <row r="147" spans="4:9" ht="18" customHeight="1">
      <c r="D147" s="426"/>
      <c r="E147" s="261" t="s">
        <v>156</v>
      </c>
      <c r="F147" s="411">
        <f>SUM(F148:F153)</f>
        <v>2105000</v>
      </c>
      <c r="G147" s="412">
        <f>SUM(G148:G153)</f>
        <v>0</v>
      </c>
      <c r="H147" s="412">
        <f>SUM(H148:H153)</f>
        <v>2105000</v>
      </c>
      <c r="I147" s="413">
        <f>SUM(I148:I153)</f>
        <v>2105000</v>
      </c>
    </row>
    <row r="148" spans="4:9" ht="18" customHeight="1">
      <c r="D148" s="417">
        <v>212300</v>
      </c>
      <c r="E148" s="418" t="s">
        <v>157</v>
      </c>
      <c r="F148" s="419">
        <f t="shared" ref="F148:F153" si="6">SUMIF(N:N,D148,M:M)</f>
        <v>2105000</v>
      </c>
      <c r="G148" s="420">
        <v>0</v>
      </c>
      <c r="H148" s="420">
        <v>2105000</v>
      </c>
      <c r="I148" s="421">
        <v>2105000</v>
      </c>
    </row>
    <row r="149" spans="4:9" ht="18" customHeight="1">
      <c r="D149" s="417">
        <v>212500</v>
      </c>
      <c r="E149" s="418" t="s">
        <v>1547</v>
      </c>
      <c r="F149" s="419">
        <f t="shared" si="6"/>
        <v>0</v>
      </c>
      <c r="G149" s="420">
        <v>0</v>
      </c>
      <c r="H149" s="420">
        <v>0</v>
      </c>
      <c r="I149" s="421">
        <v>0</v>
      </c>
    </row>
    <row r="150" spans="4:9" ht="18" customHeight="1">
      <c r="D150" s="417">
        <v>230320</v>
      </c>
      <c r="E150" s="418" t="s">
        <v>158</v>
      </c>
      <c r="F150" s="419">
        <f t="shared" si="6"/>
        <v>0</v>
      </c>
      <c r="G150" s="420">
        <v>0</v>
      </c>
      <c r="H150" s="420">
        <v>0</v>
      </c>
      <c r="I150" s="421">
        <v>0</v>
      </c>
    </row>
    <row r="151" spans="4:9" ht="18" customHeight="1">
      <c r="D151" s="417">
        <v>230321</v>
      </c>
      <c r="E151" s="418" t="s">
        <v>159</v>
      </c>
      <c r="F151" s="419">
        <f t="shared" si="6"/>
        <v>0</v>
      </c>
      <c r="G151" s="420">
        <v>0</v>
      </c>
      <c r="H151" s="420">
        <v>0</v>
      </c>
      <c r="I151" s="421">
        <v>0</v>
      </c>
    </row>
    <row r="152" spans="4:9" ht="18" customHeight="1">
      <c r="D152" s="417">
        <v>230322</v>
      </c>
      <c r="E152" s="418" t="s">
        <v>160</v>
      </c>
      <c r="F152" s="419">
        <f t="shared" si="6"/>
        <v>0</v>
      </c>
      <c r="G152" s="420">
        <v>0</v>
      </c>
      <c r="H152" s="420">
        <v>0</v>
      </c>
      <c r="I152" s="421">
        <v>0</v>
      </c>
    </row>
    <row r="153" spans="4:9" ht="18" customHeight="1">
      <c r="D153" s="417">
        <v>230325</v>
      </c>
      <c r="E153" s="418" t="s">
        <v>161</v>
      </c>
      <c r="F153" s="419">
        <f t="shared" si="6"/>
        <v>0</v>
      </c>
      <c r="G153" s="420">
        <v>0</v>
      </c>
      <c r="H153" s="420">
        <v>0</v>
      </c>
      <c r="I153" s="421">
        <v>0</v>
      </c>
    </row>
    <row r="154" spans="4:9" ht="18" customHeight="1">
      <c r="D154" s="426"/>
      <c r="E154" s="261" t="s">
        <v>162</v>
      </c>
      <c r="F154" s="411">
        <f>SUM(F155:F175)</f>
        <v>16747265</v>
      </c>
      <c r="G154" s="412">
        <f>SUM(G155:G175)</f>
        <v>0</v>
      </c>
      <c r="H154" s="412">
        <f>SUM(H155:H175)</f>
        <v>16747265</v>
      </c>
      <c r="I154" s="413">
        <f>SUM(I155:I175)</f>
        <v>16747265</v>
      </c>
    </row>
    <row r="155" spans="4:9" ht="18" customHeight="1">
      <c r="D155" s="417">
        <v>214100</v>
      </c>
      <c r="E155" s="418" t="s">
        <v>163</v>
      </c>
      <c r="F155" s="419">
        <f t="shared" ref="F155:F175" si="7">SUMIF(N:N,D155,M:M)</f>
        <v>4118990</v>
      </c>
      <c r="G155" s="420">
        <v>0</v>
      </c>
      <c r="H155" s="420">
        <v>4118990</v>
      </c>
      <c r="I155" s="421">
        <v>4118990</v>
      </c>
    </row>
    <row r="156" spans="4:9" ht="18" customHeight="1">
      <c r="D156" s="417">
        <v>214200</v>
      </c>
      <c r="E156" s="418" t="s">
        <v>164</v>
      </c>
      <c r="F156" s="419">
        <f t="shared" si="7"/>
        <v>0</v>
      </c>
      <c r="G156" s="420">
        <v>0</v>
      </c>
      <c r="H156" s="420">
        <v>0</v>
      </c>
      <c r="I156" s="421">
        <v>0</v>
      </c>
    </row>
    <row r="157" spans="4:9" ht="18" customHeight="1">
      <c r="D157" s="417">
        <v>214350</v>
      </c>
      <c r="E157" s="418" t="s">
        <v>165</v>
      </c>
      <c r="F157" s="419">
        <f t="shared" si="7"/>
        <v>0</v>
      </c>
      <c r="G157" s="420">
        <v>0</v>
      </c>
      <c r="H157" s="420">
        <v>0</v>
      </c>
      <c r="I157" s="421">
        <v>0</v>
      </c>
    </row>
    <row r="158" spans="4:9" ht="18" customHeight="1">
      <c r="D158" s="417">
        <v>214360</v>
      </c>
      <c r="E158" s="418" t="s">
        <v>166</v>
      </c>
      <c r="F158" s="419">
        <f t="shared" si="7"/>
        <v>0</v>
      </c>
      <c r="G158" s="420">
        <v>0</v>
      </c>
      <c r="H158" s="420">
        <v>0</v>
      </c>
      <c r="I158" s="421">
        <v>0</v>
      </c>
    </row>
    <row r="159" spans="4:9" ht="18" customHeight="1">
      <c r="D159" s="417">
        <v>214150</v>
      </c>
      <c r="E159" s="418" t="s">
        <v>167</v>
      </c>
      <c r="F159" s="419">
        <f t="shared" si="7"/>
        <v>0</v>
      </c>
      <c r="G159" s="420">
        <v>0</v>
      </c>
      <c r="H159" s="420">
        <v>0</v>
      </c>
      <c r="I159" s="421">
        <v>0</v>
      </c>
    </row>
    <row r="160" spans="4:9" ht="18" customHeight="1">
      <c r="D160" s="417">
        <v>214250</v>
      </c>
      <c r="E160" s="418" t="s">
        <v>2185</v>
      </c>
      <c r="F160" s="419">
        <f t="shared" si="7"/>
        <v>0</v>
      </c>
      <c r="G160" s="420">
        <v>0</v>
      </c>
      <c r="H160" s="420">
        <v>0</v>
      </c>
      <c r="I160" s="421">
        <v>0</v>
      </c>
    </row>
    <row r="161" spans="4:12" ht="18" customHeight="1">
      <c r="D161" s="417">
        <v>214400</v>
      </c>
      <c r="E161" s="418" t="s">
        <v>168</v>
      </c>
      <c r="F161" s="419">
        <f t="shared" si="7"/>
        <v>5580000</v>
      </c>
      <c r="G161" s="420">
        <v>0</v>
      </c>
      <c r="H161" s="420">
        <v>5580000</v>
      </c>
      <c r="I161" s="421">
        <v>5580000</v>
      </c>
    </row>
    <row r="162" spans="4:12" ht="18" customHeight="1">
      <c r="D162" s="417">
        <v>214600</v>
      </c>
      <c r="E162" s="418" t="s">
        <v>169</v>
      </c>
      <c r="F162" s="419">
        <f t="shared" si="7"/>
        <v>0</v>
      </c>
      <c r="G162" s="420">
        <v>0</v>
      </c>
      <c r="H162" s="420">
        <v>0</v>
      </c>
      <c r="I162" s="421">
        <v>0</v>
      </c>
    </row>
    <row r="163" spans="4:12" ht="18" customHeight="1">
      <c r="D163" s="417">
        <v>214700</v>
      </c>
      <c r="E163" s="418" t="s">
        <v>170</v>
      </c>
      <c r="F163" s="419">
        <f t="shared" si="7"/>
        <v>0</v>
      </c>
      <c r="G163" s="420">
        <v>0</v>
      </c>
      <c r="H163" s="420">
        <v>0</v>
      </c>
      <c r="I163" s="421">
        <v>0</v>
      </c>
    </row>
    <row r="164" spans="4:12" ht="18" customHeight="1">
      <c r="D164" s="417">
        <v>215100</v>
      </c>
      <c r="E164" s="418" t="s">
        <v>171</v>
      </c>
      <c r="F164" s="419">
        <f t="shared" si="7"/>
        <v>0</v>
      </c>
      <c r="G164" s="420">
        <v>0</v>
      </c>
      <c r="H164" s="420">
        <v>0</v>
      </c>
      <c r="I164" s="421">
        <v>0</v>
      </c>
    </row>
    <row r="165" spans="4:12" ht="18" customHeight="1">
      <c r="D165" s="417">
        <v>215200</v>
      </c>
      <c r="E165" s="418" t="s">
        <v>172</v>
      </c>
      <c r="F165" s="419">
        <f t="shared" si="7"/>
        <v>0</v>
      </c>
      <c r="G165" s="420">
        <v>0</v>
      </c>
      <c r="H165" s="420">
        <v>0</v>
      </c>
      <c r="I165" s="421">
        <v>0</v>
      </c>
    </row>
    <row r="166" spans="4:12" ht="18" customHeight="1">
      <c r="D166" s="417">
        <v>215300</v>
      </c>
      <c r="E166" s="418" t="s">
        <v>173</v>
      </c>
      <c r="F166" s="419">
        <f t="shared" si="7"/>
        <v>0</v>
      </c>
      <c r="G166" s="420">
        <v>0</v>
      </c>
      <c r="H166" s="420">
        <v>0</v>
      </c>
      <c r="I166" s="421">
        <v>0</v>
      </c>
    </row>
    <row r="167" spans="4:12" ht="18" customHeight="1">
      <c r="D167" s="417">
        <v>215400</v>
      </c>
      <c r="E167" s="418" t="s">
        <v>174</v>
      </c>
      <c r="F167" s="419">
        <f t="shared" si="7"/>
        <v>0</v>
      </c>
      <c r="G167" s="420">
        <v>0</v>
      </c>
      <c r="H167" s="420">
        <v>0</v>
      </c>
      <c r="I167" s="421">
        <v>0</v>
      </c>
    </row>
    <row r="168" spans="4:12" ht="18" customHeight="1">
      <c r="D168" s="417">
        <v>215500</v>
      </c>
      <c r="E168" s="418" t="s">
        <v>175</v>
      </c>
      <c r="F168" s="419">
        <f t="shared" si="7"/>
        <v>0</v>
      </c>
      <c r="G168" s="420">
        <v>0</v>
      </c>
      <c r="H168" s="420">
        <v>0</v>
      </c>
      <c r="I168" s="421">
        <v>0</v>
      </c>
    </row>
    <row r="169" spans="4:12" ht="18" customHeight="1">
      <c r="D169" s="417">
        <v>215900</v>
      </c>
      <c r="E169" s="418" t="s">
        <v>176</v>
      </c>
      <c r="F169" s="419">
        <f t="shared" si="7"/>
        <v>692280</v>
      </c>
      <c r="G169" s="420">
        <v>0</v>
      </c>
      <c r="H169" s="420">
        <v>692280</v>
      </c>
      <c r="I169" s="421">
        <v>692280</v>
      </c>
    </row>
    <row r="170" spans="4:12" ht="18" customHeight="1">
      <c r="D170" s="417">
        <v>215700</v>
      </c>
      <c r="E170" s="418" t="s">
        <v>177</v>
      </c>
      <c r="F170" s="419">
        <f t="shared" si="7"/>
        <v>0</v>
      </c>
      <c r="G170" s="420">
        <v>0</v>
      </c>
      <c r="H170" s="420">
        <v>0</v>
      </c>
      <c r="I170" s="421">
        <v>0</v>
      </c>
    </row>
    <row r="171" spans="4:12" ht="18" customHeight="1">
      <c r="D171" s="417">
        <v>215800</v>
      </c>
      <c r="E171" s="418" t="s">
        <v>178</v>
      </c>
      <c r="F171" s="419">
        <f t="shared" si="7"/>
        <v>0</v>
      </c>
      <c r="G171" s="420">
        <v>0</v>
      </c>
      <c r="H171" s="420">
        <v>0</v>
      </c>
      <c r="I171" s="421">
        <v>0</v>
      </c>
    </row>
    <row r="172" spans="4:12" ht="18" customHeight="1">
      <c r="D172" s="417">
        <v>219000</v>
      </c>
      <c r="E172" s="418" t="s">
        <v>179</v>
      </c>
      <c r="F172" s="419">
        <f t="shared" si="7"/>
        <v>6355995</v>
      </c>
      <c r="G172" s="420">
        <v>0</v>
      </c>
      <c r="H172" s="420">
        <v>6355995</v>
      </c>
      <c r="I172" s="421">
        <v>6355995</v>
      </c>
      <c r="K172" s="3">
        <v>5740313</v>
      </c>
      <c r="L172" s="441">
        <f>K172-F172</f>
        <v>-615682</v>
      </c>
    </row>
    <row r="173" spans="4:12" ht="18" customHeight="1">
      <c r="D173" s="417">
        <v>220000</v>
      </c>
      <c r="E173" s="418" t="s">
        <v>1861</v>
      </c>
      <c r="F173" s="419">
        <f t="shared" si="7"/>
        <v>0</v>
      </c>
      <c r="G173" s="420">
        <v>0</v>
      </c>
      <c r="H173" s="420">
        <v>0</v>
      </c>
      <c r="I173" s="421">
        <v>0</v>
      </c>
    </row>
    <row r="174" spans="4:12" ht="18" customHeight="1">
      <c r="D174" s="417">
        <v>223100</v>
      </c>
      <c r="E174" s="418" t="s">
        <v>180</v>
      </c>
      <c r="F174" s="419">
        <f t="shared" si="7"/>
        <v>0</v>
      </c>
      <c r="G174" s="420">
        <v>0</v>
      </c>
      <c r="H174" s="420">
        <v>0</v>
      </c>
      <c r="I174" s="421">
        <v>0</v>
      </c>
    </row>
    <row r="175" spans="4:12" ht="18" customHeight="1">
      <c r="D175" s="417">
        <v>223130</v>
      </c>
      <c r="E175" s="418" t="s">
        <v>181</v>
      </c>
      <c r="F175" s="419">
        <f t="shared" si="7"/>
        <v>0</v>
      </c>
      <c r="G175" s="420">
        <v>0</v>
      </c>
      <c r="H175" s="420">
        <v>0</v>
      </c>
      <c r="I175" s="421">
        <v>0</v>
      </c>
    </row>
    <row r="176" spans="4:12" ht="18" customHeight="1">
      <c r="D176" s="426"/>
      <c r="E176" s="261" t="s">
        <v>182</v>
      </c>
      <c r="F176" s="411">
        <f>F177</f>
        <v>0</v>
      </c>
      <c r="G176" s="412">
        <f>G177</f>
        <v>0</v>
      </c>
      <c r="H176" s="412">
        <f>H177</f>
        <v>0</v>
      </c>
      <c r="I176" s="413">
        <f>I177</f>
        <v>0</v>
      </c>
    </row>
    <row r="177" spans="4:9" ht="18" customHeight="1">
      <c r="D177" s="417">
        <v>223110</v>
      </c>
      <c r="E177" s="418" t="s">
        <v>182</v>
      </c>
      <c r="F177" s="419">
        <f>SUMIF(N:N,D177,M:M)</f>
        <v>0</v>
      </c>
      <c r="G177" s="420">
        <v>0</v>
      </c>
      <c r="H177" s="420">
        <v>0</v>
      </c>
      <c r="I177" s="421">
        <v>0</v>
      </c>
    </row>
    <row r="178" spans="4:9" ht="18" customHeight="1">
      <c r="D178" s="426"/>
      <c r="E178" s="261" t="s">
        <v>218</v>
      </c>
      <c r="F178" s="411">
        <f>F179</f>
        <v>0</v>
      </c>
      <c r="G178" s="412">
        <f>G179</f>
        <v>0</v>
      </c>
      <c r="H178" s="412">
        <f>H179</f>
        <v>0</v>
      </c>
      <c r="I178" s="413">
        <f>I179</f>
        <v>0</v>
      </c>
    </row>
    <row r="179" spans="4:9" ht="18" customHeight="1">
      <c r="D179" s="417" t="s">
        <v>2186</v>
      </c>
      <c r="E179" s="418" t="s">
        <v>218</v>
      </c>
      <c r="F179" s="419">
        <f>SUMIF(N:N,D179,M:M)</f>
        <v>0</v>
      </c>
      <c r="G179" s="420">
        <v>0</v>
      </c>
      <c r="H179" s="420">
        <v>0</v>
      </c>
      <c r="I179" s="421">
        <v>0</v>
      </c>
    </row>
    <row r="180" spans="4:9" ht="18" customHeight="1">
      <c r="D180" s="432"/>
      <c r="E180" s="260" t="s">
        <v>183</v>
      </c>
      <c r="F180" s="404">
        <f>SUM(F181,F184,F186)+F188</f>
        <v>0</v>
      </c>
      <c r="G180" s="405">
        <f>SUM(G181,G184,G186)+G188</f>
        <v>0</v>
      </c>
      <c r="H180" s="405">
        <f>SUM(H181,H184,H186)+H188</f>
        <v>0</v>
      </c>
      <c r="I180" s="406">
        <f>SUM(I181,I184,I186)+I188</f>
        <v>0</v>
      </c>
    </row>
    <row r="181" spans="4:9" ht="18" customHeight="1">
      <c r="D181" s="426"/>
      <c r="E181" s="261" t="s">
        <v>184</v>
      </c>
      <c r="F181" s="411">
        <f>SUM(F182:F183)</f>
        <v>0</v>
      </c>
      <c r="G181" s="412">
        <f>SUM(G182:G183)</f>
        <v>0</v>
      </c>
      <c r="H181" s="412">
        <f>SUM(H182:H183)</f>
        <v>0</v>
      </c>
      <c r="I181" s="413">
        <f>SUM(I182:I183)</f>
        <v>0</v>
      </c>
    </row>
    <row r="182" spans="4:9" ht="18" customHeight="1">
      <c r="D182" s="417">
        <v>230700</v>
      </c>
      <c r="E182" s="418" t="s">
        <v>185</v>
      </c>
      <c r="F182" s="419">
        <f>SUMIF(N:N,D182,M:M)</f>
        <v>0</v>
      </c>
      <c r="G182" s="420">
        <v>0</v>
      </c>
      <c r="H182" s="420">
        <v>0</v>
      </c>
      <c r="I182" s="421">
        <v>0</v>
      </c>
    </row>
    <row r="183" spans="4:9" ht="18" customHeight="1">
      <c r="D183" s="417">
        <v>122110</v>
      </c>
      <c r="E183" s="418" t="s">
        <v>186</v>
      </c>
      <c r="F183" s="419">
        <f>SUMIF(N:N,D183,M:M)</f>
        <v>0</v>
      </c>
      <c r="G183" s="420">
        <v>0</v>
      </c>
      <c r="H183" s="420">
        <v>0</v>
      </c>
      <c r="I183" s="421">
        <v>0</v>
      </c>
    </row>
    <row r="184" spans="4:9" ht="18" customHeight="1">
      <c r="D184" s="426"/>
      <c r="E184" s="261" t="s">
        <v>187</v>
      </c>
      <c r="F184" s="411">
        <f>F185</f>
        <v>0</v>
      </c>
      <c r="G184" s="412">
        <f>G185</f>
        <v>0</v>
      </c>
      <c r="H184" s="412">
        <f>H185</f>
        <v>0</v>
      </c>
      <c r="I184" s="413">
        <f>I185</f>
        <v>0</v>
      </c>
    </row>
    <row r="185" spans="4:9" ht="18" customHeight="1">
      <c r="D185" s="417">
        <v>230900</v>
      </c>
      <c r="E185" s="418" t="s">
        <v>188</v>
      </c>
      <c r="F185" s="419">
        <f>SUMIF(N:N,D185,M:M)</f>
        <v>0</v>
      </c>
      <c r="G185" s="420">
        <v>0</v>
      </c>
      <c r="H185" s="420">
        <v>0</v>
      </c>
      <c r="I185" s="421">
        <v>0</v>
      </c>
    </row>
    <row r="186" spans="4:9" ht="18" customHeight="1">
      <c r="D186" s="426"/>
      <c r="E186" s="261" t="s">
        <v>189</v>
      </c>
      <c r="F186" s="411">
        <f>F187</f>
        <v>0</v>
      </c>
      <c r="G186" s="412">
        <f>G187</f>
        <v>0</v>
      </c>
      <c r="H186" s="412">
        <f>H187</f>
        <v>0</v>
      </c>
      <c r="I186" s="413">
        <f>I187</f>
        <v>0</v>
      </c>
    </row>
    <row r="187" spans="4:9" ht="18" customHeight="1">
      <c r="D187" s="417">
        <v>231600</v>
      </c>
      <c r="E187" s="418" t="s">
        <v>189</v>
      </c>
      <c r="F187" s="419">
        <f>SUMIF(N:N,D187,M:M)</f>
        <v>0</v>
      </c>
      <c r="G187" s="420">
        <v>0</v>
      </c>
      <c r="H187" s="420">
        <v>0</v>
      </c>
      <c r="I187" s="421">
        <v>0</v>
      </c>
    </row>
    <row r="188" spans="4:9" ht="18" customHeight="1">
      <c r="D188" s="426"/>
      <c r="E188" s="261" t="s">
        <v>484</v>
      </c>
      <c r="F188" s="411">
        <f>F189</f>
        <v>0</v>
      </c>
      <c r="G188" s="412">
        <f>G189</f>
        <v>0</v>
      </c>
      <c r="H188" s="412">
        <f>H189</f>
        <v>0</v>
      </c>
      <c r="I188" s="413">
        <f>I189</f>
        <v>0</v>
      </c>
    </row>
    <row r="189" spans="4:9" ht="18" customHeight="1">
      <c r="D189" s="417" t="s">
        <v>2161</v>
      </c>
      <c r="E189" s="418" t="s">
        <v>484</v>
      </c>
      <c r="F189" s="419">
        <f>SUMIF(N:N,D189,M:M)</f>
        <v>0</v>
      </c>
      <c r="G189" s="420">
        <v>0</v>
      </c>
      <c r="H189" s="420">
        <v>0</v>
      </c>
      <c r="I189" s="421">
        <v>0</v>
      </c>
    </row>
    <row r="190" spans="4:9" ht="18" customHeight="1">
      <c r="D190" s="434"/>
      <c r="E190" s="259" t="s">
        <v>14</v>
      </c>
      <c r="F190" s="398">
        <f>SUM(F191,F212)</f>
        <v>35469883</v>
      </c>
      <c r="G190" s="399">
        <f>SUM(G191,G212)</f>
        <v>0</v>
      </c>
      <c r="H190" s="399">
        <f>SUM(H191,H212)</f>
        <v>35469883</v>
      </c>
      <c r="I190" s="400">
        <f>SUM(I191,I212)</f>
        <v>35469883</v>
      </c>
    </row>
    <row r="191" spans="4:9" ht="18" customHeight="1">
      <c r="D191" s="432"/>
      <c r="E191" s="260" t="s">
        <v>11</v>
      </c>
      <c r="F191" s="404">
        <f>SUM(F192,F194,F198,F208)</f>
        <v>35469883</v>
      </c>
      <c r="G191" s="405">
        <f>SUM(G192,G194,G198,G208)</f>
        <v>0</v>
      </c>
      <c r="H191" s="405">
        <f>SUM(H192,H194,H198,H208)</f>
        <v>35469883</v>
      </c>
      <c r="I191" s="406">
        <f>SUM(I192,I194,I198,I208)</f>
        <v>35469883</v>
      </c>
    </row>
    <row r="192" spans="4:9" ht="18" customHeight="1">
      <c r="D192" s="426"/>
      <c r="E192" s="261" t="s">
        <v>10</v>
      </c>
      <c r="F192" s="411">
        <f>F193</f>
        <v>5000000</v>
      </c>
      <c r="G192" s="412">
        <f>G193</f>
        <v>0</v>
      </c>
      <c r="H192" s="412">
        <f>H193</f>
        <v>5000000</v>
      </c>
      <c r="I192" s="413">
        <f>I193</f>
        <v>5000000</v>
      </c>
    </row>
    <row r="193" spans="4:10" ht="18" customHeight="1">
      <c r="D193" s="417">
        <v>310100</v>
      </c>
      <c r="E193" s="418" t="s">
        <v>190</v>
      </c>
      <c r="F193" s="419">
        <f>SUMIF(N:N,D193,M:M)</f>
        <v>5000000</v>
      </c>
      <c r="G193" s="420">
        <v>0</v>
      </c>
      <c r="H193" s="420">
        <v>5000000</v>
      </c>
      <c r="I193" s="421">
        <v>5000000</v>
      </c>
    </row>
    <row r="194" spans="4:10" ht="18" customHeight="1">
      <c r="D194" s="426"/>
      <c r="E194" s="261" t="s">
        <v>12</v>
      </c>
      <c r="F194" s="411">
        <f>SUM(F195:F197)</f>
        <v>-807600</v>
      </c>
      <c r="G194" s="412">
        <f>SUM(G195:G197)</f>
        <v>0</v>
      </c>
      <c r="H194" s="412">
        <f>SUM(H195:H197)</f>
        <v>-807600</v>
      </c>
      <c r="I194" s="413">
        <f>SUM(I195:I197)</f>
        <v>-807600</v>
      </c>
    </row>
    <row r="195" spans="4:10" ht="18" customHeight="1">
      <c r="D195" s="417">
        <v>320100</v>
      </c>
      <c r="E195" s="418" t="s">
        <v>191</v>
      </c>
      <c r="F195" s="419">
        <f>SUMIF(N:N,D195,M:M)</f>
        <v>-807600</v>
      </c>
      <c r="G195" s="420">
        <v>0</v>
      </c>
      <c r="H195" s="420">
        <v>-807600</v>
      </c>
      <c r="I195" s="421">
        <v>-807600</v>
      </c>
    </row>
    <row r="196" spans="4:10" ht="18" customHeight="1">
      <c r="D196" s="417">
        <v>320500</v>
      </c>
      <c r="E196" s="418" t="s">
        <v>192</v>
      </c>
      <c r="F196" s="419">
        <f>SUMIF(N:N,D196,M:M)</f>
        <v>0</v>
      </c>
      <c r="G196" s="420">
        <v>0</v>
      </c>
      <c r="H196" s="420">
        <v>0</v>
      </c>
      <c r="I196" s="421">
        <v>0</v>
      </c>
    </row>
    <row r="197" spans="4:10" ht="18" customHeight="1">
      <c r="D197" s="417">
        <v>320300</v>
      </c>
      <c r="E197" s="418" t="s">
        <v>193</v>
      </c>
      <c r="F197" s="419">
        <f>SUMIF(N:N,D197,M:M)</f>
        <v>0</v>
      </c>
      <c r="G197" s="420">
        <v>0</v>
      </c>
      <c r="H197" s="420">
        <v>0</v>
      </c>
      <c r="I197" s="421">
        <v>0</v>
      </c>
    </row>
    <row r="198" spans="4:10" ht="18" customHeight="1">
      <c r="D198" s="426"/>
      <c r="E198" s="261" t="s">
        <v>194</v>
      </c>
      <c r="F198" s="411">
        <f>SUM(F199:F207)</f>
        <v>0</v>
      </c>
      <c r="G198" s="412">
        <f>SUM(G199:G207)</f>
        <v>0</v>
      </c>
      <c r="H198" s="412">
        <f>SUM(H199:H207)</f>
        <v>0</v>
      </c>
      <c r="I198" s="413">
        <f>SUM(I199:I207)</f>
        <v>0</v>
      </c>
    </row>
    <row r="199" spans="4:10" ht="18" customHeight="1">
      <c r="D199" s="417">
        <v>350300</v>
      </c>
      <c r="E199" s="418" t="s">
        <v>195</v>
      </c>
      <c r="F199" s="419">
        <f t="shared" ref="F199:F207" si="8">SUMIF(N:N,D199,M:M)</f>
        <v>0</v>
      </c>
      <c r="G199" s="420">
        <v>0</v>
      </c>
      <c r="H199" s="420">
        <v>0</v>
      </c>
      <c r="I199" s="421">
        <v>0</v>
      </c>
    </row>
    <row r="200" spans="4:10" ht="18" customHeight="1">
      <c r="D200" s="417">
        <v>350350</v>
      </c>
      <c r="E200" s="418" t="s">
        <v>196</v>
      </c>
      <c r="F200" s="419">
        <f t="shared" si="8"/>
        <v>0</v>
      </c>
      <c r="G200" s="420">
        <v>0</v>
      </c>
      <c r="H200" s="420">
        <v>0</v>
      </c>
      <c r="I200" s="421">
        <v>0</v>
      </c>
    </row>
    <row r="201" spans="4:10" ht="18" customHeight="1">
      <c r="D201" s="417" t="s">
        <v>1347</v>
      </c>
      <c r="E201" s="418" t="s">
        <v>225</v>
      </c>
      <c r="F201" s="419">
        <f t="shared" si="8"/>
        <v>0</v>
      </c>
      <c r="G201" s="420">
        <v>0</v>
      </c>
      <c r="H201" s="420">
        <v>0</v>
      </c>
      <c r="I201" s="421">
        <v>0</v>
      </c>
    </row>
    <row r="202" spans="4:10" ht="18" customHeight="1">
      <c r="D202" s="417">
        <v>350400</v>
      </c>
      <c r="E202" s="418" t="s">
        <v>197</v>
      </c>
      <c r="F202" s="419">
        <f t="shared" si="8"/>
        <v>0</v>
      </c>
      <c r="G202" s="420">
        <v>0</v>
      </c>
      <c r="H202" s="420">
        <v>0</v>
      </c>
      <c r="I202" s="421">
        <v>0</v>
      </c>
    </row>
    <row r="203" spans="4:10" ht="18" customHeight="1">
      <c r="D203" s="417">
        <v>350210</v>
      </c>
      <c r="E203" s="418" t="s">
        <v>198</v>
      </c>
      <c r="F203" s="419">
        <f t="shared" si="8"/>
        <v>0</v>
      </c>
      <c r="G203" s="420">
        <v>0</v>
      </c>
      <c r="H203" s="420">
        <v>0</v>
      </c>
      <c r="I203" s="421">
        <v>0</v>
      </c>
      <c r="J203" s="2"/>
    </row>
    <row r="204" spans="4:10" ht="18" customHeight="1">
      <c r="D204" s="417" t="s">
        <v>1350</v>
      </c>
      <c r="E204" s="418" t="s">
        <v>200</v>
      </c>
      <c r="F204" s="419">
        <f t="shared" si="8"/>
        <v>0</v>
      </c>
      <c r="G204" s="420">
        <v>0</v>
      </c>
      <c r="H204" s="420">
        <v>0</v>
      </c>
      <c r="I204" s="421">
        <v>0</v>
      </c>
      <c r="J204" s="5"/>
    </row>
    <row r="205" spans="4:10" ht="18" customHeight="1">
      <c r="D205" s="417" t="s">
        <v>1351</v>
      </c>
      <c r="E205" s="418" t="s">
        <v>202</v>
      </c>
      <c r="F205" s="419">
        <f t="shared" si="8"/>
        <v>0</v>
      </c>
      <c r="G205" s="420">
        <v>0</v>
      </c>
      <c r="H205" s="420">
        <v>0</v>
      </c>
      <c r="I205" s="421">
        <v>0</v>
      </c>
      <c r="J205" s="5"/>
    </row>
    <row r="206" spans="4:10" ht="18" customHeight="1">
      <c r="D206" s="417" t="s">
        <v>1352</v>
      </c>
      <c r="E206" s="418" t="s">
        <v>1348</v>
      </c>
      <c r="F206" s="419">
        <f t="shared" si="8"/>
        <v>0</v>
      </c>
      <c r="G206" s="420">
        <v>0</v>
      </c>
      <c r="H206" s="420">
        <v>0</v>
      </c>
      <c r="I206" s="421">
        <v>0</v>
      </c>
      <c r="J206" s="5"/>
    </row>
    <row r="207" spans="4:10" ht="18" customHeight="1">
      <c r="D207" s="417" t="s">
        <v>1353</v>
      </c>
      <c r="E207" s="418" t="s">
        <v>1349</v>
      </c>
      <c r="F207" s="419">
        <f t="shared" si="8"/>
        <v>0</v>
      </c>
      <c r="G207" s="420">
        <v>0</v>
      </c>
      <c r="H207" s="420"/>
      <c r="I207" s="421">
        <v>0</v>
      </c>
    </row>
    <row r="208" spans="4:10" ht="18" customHeight="1">
      <c r="D208" s="426"/>
      <c r="E208" s="261" t="s">
        <v>13</v>
      </c>
      <c r="F208" s="411">
        <f>SUM(F209:F211)</f>
        <v>31277483</v>
      </c>
      <c r="G208" s="412">
        <f>SUM(G209:G211)</f>
        <v>0</v>
      </c>
      <c r="H208" s="412">
        <f>SUM(H209:H211)</f>
        <v>31277483</v>
      </c>
      <c r="I208" s="413">
        <f>SUM(I209:I211)</f>
        <v>31277483</v>
      </c>
    </row>
    <row r="209" spans="4:9" ht="18" customHeight="1">
      <c r="D209" s="417">
        <v>350951</v>
      </c>
      <c r="E209" s="418" t="s">
        <v>205</v>
      </c>
      <c r="F209" s="419">
        <f>SUMIF(N:N,D209,M:M)</f>
        <v>0</v>
      </c>
      <c r="G209" s="420">
        <v>0</v>
      </c>
      <c r="H209" s="420">
        <v>0</v>
      </c>
      <c r="I209" s="421">
        <v>0</v>
      </c>
    </row>
    <row r="210" spans="4:9" ht="18" customHeight="1">
      <c r="D210" s="417" t="s">
        <v>1354</v>
      </c>
      <c r="E210" s="418" t="s">
        <v>207</v>
      </c>
      <c r="F210" s="419">
        <f>SUMIF(N:N,D210,M:M)</f>
        <v>75278331</v>
      </c>
      <c r="G210" s="420">
        <v>0</v>
      </c>
      <c r="H210" s="420">
        <v>75278331</v>
      </c>
      <c r="I210" s="421">
        <v>75278331</v>
      </c>
    </row>
    <row r="211" spans="4:9" ht="18" customHeight="1">
      <c r="D211" s="417" t="s">
        <v>1355</v>
      </c>
      <c r="E211" s="418" t="s">
        <v>209</v>
      </c>
      <c r="F211" s="419">
        <f>SUMIF(N:N,D211,M:M)</f>
        <v>-44000848</v>
      </c>
      <c r="G211" s="420">
        <v>0</v>
      </c>
      <c r="H211" s="420">
        <v>-44000848</v>
      </c>
      <c r="I211" s="421">
        <v>-44000848</v>
      </c>
    </row>
    <row r="212" spans="4:9" ht="18" customHeight="1">
      <c r="D212" s="432"/>
      <c r="E212" s="260" t="s">
        <v>210</v>
      </c>
      <c r="F212" s="404">
        <f>F213</f>
        <v>0</v>
      </c>
      <c r="G212" s="405">
        <f>G213</f>
        <v>0</v>
      </c>
      <c r="H212" s="405">
        <f>H213</f>
        <v>0</v>
      </c>
      <c r="I212" s="406">
        <f>I213</f>
        <v>0</v>
      </c>
    </row>
    <row r="213" spans="4:9" ht="18" customHeight="1">
      <c r="D213" s="435" t="s">
        <v>492</v>
      </c>
      <c r="E213" s="4" t="s">
        <v>210</v>
      </c>
      <c r="F213" s="419"/>
      <c r="G213" s="420"/>
      <c r="H213" s="420">
        <f>SUM(F213:G213)</f>
        <v>0</v>
      </c>
      <c r="I213" s="421">
        <f>ROUND(H213*$I$3,0)</f>
        <v>0</v>
      </c>
    </row>
    <row r="214" spans="4:9" ht="18" customHeight="1" thickBot="1">
      <c r="D214" s="436"/>
      <c r="E214" s="437" t="s">
        <v>212</v>
      </c>
      <c r="F214" s="438">
        <f>SUM(F191,F126)</f>
        <v>58675929</v>
      </c>
      <c r="G214" s="439">
        <f>SUM(G191,G126)</f>
        <v>0</v>
      </c>
      <c r="H214" s="439">
        <f>SUM(H191,H126)</f>
        <v>58675929</v>
      </c>
      <c r="I214" s="440">
        <f>SUM(I191,I126)</f>
        <v>58675929</v>
      </c>
    </row>
    <row r="215" spans="4:9" ht="18" customHeight="1">
      <c r="D215" s="258"/>
      <c r="I215" s="373"/>
    </row>
    <row r="216" spans="4:9" ht="18" customHeight="1">
      <c r="D216" s="258"/>
      <c r="F216" s="5"/>
      <c r="G216" s="5"/>
      <c r="H216" s="441"/>
      <c r="I216" s="441"/>
    </row>
    <row r="217" spans="4:9" ht="18" customHeight="1">
      <c r="D217" s="258"/>
      <c r="F217" s="5"/>
      <c r="H217" s="442">
        <v>0</v>
      </c>
      <c r="I217" s="442">
        <v>0</v>
      </c>
    </row>
    <row r="218" spans="4:9" ht="18" customHeight="1">
      <c r="D218" s="258"/>
      <c r="I218" s="443"/>
    </row>
    <row r="219" spans="4:9" ht="18" customHeight="1">
      <c r="D219" s="258"/>
      <c r="G219" s="5"/>
      <c r="H219" s="252"/>
    </row>
    <row r="220" spans="4:9" ht="18" customHeight="1">
      <c r="D220" s="258"/>
      <c r="H220" s="252"/>
    </row>
    <row r="221" spans="4:9" ht="18" customHeight="1">
      <c r="D221" s="258"/>
    </row>
    <row r="222" spans="4:9" ht="18" customHeight="1">
      <c r="D222" s="258"/>
      <c r="H222" s="373">
        <v>-269597302</v>
      </c>
      <c r="I222" s="373">
        <v>-3550252625</v>
      </c>
    </row>
    <row r="223" spans="4:9" ht="18" customHeight="1">
      <c r="D223" s="258"/>
      <c r="H223" s="444"/>
    </row>
    <row r="224" spans="4:9" ht="18" customHeight="1">
      <c r="D224" s="258"/>
      <c r="H224" s="445"/>
    </row>
    <row r="225" spans="4:4" ht="18" customHeight="1">
      <c r="D225" s="258"/>
    </row>
    <row r="226" spans="4:4" ht="18" customHeight="1">
      <c r="D226" s="258"/>
    </row>
    <row r="227" spans="4:4" ht="18" customHeight="1">
      <c r="D227" s="258"/>
    </row>
    <row r="228" spans="4:4" ht="18" customHeight="1">
      <c r="D228" s="258"/>
    </row>
    <row r="229" spans="4:4" ht="18" customHeight="1">
      <c r="D229" s="258"/>
    </row>
    <row r="230" spans="4:4" ht="18" customHeight="1">
      <c r="D230" s="258"/>
    </row>
    <row r="231" spans="4:4" ht="18" customHeight="1">
      <c r="D231" s="258"/>
    </row>
    <row r="232" spans="4:4" ht="18" customHeight="1">
      <c r="D232" s="258"/>
    </row>
    <row r="233" spans="4:4" ht="18" customHeight="1">
      <c r="D233" s="258"/>
    </row>
    <row r="234" spans="4:4" ht="18" customHeight="1">
      <c r="D234" s="258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rgb="FF002060"/>
  </sheetPr>
  <dimension ref="D2:U315"/>
  <sheetViews>
    <sheetView showGridLines="0" topLeftCell="A2" zoomScale="80" zoomScaleNormal="80" workbookViewId="0">
      <pane xSplit="8" ySplit="3" topLeftCell="I5" activePane="bottomRight" state="frozen"/>
      <selection activeCell="F26" sqref="F26"/>
      <selection pane="topRight" activeCell="F26" sqref="F26"/>
      <selection pane="bottomLeft" activeCell="F26" sqref="F26"/>
      <selection pane="bottomRight" activeCell="T289" sqref="T289"/>
    </sheetView>
  </sheetViews>
  <sheetFormatPr defaultColWidth="8.75" defaultRowHeight="18" customHeight="1"/>
  <cols>
    <col min="1" max="3" width="2.375" style="498" customWidth="1"/>
    <col min="4" max="4" width="9.875" style="1240" customWidth="1"/>
    <col min="5" max="7" width="9.875" style="1241" customWidth="1"/>
    <col min="8" max="8" width="37.375" style="1241" bestFit="1" customWidth="1"/>
    <col min="9" max="9" width="2.875" style="1241" customWidth="1"/>
    <col min="10" max="10" width="18.125" style="1241" customWidth="1"/>
    <col min="11" max="13" width="17.625" style="1241" customWidth="1"/>
    <col min="14" max="14" width="2.625" style="498" customWidth="1"/>
    <col min="15" max="15" width="19.625" style="524" customWidth="1"/>
    <col min="16" max="16" width="15" style="1241" customWidth="1"/>
    <col min="17" max="17" width="17.375" style="565" customWidth="1"/>
    <col min="18" max="18" width="2.625" style="498" customWidth="1"/>
    <col min="19" max="19" width="11.25" style="498" customWidth="1"/>
    <col min="20" max="20" width="14.875" style="498" customWidth="1"/>
    <col min="21" max="21" width="10.875" style="498" bestFit="1" customWidth="1"/>
    <col min="22" max="16384" width="8.75" style="498"/>
  </cols>
  <sheetData>
    <row r="2" spans="4:20" ht="18" customHeight="1">
      <c r="K2" s="1242"/>
    </row>
    <row r="3" spans="4:20" s="540" customFormat="1" ht="18" customHeight="1" thickBot="1">
      <c r="D3" s="1243"/>
      <c r="K3" s="540" t="b">
        <f>K315=0</f>
        <v>0</v>
      </c>
      <c r="L3" s="540" t="b">
        <f>L315=0</f>
        <v>0</v>
      </c>
      <c r="M3" s="540" t="b">
        <f>M315=0</f>
        <v>1</v>
      </c>
      <c r="O3" s="530" t="s">
        <v>2883</v>
      </c>
      <c r="P3" s="524"/>
      <c r="Q3" s="495"/>
    </row>
    <row r="4" spans="4:20" s="519" customFormat="1" ht="18" customHeight="1" thickBot="1">
      <c r="D4" s="1244" t="s">
        <v>1478</v>
      </c>
      <c r="E4" s="1245" t="s">
        <v>1479</v>
      </c>
      <c r="F4" s="1245" t="s">
        <v>1480</v>
      </c>
      <c r="G4" s="1245" t="s">
        <v>1481</v>
      </c>
      <c r="H4" s="1245" t="s">
        <v>691</v>
      </c>
      <c r="I4" s="1245"/>
      <c r="J4" s="1245" t="s">
        <v>1482</v>
      </c>
      <c r="K4" s="1245" t="s">
        <v>1530</v>
      </c>
      <c r="L4" s="1245" t="s">
        <v>1529</v>
      </c>
      <c r="M4" s="1246" t="s">
        <v>1528</v>
      </c>
      <c r="O4" s="1247" t="s">
        <v>18</v>
      </c>
      <c r="P4" s="1248" t="s">
        <v>610</v>
      </c>
      <c r="Q4" s="1249" t="s">
        <v>477</v>
      </c>
    </row>
    <row r="5" spans="4:20" ht="18" customHeight="1">
      <c r="D5" s="1250">
        <v>2022</v>
      </c>
      <c r="E5" s="1251">
        <v>3</v>
      </c>
      <c r="F5" s="1251" t="s">
        <v>1483</v>
      </c>
      <c r="G5" s="1251" t="s">
        <v>692</v>
      </c>
      <c r="H5" s="1251" t="s">
        <v>693</v>
      </c>
      <c r="I5" s="1251">
        <v>1</v>
      </c>
      <c r="J5" s="1251" t="s">
        <v>1484</v>
      </c>
      <c r="K5" s="1251">
        <f>SUM(K6,K8,K62,K105,K149)</f>
        <v>10895330657</v>
      </c>
      <c r="L5" s="1251">
        <f>SUM(L6,L8,L62,L105,L149)</f>
        <v>10895330657</v>
      </c>
      <c r="M5" s="1252">
        <f>SUM(M6,M8,M62,M105,M149)</f>
        <v>0</v>
      </c>
      <c r="O5" s="1253"/>
      <c r="P5" s="1254">
        <f>O5-L5</f>
        <v>-10895330657</v>
      </c>
      <c r="Q5" s="1255"/>
      <c r="S5" s="498" t="s">
        <v>1914</v>
      </c>
      <c r="T5" s="498">
        <f>-SUMIF(T198_TB!$M:$M,'CFS(연간)'!S5,T198_TB!$L:$L)</f>
        <v>274224112673</v>
      </c>
    </row>
    <row r="6" spans="4:20" ht="18" customHeight="1">
      <c r="D6" s="1256">
        <v>2022</v>
      </c>
      <c r="E6" s="1257">
        <v>3</v>
      </c>
      <c r="F6" s="1257" t="s">
        <v>632</v>
      </c>
      <c r="G6" s="1257" t="s">
        <v>694</v>
      </c>
      <c r="H6" s="1257" t="s">
        <v>209</v>
      </c>
      <c r="I6" s="1257">
        <v>2</v>
      </c>
      <c r="J6" s="1257" t="s">
        <v>473</v>
      </c>
      <c r="K6" s="1257">
        <f>K7</f>
        <v>45209287556</v>
      </c>
      <c r="L6" s="1257">
        <f>L7</f>
        <v>45209287556</v>
      </c>
      <c r="M6" s="1258">
        <f>L6-K6</f>
        <v>0</v>
      </c>
      <c r="O6" s="1253"/>
      <c r="P6" s="1254">
        <f t="shared" ref="P6:P67" si="0">O6-L6</f>
        <v>-45209287556</v>
      </c>
      <c r="Q6" s="1255"/>
      <c r="S6" s="498" t="s">
        <v>2061</v>
      </c>
      <c r="T6" s="498">
        <f>-SUMIF(T198_TB!$M:$M,'CFS(연간)'!S6,T198_TB!$L:$L)</f>
        <v>-214733437246</v>
      </c>
    </row>
    <row r="7" spans="4:20" ht="18" customHeight="1">
      <c r="D7" s="1259">
        <v>2022</v>
      </c>
      <c r="E7" s="1254">
        <v>3</v>
      </c>
      <c r="F7" s="1254" t="s">
        <v>632</v>
      </c>
      <c r="G7" s="1254" t="s">
        <v>695</v>
      </c>
      <c r="H7" s="1254" t="s">
        <v>696</v>
      </c>
      <c r="I7" s="1254">
        <v>3</v>
      </c>
      <c r="J7" s="1254" t="s">
        <v>473</v>
      </c>
      <c r="K7" s="1254">
        <f>SUMIF('CF.1'!$D:$D,'CFS(연간)'!G7,'CF.1'!$U:$U)</f>
        <v>45209287556</v>
      </c>
      <c r="L7" s="1254">
        <f>K7</f>
        <v>45209287556</v>
      </c>
      <c r="M7" s="1260">
        <f>L7-K7</f>
        <v>0</v>
      </c>
      <c r="O7" s="1253"/>
      <c r="P7" s="1254">
        <f t="shared" si="0"/>
        <v>-45209287556</v>
      </c>
      <c r="Q7" s="1255"/>
      <c r="S7" s="498" t="s">
        <v>2063</v>
      </c>
      <c r="T7" s="498">
        <f>-SUMIF(T198_TB!$M:$M,'CFS(연간)'!S7,T198_TB!$L:$L)</f>
        <v>-67518331598</v>
      </c>
    </row>
    <row r="8" spans="4:20" ht="18" customHeight="1">
      <c r="D8" s="1261">
        <v>2022</v>
      </c>
      <c r="E8" s="1262">
        <v>3</v>
      </c>
      <c r="F8" s="1262" t="s">
        <v>632</v>
      </c>
      <c r="G8" s="1262" t="s">
        <v>697</v>
      </c>
      <c r="H8" s="1262" t="s">
        <v>2570</v>
      </c>
      <c r="I8" s="1262">
        <v>2</v>
      </c>
      <c r="J8" s="1262" t="s">
        <v>473</v>
      </c>
      <c r="K8" s="1262">
        <f>SUM(K9:K61)</f>
        <v>11493528143</v>
      </c>
      <c r="L8" s="1262">
        <f>SUM(L9:L61)</f>
        <v>11493528143</v>
      </c>
      <c r="M8" s="1263">
        <f>SUM(M9:M61)</f>
        <v>0</v>
      </c>
      <c r="O8" s="1253"/>
      <c r="P8" s="1254">
        <f t="shared" si="0"/>
        <v>-11493528143</v>
      </c>
      <c r="Q8" s="1255"/>
      <c r="S8" s="498" t="s">
        <v>2064</v>
      </c>
      <c r="T8" s="498">
        <f>-SUMIF(T198_TB!$M:$M,'CFS(연간)'!S8,T198_TB!$L:$L)</f>
        <v>43640885624</v>
      </c>
    </row>
    <row r="9" spans="4:20" s="543" customFormat="1" ht="18" customHeight="1">
      <c r="D9" s="1264">
        <v>2022</v>
      </c>
      <c r="E9" s="1265">
        <v>3</v>
      </c>
      <c r="F9" s="1265" t="s">
        <v>632</v>
      </c>
      <c r="G9" s="1265" t="s">
        <v>699</v>
      </c>
      <c r="H9" s="1265" t="s">
        <v>488</v>
      </c>
      <c r="I9" s="1265">
        <v>3</v>
      </c>
      <c r="J9" s="1265" t="s">
        <v>473</v>
      </c>
      <c r="K9" s="1265">
        <f>SUMIF('CF.1'!$D:$D,'CFS(연간)'!G9,'CF.1'!$U:$U)</f>
        <v>1054349734</v>
      </c>
      <c r="L9" s="1265">
        <f t="shared" ref="L9:L44" si="1">K9</f>
        <v>1054349734</v>
      </c>
      <c r="M9" s="1266">
        <f t="shared" ref="M9:M25" si="2">L9-K9</f>
        <v>0</v>
      </c>
      <c r="O9" s="1267"/>
      <c r="P9" s="1254">
        <f t="shared" si="0"/>
        <v>-1054349734</v>
      </c>
      <c r="Q9" s="1268"/>
      <c r="S9" s="498" t="s">
        <v>2065</v>
      </c>
      <c r="T9" s="498">
        <f>-SUMIF(T198_TB!$M:$M,'CFS(연간)'!S9,T198_TB!$L:$L)</f>
        <v>-6376732352</v>
      </c>
    </row>
    <row r="10" spans="4:20" ht="18" customHeight="1">
      <c r="D10" s="1264">
        <v>2022</v>
      </c>
      <c r="E10" s="1265">
        <v>3</v>
      </c>
      <c r="F10" s="1265" t="s">
        <v>632</v>
      </c>
      <c r="G10" s="1265" t="s">
        <v>700</v>
      </c>
      <c r="H10" s="1265" t="s">
        <v>386</v>
      </c>
      <c r="I10" s="1265">
        <v>3</v>
      </c>
      <c r="J10" s="1265" t="s">
        <v>473</v>
      </c>
      <c r="K10" s="1265">
        <f>SUMIF('CF.1'!$D:$D,'CFS(연간)'!G10,'CF.1'!$U:$U)</f>
        <v>2714238500</v>
      </c>
      <c r="L10" s="1265">
        <f t="shared" si="1"/>
        <v>2714238500</v>
      </c>
      <c r="M10" s="1266">
        <f t="shared" si="2"/>
        <v>0</v>
      </c>
      <c r="O10" s="1269"/>
      <c r="P10" s="1254">
        <f t="shared" si="0"/>
        <v>-2714238500</v>
      </c>
      <c r="Q10" s="1255"/>
      <c r="S10" s="543" t="s">
        <v>1916</v>
      </c>
      <c r="T10" s="543">
        <f>SUM(T5:T9)</f>
        <v>29236497101</v>
      </c>
    </row>
    <row r="11" spans="4:20" s="543" customFormat="1" ht="18" customHeight="1">
      <c r="D11" s="1270">
        <v>2022</v>
      </c>
      <c r="E11" s="1265">
        <v>3</v>
      </c>
      <c r="F11" s="1265" t="s">
        <v>632</v>
      </c>
      <c r="G11" s="1265" t="s">
        <v>2561</v>
      </c>
      <c r="H11" s="1265" t="s">
        <v>2559</v>
      </c>
      <c r="I11" s="1265">
        <v>3</v>
      </c>
      <c r="J11" s="1265" t="s">
        <v>473</v>
      </c>
      <c r="K11" s="1265">
        <f>SUMIF('CF.1'!$D:$D,'CFS(연간)'!G11,'CF.1'!$U:$U)</f>
        <v>2127018031</v>
      </c>
      <c r="L11" s="1265">
        <f t="shared" si="1"/>
        <v>2127018031</v>
      </c>
      <c r="M11" s="1266">
        <f t="shared" si="2"/>
        <v>0</v>
      </c>
      <c r="O11" s="1267"/>
      <c r="P11" s="1254">
        <f t="shared" si="0"/>
        <v>-2127018031</v>
      </c>
      <c r="Q11" s="1268"/>
      <c r="S11" s="498"/>
      <c r="T11" s="498">
        <f>L7-T10</f>
        <v>15972790455</v>
      </c>
    </row>
    <row r="12" spans="4:20" ht="18" customHeight="1">
      <c r="D12" s="1264">
        <v>2022</v>
      </c>
      <c r="E12" s="1265">
        <v>3</v>
      </c>
      <c r="F12" s="1265" t="s">
        <v>632</v>
      </c>
      <c r="G12" s="1265" t="s">
        <v>701</v>
      </c>
      <c r="H12" s="1265" t="s">
        <v>262</v>
      </c>
      <c r="I12" s="1265">
        <v>3</v>
      </c>
      <c r="J12" s="1265" t="s">
        <v>473</v>
      </c>
      <c r="K12" s="1265">
        <f>SUMIF('CF.1'!$D:$D,'CFS(연간)'!G12,'CF.1'!$U:$U)</f>
        <v>1438114849</v>
      </c>
      <c r="L12" s="1265">
        <f t="shared" si="1"/>
        <v>1438114849</v>
      </c>
      <c r="M12" s="1266">
        <f t="shared" si="2"/>
        <v>0</v>
      </c>
      <c r="O12" s="1267"/>
      <c r="P12" s="1254">
        <f t="shared" si="0"/>
        <v>-1438114849</v>
      </c>
      <c r="Q12" s="1255"/>
      <c r="S12" s="543"/>
      <c r="T12" s="543"/>
    </row>
    <row r="13" spans="4:20" ht="18" customHeight="1">
      <c r="D13" s="1264">
        <v>2022</v>
      </c>
      <c r="E13" s="1265">
        <v>3</v>
      </c>
      <c r="F13" s="1265" t="s">
        <v>632</v>
      </c>
      <c r="G13" s="1265" t="s">
        <v>702</v>
      </c>
      <c r="H13" s="1265" t="s">
        <v>302</v>
      </c>
      <c r="I13" s="1265">
        <v>3</v>
      </c>
      <c r="J13" s="1265" t="s">
        <v>473</v>
      </c>
      <c r="K13" s="1265">
        <f>SUMIF('CF.1'!$D:$D,'CFS(연간)'!G13,'CF.1'!$U:$U)</f>
        <v>11147782</v>
      </c>
      <c r="L13" s="1265">
        <f t="shared" si="1"/>
        <v>11147782</v>
      </c>
      <c r="M13" s="1266">
        <f t="shared" si="2"/>
        <v>0</v>
      </c>
      <c r="O13" s="1267"/>
      <c r="P13" s="1254">
        <f t="shared" si="0"/>
        <v>-11147782</v>
      </c>
      <c r="Q13" s="1255"/>
    </row>
    <row r="14" spans="4:20" ht="18" customHeight="1">
      <c r="D14" s="1264">
        <v>2022</v>
      </c>
      <c r="E14" s="1265">
        <v>3</v>
      </c>
      <c r="F14" s="1265" t="s">
        <v>632</v>
      </c>
      <c r="G14" s="1265" t="s">
        <v>703</v>
      </c>
      <c r="H14" s="1265" t="s">
        <v>683</v>
      </c>
      <c r="I14" s="1265">
        <v>3</v>
      </c>
      <c r="J14" s="1265" t="s">
        <v>473</v>
      </c>
      <c r="K14" s="1265">
        <f>SUMIF('CF.1'!$D:$D,'CFS(연간)'!G14,'CF.1'!$U:$U)</f>
        <v>103356804</v>
      </c>
      <c r="L14" s="1265">
        <f t="shared" si="1"/>
        <v>103356804</v>
      </c>
      <c r="M14" s="1266">
        <f t="shared" si="2"/>
        <v>0</v>
      </c>
      <c r="O14" s="1267"/>
      <c r="P14" s="1254">
        <f t="shared" si="0"/>
        <v>-103356804</v>
      </c>
      <c r="Q14" s="1255"/>
      <c r="S14" s="543"/>
      <c r="T14" s="543"/>
    </row>
    <row r="15" spans="4:20" ht="18" customHeight="1">
      <c r="D15" s="1264">
        <v>2022</v>
      </c>
      <c r="E15" s="1265">
        <v>3</v>
      </c>
      <c r="F15" s="1265" t="s">
        <v>632</v>
      </c>
      <c r="G15" s="1265" t="s">
        <v>704</v>
      </c>
      <c r="H15" s="1265" t="s">
        <v>705</v>
      </c>
      <c r="I15" s="1265">
        <v>3</v>
      </c>
      <c r="J15" s="1265" t="s">
        <v>473</v>
      </c>
      <c r="K15" s="1265">
        <f>SUMIF('CF.1'!$D:$D,'CFS(연간)'!G15,'CF.1'!$U:$U)</f>
        <v>0</v>
      </c>
      <c r="L15" s="1265">
        <f t="shared" si="1"/>
        <v>0</v>
      </c>
      <c r="M15" s="1266">
        <f t="shared" si="2"/>
        <v>0</v>
      </c>
      <c r="O15" s="1267"/>
      <c r="P15" s="1254">
        <f t="shared" si="0"/>
        <v>0</v>
      </c>
      <c r="Q15" s="1255"/>
    </row>
    <row r="16" spans="4:20" ht="18" customHeight="1">
      <c r="D16" s="1270">
        <v>2022</v>
      </c>
      <c r="E16" s="1271">
        <v>3</v>
      </c>
      <c r="F16" s="1271" t="s">
        <v>632</v>
      </c>
      <c r="G16" s="1271" t="s">
        <v>788</v>
      </c>
      <c r="H16" s="1271" t="s">
        <v>789</v>
      </c>
      <c r="I16" s="1265">
        <v>3</v>
      </c>
      <c r="J16" s="1265" t="s">
        <v>473</v>
      </c>
      <c r="K16" s="1265">
        <f>SUMIF('CF.1'!$D:$D,'CFS(연간)'!G16,'CF.1'!$U:$U)</f>
        <v>2394018200</v>
      </c>
      <c r="L16" s="1265">
        <f t="shared" si="1"/>
        <v>2394018200</v>
      </c>
      <c r="M16" s="1266">
        <f t="shared" si="2"/>
        <v>0</v>
      </c>
      <c r="O16" s="1267"/>
      <c r="P16" s="1254">
        <f t="shared" si="0"/>
        <v>-2394018200</v>
      </c>
      <c r="Q16" s="1255"/>
    </row>
    <row r="17" spans="4:17" ht="18" customHeight="1">
      <c r="D17" s="1264">
        <v>2022</v>
      </c>
      <c r="E17" s="1265">
        <v>3</v>
      </c>
      <c r="F17" s="1265" t="s">
        <v>632</v>
      </c>
      <c r="G17" s="1265" t="s">
        <v>708</v>
      </c>
      <c r="H17" s="1265" t="s">
        <v>709</v>
      </c>
      <c r="I17" s="1265">
        <v>3</v>
      </c>
      <c r="J17" s="1265" t="s">
        <v>473</v>
      </c>
      <c r="K17" s="1265">
        <f>SUMIF('CF.1'!$D:$D,'CFS(연간)'!G17,'CF.1'!$U:$U)</f>
        <v>0</v>
      </c>
      <c r="L17" s="1265">
        <f t="shared" si="1"/>
        <v>0</v>
      </c>
      <c r="M17" s="1266">
        <f t="shared" si="2"/>
        <v>0</v>
      </c>
      <c r="O17" s="1267"/>
      <c r="P17" s="1254">
        <f t="shared" si="0"/>
        <v>0</v>
      </c>
      <c r="Q17" s="1255"/>
    </row>
    <row r="18" spans="4:17" ht="18" customHeight="1">
      <c r="D18" s="1264">
        <v>2022</v>
      </c>
      <c r="E18" s="1265">
        <v>3</v>
      </c>
      <c r="F18" s="1265" t="s">
        <v>632</v>
      </c>
      <c r="G18" s="1265" t="s">
        <v>710</v>
      </c>
      <c r="H18" s="1265" t="s">
        <v>711</v>
      </c>
      <c r="I18" s="1265">
        <v>3</v>
      </c>
      <c r="J18" s="1265" t="s">
        <v>473</v>
      </c>
      <c r="K18" s="1265">
        <f>SUMIF('CF.1'!$D:$D,'CFS(연간)'!G18,'CF.1'!$U:$U)</f>
        <v>0</v>
      </c>
      <c r="L18" s="1265">
        <f t="shared" si="1"/>
        <v>0</v>
      </c>
      <c r="M18" s="1266">
        <f t="shared" si="2"/>
        <v>0</v>
      </c>
      <c r="O18" s="1267"/>
      <c r="P18" s="1254">
        <f t="shared" si="0"/>
        <v>0</v>
      </c>
      <c r="Q18" s="1255"/>
    </row>
    <row r="19" spans="4:17" ht="18" customHeight="1">
      <c r="D19" s="1264">
        <v>2022</v>
      </c>
      <c r="E19" s="1265">
        <v>3</v>
      </c>
      <c r="F19" s="1265" t="s">
        <v>632</v>
      </c>
      <c r="G19" s="1265" t="s">
        <v>712</v>
      </c>
      <c r="H19" s="1265" t="s">
        <v>713</v>
      </c>
      <c r="I19" s="1265">
        <v>3</v>
      </c>
      <c r="J19" s="1265" t="s">
        <v>473</v>
      </c>
      <c r="K19" s="1265">
        <f>SUMIF('CF.1'!$D:$D,'CFS(연간)'!G19,'CF.1'!$U:$U)</f>
        <v>0</v>
      </c>
      <c r="L19" s="1265">
        <f t="shared" si="1"/>
        <v>0</v>
      </c>
      <c r="M19" s="1266">
        <f t="shared" si="2"/>
        <v>0</v>
      </c>
      <c r="O19" s="1267"/>
      <c r="P19" s="1254">
        <f t="shared" si="0"/>
        <v>0</v>
      </c>
      <c r="Q19" s="1255"/>
    </row>
    <row r="20" spans="4:17" ht="18" customHeight="1">
      <c r="D20" s="1264">
        <v>2022</v>
      </c>
      <c r="E20" s="1265">
        <v>3</v>
      </c>
      <c r="F20" s="1265" t="s">
        <v>632</v>
      </c>
      <c r="G20" s="1265" t="s">
        <v>714</v>
      </c>
      <c r="H20" s="1265" t="s">
        <v>715</v>
      </c>
      <c r="I20" s="1265">
        <v>3</v>
      </c>
      <c r="J20" s="1265" t="s">
        <v>473</v>
      </c>
      <c r="K20" s="1265">
        <f>SUMIF('CF.1'!$D:$D,'CFS(연간)'!G20,'CF.1'!$U:$U)</f>
        <v>201029108</v>
      </c>
      <c r="L20" s="1265">
        <f t="shared" si="1"/>
        <v>201029108</v>
      </c>
      <c r="M20" s="1266">
        <f t="shared" si="2"/>
        <v>0</v>
      </c>
      <c r="O20" s="1267"/>
      <c r="P20" s="1254">
        <f t="shared" si="0"/>
        <v>-201029108</v>
      </c>
      <c r="Q20" s="1255"/>
    </row>
    <row r="21" spans="4:17" ht="18" customHeight="1">
      <c r="D21" s="1264">
        <v>2022</v>
      </c>
      <c r="E21" s="1265">
        <v>3</v>
      </c>
      <c r="F21" s="1265" t="s">
        <v>632</v>
      </c>
      <c r="G21" s="1265" t="s">
        <v>716</v>
      </c>
      <c r="H21" s="1265" t="s">
        <v>717</v>
      </c>
      <c r="I21" s="1265">
        <v>3</v>
      </c>
      <c r="J21" s="1265" t="s">
        <v>473</v>
      </c>
      <c r="K21" s="1265">
        <f>SUMIF('CF.1'!$D:$D,'CFS(연간)'!G21,'CF.1'!$U:$U)</f>
        <v>0</v>
      </c>
      <c r="L21" s="1265">
        <f t="shared" si="1"/>
        <v>0</v>
      </c>
      <c r="M21" s="1266">
        <f t="shared" si="2"/>
        <v>0</v>
      </c>
      <c r="O21" s="1267"/>
      <c r="P21" s="1254">
        <f t="shared" si="0"/>
        <v>0</v>
      </c>
      <c r="Q21" s="1255"/>
    </row>
    <row r="22" spans="4:17" ht="18" customHeight="1">
      <c r="D22" s="1264">
        <v>2022</v>
      </c>
      <c r="E22" s="1265">
        <v>3</v>
      </c>
      <c r="F22" s="1265" t="s">
        <v>632</v>
      </c>
      <c r="G22" s="1265" t="s">
        <v>718</v>
      </c>
      <c r="H22" s="1265" t="s">
        <v>719</v>
      </c>
      <c r="I22" s="1265">
        <v>3</v>
      </c>
      <c r="J22" s="1265" t="s">
        <v>473</v>
      </c>
      <c r="K22" s="1265">
        <f>SUMIF('CF.1'!$D:$D,'CFS(연간)'!G22,'CF.1'!$U:$U)</f>
        <v>0</v>
      </c>
      <c r="L22" s="1265">
        <f t="shared" si="1"/>
        <v>0</v>
      </c>
      <c r="M22" s="1266">
        <f t="shared" si="2"/>
        <v>0</v>
      </c>
      <c r="O22" s="1267"/>
      <c r="P22" s="1254">
        <f t="shared" si="0"/>
        <v>0</v>
      </c>
      <c r="Q22" s="1255"/>
    </row>
    <row r="23" spans="4:17" ht="18" customHeight="1">
      <c r="D23" s="1264">
        <v>2022</v>
      </c>
      <c r="E23" s="1265">
        <v>3</v>
      </c>
      <c r="F23" s="1265" t="s">
        <v>632</v>
      </c>
      <c r="G23" s="1265" t="s">
        <v>720</v>
      </c>
      <c r="H23" s="1265" t="s">
        <v>721</v>
      </c>
      <c r="I23" s="1265">
        <v>3</v>
      </c>
      <c r="J23" s="1265" t="s">
        <v>473</v>
      </c>
      <c r="K23" s="1265">
        <f>SUMIF('CF.1'!$D:$D,'CFS(연간)'!G23,'CF.1'!$U:$U)</f>
        <v>0</v>
      </c>
      <c r="L23" s="1265">
        <f t="shared" si="1"/>
        <v>0</v>
      </c>
      <c r="M23" s="1266">
        <f t="shared" si="2"/>
        <v>0</v>
      </c>
      <c r="O23" s="1267"/>
      <c r="P23" s="1254">
        <f t="shared" si="0"/>
        <v>0</v>
      </c>
      <c r="Q23" s="1255"/>
    </row>
    <row r="24" spans="4:17" ht="18" customHeight="1">
      <c r="D24" s="1264">
        <v>2022</v>
      </c>
      <c r="E24" s="1265">
        <v>3</v>
      </c>
      <c r="F24" s="1265" t="s">
        <v>632</v>
      </c>
      <c r="G24" s="1265" t="s">
        <v>722</v>
      </c>
      <c r="H24" s="1265" t="s">
        <v>723</v>
      </c>
      <c r="I24" s="1265">
        <v>3</v>
      </c>
      <c r="J24" s="1265" t="s">
        <v>473</v>
      </c>
      <c r="K24" s="1265">
        <f>SUMIF('CF.1'!$D:$D,'CFS(연간)'!G24,'CF.1'!$U:$U)</f>
        <v>0</v>
      </c>
      <c r="L24" s="1265">
        <f t="shared" si="1"/>
        <v>0</v>
      </c>
      <c r="M24" s="1266">
        <f t="shared" si="2"/>
        <v>0</v>
      </c>
      <c r="O24" s="1267"/>
      <c r="P24" s="1254">
        <f t="shared" si="0"/>
        <v>0</v>
      </c>
      <c r="Q24" s="1255"/>
    </row>
    <row r="25" spans="4:17" ht="18" customHeight="1">
      <c r="D25" s="1264">
        <v>2022</v>
      </c>
      <c r="E25" s="1265">
        <v>3</v>
      </c>
      <c r="F25" s="1265" t="s">
        <v>632</v>
      </c>
      <c r="G25" s="1265" t="s">
        <v>724</v>
      </c>
      <c r="H25" s="1265" t="s">
        <v>725</v>
      </c>
      <c r="I25" s="1265">
        <v>3</v>
      </c>
      <c r="J25" s="1265" t="s">
        <v>473</v>
      </c>
      <c r="K25" s="1265">
        <f>SUMIF('CF.1'!$D:$D,'CFS(연간)'!G25,'CF.1'!$U:$U)</f>
        <v>0</v>
      </c>
      <c r="L25" s="1265">
        <f t="shared" si="1"/>
        <v>0</v>
      </c>
      <c r="M25" s="1266">
        <f t="shared" si="2"/>
        <v>0</v>
      </c>
      <c r="O25" s="1267"/>
      <c r="P25" s="1254">
        <f t="shared" si="0"/>
        <v>0</v>
      </c>
      <c r="Q25" s="1255"/>
    </row>
    <row r="26" spans="4:17" ht="18" customHeight="1">
      <c r="D26" s="1264">
        <v>2022</v>
      </c>
      <c r="E26" s="1265">
        <v>3</v>
      </c>
      <c r="F26" s="1265" t="s">
        <v>632</v>
      </c>
      <c r="G26" s="1265" t="s">
        <v>726</v>
      </c>
      <c r="H26" s="1265" t="s">
        <v>727</v>
      </c>
      <c r="I26" s="1265">
        <v>3</v>
      </c>
      <c r="J26" s="1265" t="s">
        <v>473</v>
      </c>
      <c r="K26" s="1265">
        <f>SUMIF('CF.1'!$D:$D,'CFS(연간)'!G26,'CF.1'!$U:$U)</f>
        <v>0</v>
      </c>
      <c r="L26" s="1265">
        <f t="shared" si="1"/>
        <v>0</v>
      </c>
      <c r="M26" s="1266">
        <f t="shared" ref="M26:M61" si="3">L26-K26</f>
        <v>0</v>
      </c>
      <c r="O26" s="1267"/>
      <c r="P26" s="1254">
        <f t="shared" si="0"/>
        <v>0</v>
      </c>
      <c r="Q26" s="1255"/>
    </row>
    <row r="27" spans="4:17" ht="18" customHeight="1">
      <c r="D27" s="1264">
        <v>2022</v>
      </c>
      <c r="E27" s="1265">
        <v>3</v>
      </c>
      <c r="F27" s="1265" t="s">
        <v>632</v>
      </c>
      <c r="G27" s="1265" t="s">
        <v>728</v>
      </c>
      <c r="H27" s="1265" t="s">
        <v>729</v>
      </c>
      <c r="I27" s="1265">
        <v>3</v>
      </c>
      <c r="J27" s="1265" t="s">
        <v>473</v>
      </c>
      <c r="K27" s="1265">
        <f>SUMIF('CF.1'!$D:$D,'CFS(연간)'!G27,'CF.1'!$U:$U)</f>
        <v>0</v>
      </c>
      <c r="L27" s="1265">
        <f t="shared" si="1"/>
        <v>0</v>
      </c>
      <c r="M27" s="1266">
        <f t="shared" si="3"/>
        <v>0</v>
      </c>
      <c r="O27" s="1267"/>
      <c r="P27" s="1254">
        <f t="shared" si="0"/>
        <v>0</v>
      </c>
      <c r="Q27" s="1255"/>
    </row>
    <row r="28" spans="4:17" ht="18" customHeight="1">
      <c r="D28" s="1264">
        <v>2022</v>
      </c>
      <c r="E28" s="1265">
        <v>3</v>
      </c>
      <c r="F28" s="1265" t="s">
        <v>632</v>
      </c>
      <c r="G28" s="1265" t="s">
        <v>730</v>
      </c>
      <c r="H28" s="1265" t="s">
        <v>687</v>
      </c>
      <c r="I28" s="1265">
        <v>3</v>
      </c>
      <c r="J28" s="1265" t="s">
        <v>473</v>
      </c>
      <c r="K28" s="1265">
        <f>SUMIF('CF.1'!$D:$D,'CFS(연간)'!G28,'CF.1'!$U:$U)</f>
        <v>0</v>
      </c>
      <c r="L28" s="1265">
        <f t="shared" si="1"/>
        <v>0</v>
      </c>
      <c r="M28" s="1266">
        <f t="shared" si="3"/>
        <v>0</v>
      </c>
      <c r="O28" s="1267"/>
      <c r="P28" s="1254">
        <f t="shared" si="0"/>
        <v>0</v>
      </c>
      <c r="Q28" s="1255"/>
    </row>
    <row r="29" spans="4:17" ht="18" customHeight="1">
      <c r="D29" s="1264">
        <v>2022</v>
      </c>
      <c r="E29" s="1265">
        <v>3</v>
      </c>
      <c r="F29" s="1265" t="s">
        <v>632</v>
      </c>
      <c r="G29" s="1265" t="s">
        <v>731</v>
      </c>
      <c r="H29" s="1265" t="s">
        <v>732</v>
      </c>
      <c r="I29" s="1265">
        <v>3</v>
      </c>
      <c r="J29" s="1265" t="s">
        <v>473</v>
      </c>
      <c r="K29" s="1265">
        <f>SUMIF('CF.1'!$D:$D,'CFS(연간)'!G29,'CF.1'!$U:$U)</f>
        <v>62881122</v>
      </c>
      <c r="L29" s="1265">
        <f t="shared" si="1"/>
        <v>62881122</v>
      </c>
      <c r="M29" s="1266">
        <f t="shared" si="3"/>
        <v>0</v>
      </c>
      <c r="O29" s="1267"/>
      <c r="P29" s="1254">
        <f t="shared" si="0"/>
        <v>-62881122</v>
      </c>
      <c r="Q29" s="1255"/>
    </row>
    <row r="30" spans="4:17" ht="18" customHeight="1">
      <c r="D30" s="1264">
        <v>2022</v>
      </c>
      <c r="E30" s="1265">
        <v>3</v>
      </c>
      <c r="F30" s="1265" t="s">
        <v>632</v>
      </c>
      <c r="G30" s="1265" t="s">
        <v>733</v>
      </c>
      <c r="H30" s="1265" t="s">
        <v>734</v>
      </c>
      <c r="I30" s="1265">
        <v>3</v>
      </c>
      <c r="J30" s="1265" t="s">
        <v>473</v>
      </c>
      <c r="K30" s="1265">
        <f>SUMIF('CF.1'!$D:$D,'CFS(연간)'!G30,'CF.1'!$U:$U)</f>
        <v>216671</v>
      </c>
      <c r="L30" s="1265">
        <f t="shared" si="1"/>
        <v>216671</v>
      </c>
      <c r="M30" s="1266">
        <f t="shared" si="3"/>
        <v>0</v>
      </c>
      <c r="O30" s="1267"/>
      <c r="P30" s="1254">
        <f t="shared" si="0"/>
        <v>-216671</v>
      </c>
      <c r="Q30" s="1255"/>
    </row>
    <row r="31" spans="4:17" ht="18" customHeight="1">
      <c r="D31" s="1264">
        <v>2022</v>
      </c>
      <c r="E31" s="1265">
        <v>3</v>
      </c>
      <c r="F31" s="1265" t="s">
        <v>632</v>
      </c>
      <c r="G31" s="1265" t="s">
        <v>735</v>
      </c>
      <c r="H31" s="1265" t="s">
        <v>481</v>
      </c>
      <c r="I31" s="1265">
        <v>3</v>
      </c>
      <c r="J31" s="1265" t="s">
        <v>473</v>
      </c>
      <c r="K31" s="1265">
        <f>SUMIF('CF.1'!$D:$D,'CFS(연간)'!G31,'CF.1'!$U:$U)</f>
        <v>0</v>
      </c>
      <c r="L31" s="1265">
        <f t="shared" si="1"/>
        <v>0</v>
      </c>
      <c r="M31" s="1266">
        <f t="shared" si="3"/>
        <v>0</v>
      </c>
      <c r="O31" s="1267"/>
      <c r="P31" s="1254">
        <f t="shared" si="0"/>
        <v>0</v>
      </c>
      <c r="Q31" s="1255"/>
    </row>
    <row r="32" spans="4:17" ht="18" customHeight="1">
      <c r="D32" s="1264">
        <v>2022</v>
      </c>
      <c r="E32" s="1265">
        <v>3</v>
      </c>
      <c r="F32" s="1265" t="s">
        <v>632</v>
      </c>
      <c r="G32" s="1265" t="s">
        <v>736</v>
      </c>
      <c r="H32" s="1265" t="s">
        <v>686</v>
      </c>
      <c r="I32" s="1265">
        <v>3</v>
      </c>
      <c r="J32" s="1265" t="s">
        <v>473</v>
      </c>
      <c r="K32" s="1265">
        <f>SUMIF('CF.1'!$D:$D,'CFS(연간)'!G32,'CF.1'!$U:$U)</f>
        <v>242686686</v>
      </c>
      <c r="L32" s="1265">
        <f t="shared" si="1"/>
        <v>242686686</v>
      </c>
      <c r="M32" s="1266">
        <f t="shared" si="3"/>
        <v>0</v>
      </c>
      <c r="O32" s="1267"/>
      <c r="P32" s="1254">
        <f t="shared" si="0"/>
        <v>-242686686</v>
      </c>
      <c r="Q32" s="1255"/>
    </row>
    <row r="33" spans="4:17" ht="18" customHeight="1">
      <c r="D33" s="1264">
        <v>2022</v>
      </c>
      <c r="E33" s="1265">
        <v>3</v>
      </c>
      <c r="F33" s="1265" t="s">
        <v>632</v>
      </c>
      <c r="G33" s="1265" t="s">
        <v>737</v>
      </c>
      <c r="H33" s="1265" t="s">
        <v>738</v>
      </c>
      <c r="I33" s="1265">
        <v>3</v>
      </c>
      <c r="J33" s="1265" t="s">
        <v>473</v>
      </c>
      <c r="K33" s="1265">
        <f>SUMIF('CF.1'!$D:$D,'CFS(연간)'!G33,'CF.1'!$U:$U)</f>
        <v>150801848</v>
      </c>
      <c r="L33" s="1265">
        <f t="shared" si="1"/>
        <v>150801848</v>
      </c>
      <c r="M33" s="1266">
        <f t="shared" si="3"/>
        <v>0</v>
      </c>
      <c r="O33" s="1267"/>
      <c r="P33" s="1254">
        <f t="shared" si="0"/>
        <v>-150801848</v>
      </c>
      <c r="Q33" s="1255"/>
    </row>
    <row r="34" spans="4:17" ht="18" customHeight="1">
      <c r="D34" s="1264">
        <v>2022</v>
      </c>
      <c r="E34" s="1265">
        <v>3</v>
      </c>
      <c r="F34" s="1265" t="s">
        <v>632</v>
      </c>
      <c r="G34" s="1265" t="s">
        <v>739</v>
      </c>
      <c r="H34" s="1265" t="s">
        <v>740</v>
      </c>
      <c r="I34" s="1265">
        <v>3</v>
      </c>
      <c r="J34" s="1265" t="s">
        <v>473</v>
      </c>
      <c r="K34" s="1265">
        <f>SUMIF('CF.1'!$D:$D,'CFS(연간)'!G34,'CF.1'!$U:$U)</f>
        <v>0</v>
      </c>
      <c r="L34" s="1265">
        <f t="shared" si="1"/>
        <v>0</v>
      </c>
      <c r="M34" s="1266">
        <f t="shared" si="3"/>
        <v>0</v>
      </c>
      <c r="O34" s="1267"/>
      <c r="P34" s="1254">
        <f t="shared" si="0"/>
        <v>0</v>
      </c>
      <c r="Q34" s="1255"/>
    </row>
    <row r="35" spans="4:17" ht="18" customHeight="1">
      <c r="D35" s="1264">
        <v>2022</v>
      </c>
      <c r="E35" s="1265">
        <v>3</v>
      </c>
      <c r="F35" s="1265" t="s">
        <v>632</v>
      </c>
      <c r="G35" s="1265" t="s">
        <v>741</v>
      </c>
      <c r="H35" s="1265" t="s">
        <v>742</v>
      </c>
      <c r="I35" s="1265">
        <v>3</v>
      </c>
      <c r="J35" s="1265" t="s">
        <v>473</v>
      </c>
      <c r="K35" s="1265">
        <f>SUMIF('CF.1'!$D:$D,'CFS(연간)'!G35,'CF.1'!$U:$U)</f>
        <v>0</v>
      </c>
      <c r="L35" s="1265">
        <f t="shared" si="1"/>
        <v>0</v>
      </c>
      <c r="M35" s="1266">
        <f t="shared" si="3"/>
        <v>0</v>
      </c>
      <c r="O35" s="1267"/>
      <c r="P35" s="1254">
        <f t="shared" si="0"/>
        <v>0</v>
      </c>
      <c r="Q35" s="1255"/>
    </row>
    <row r="36" spans="4:17" ht="18" customHeight="1">
      <c r="D36" s="1264">
        <v>2022</v>
      </c>
      <c r="E36" s="1265">
        <v>3</v>
      </c>
      <c r="F36" s="1265" t="s">
        <v>632</v>
      </c>
      <c r="G36" s="1265" t="s">
        <v>743</v>
      </c>
      <c r="H36" s="1265" t="s">
        <v>744</v>
      </c>
      <c r="I36" s="1265">
        <v>3</v>
      </c>
      <c r="J36" s="1265" t="s">
        <v>473</v>
      </c>
      <c r="K36" s="1265">
        <f>SUMIF('CF.1'!$D:$D,'CFS(연간)'!G36,'CF.1'!$U:$U)</f>
        <v>418674455</v>
      </c>
      <c r="L36" s="1265">
        <f t="shared" si="1"/>
        <v>418674455</v>
      </c>
      <c r="M36" s="1266">
        <f t="shared" si="3"/>
        <v>0</v>
      </c>
      <c r="O36" s="1267"/>
      <c r="P36" s="1254">
        <f t="shared" si="0"/>
        <v>-418674455</v>
      </c>
      <c r="Q36" s="1255"/>
    </row>
    <row r="37" spans="4:17" ht="18" customHeight="1">
      <c r="D37" s="1264">
        <v>2022</v>
      </c>
      <c r="E37" s="1265">
        <v>3</v>
      </c>
      <c r="F37" s="1265" t="s">
        <v>632</v>
      </c>
      <c r="G37" s="1265" t="s">
        <v>745</v>
      </c>
      <c r="H37" s="1265" t="s">
        <v>746</v>
      </c>
      <c r="I37" s="1265">
        <v>3</v>
      </c>
      <c r="J37" s="1265" t="s">
        <v>473</v>
      </c>
      <c r="K37" s="1265">
        <f>SUMIF('CF.1'!$D:$D,'CFS(연간)'!G37,'CF.1'!$U:$U)</f>
        <v>0</v>
      </c>
      <c r="L37" s="1265">
        <f t="shared" si="1"/>
        <v>0</v>
      </c>
      <c r="M37" s="1266">
        <f t="shared" si="3"/>
        <v>0</v>
      </c>
      <c r="O37" s="1267"/>
      <c r="P37" s="1254">
        <f t="shared" si="0"/>
        <v>0</v>
      </c>
      <c r="Q37" s="1255"/>
    </row>
    <row r="38" spans="4:17" ht="18" customHeight="1">
      <c r="D38" s="1264">
        <v>2022</v>
      </c>
      <c r="E38" s="1265">
        <v>3</v>
      </c>
      <c r="F38" s="1265" t="s">
        <v>632</v>
      </c>
      <c r="G38" s="1265" t="s">
        <v>747</v>
      </c>
      <c r="H38" s="1265" t="s">
        <v>748</v>
      </c>
      <c r="I38" s="1265">
        <v>3</v>
      </c>
      <c r="J38" s="1265" t="s">
        <v>473</v>
      </c>
      <c r="K38" s="1265">
        <f>SUMIF('CF.1'!$D:$D,'CFS(연간)'!G38,'CF.1'!$U:$U)</f>
        <v>0</v>
      </c>
      <c r="L38" s="1265">
        <f t="shared" si="1"/>
        <v>0</v>
      </c>
      <c r="M38" s="1266">
        <f t="shared" si="3"/>
        <v>0</v>
      </c>
      <c r="O38" s="1267"/>
      <c r="P38" s="1254">
        <f t="shared" si="0"/>
        <v>0</v>
      </c>
      <c r="Q38" s="1255"/>
    </row>
    <row r="39" spans="4:17" ht="18" customHeight="1">
      <c r="D39" s="1264">
        <v>2022</v>
      </c>
      <c r="E39" s="1265">
        <v>3</v>
      </c>
      <c r="F39" s="1265" t="s">
        <v>632</v>
      </c>
      <c r="G39" s="1265" t="s">
        <v>749</v>
      </c>
      <c r="H39" s="1265" t="s">
        <v>750</v>
      </c>
      <c r="I39" s="1265">
        <v>3</v>
      </c>
      <c r="J39" s="1265" t="s">
        <v>473</v>
      </c>
      <c r="K39" s="1265">
        <f>SUMIF('CF.1'!$D:$D,'CFS(연간)'!G39,'CF.1'!$U:$U)</f>
        <v>0</v>
      </c>
      <c r="L39" s="1265">
        <f t="shared" si="1"/>
        <v>0</v>
      </c>
      <c r="M39" s="1266">
        <f t="shared" si="3"/>
        <v>0</v>
      </c>
      <c r="O39" s="1267"/>
      <c r="P39" s="1254">
        <f t="shared" si="0"/>
        <v>0</v>
      </c>
      <c r="Q39" s="1255"/>
    </row>
    <row r="40" spans="4:17" ht="18" customHeight="1">
      <c r="D40" s="1264">
        <v>2022</v>
      </c>
      <c r="E40" s="1265">
        <v>3</v>
      </c>
      <c r="F40" s="1265" t="s">
        <v>632</v>
      </c>
      <c r="G40" s="1265" t="s">
        <v>751</v>
      </c>
      <c r="H40" s="1265" t="s">
        <v>752</v>
      </c>
      <c r="I40" s="1265">
        <v>3</v>
      </c>
      <c r="J40" s="1265" t="s">
        <v>473</v>
      </c>
      <c r="K40" s="1265">
        <f>SUMIF('CF.1'!$D:$D,'CFS(연간)'!G40,'CF.1'!$U:$U)</f>
        <v>0</v>
      </c>
      <c r="L40" s="1265">
        <f t="shared" si="1"/>
        <v>0</v>
      </c>
      <c r="M40" s="1266">
        <f t="shared" si="3"/>
        <v>0</v>
      </c>
      <c r="O40" s="1267"/>
      <c r="P40" s="1254">
        <f t="shared" si="0"/>
        <v>0</v>
      </c>
      <c r="Q40" s="1255"/>
    </row>
    <row r="41" spans="4:17" ht="18" customHeight="1">
      <c r="D41" s="1264">
        <v>2022</v>
      </c>
      <c r="E41" s="1265">
        <v>3</v>
      </c>
      <c r="F41" s="1265" t="s">
        <v>632</v>
      </c>
      <c r="G41" s="1265" t="s">
        <v>753</v>
      </c>
      <c r="H41" s="1265" t="s">
        <v>754</v>
      </c>
      <c r="I41" s="1265">
        <v>3</v>
      </c>
      <c r="J41" s="1265" t="s">
        <v>473</v>
      </c>
      <c r="K41" s="1265">
        <f>SUMIF('CF.1'!$D:$D,'CFS(연간)'!G41,'CF.1'!$U:$U)</f>
        <v>0</v>
      </c>
      <c r="L41" s="1265">
        <f t="shared" si="1"/>
        <v>0</v>
      </c>
      <c r="M41" s="1266">
        <f t="shared" si="3"/>
        <v>0</v>
      </c>
      <c r="O41" s="1267"/>
      <c r="P41" s="1254">
        <f t="shared" si="0"/>
        <v>0</v>
      </c>
      <c r="Q41" s="1255"/>
    </row>
    <row r="42" spans="4:17" ht="18" customHeight="1">
      <c r="D42" s="1264">
        <v>2022</v>
      </c>
      <c r="E42" s="1265">
        <v>3</v>
      </c>
      <c r="F42" s="1265" t="s">
        <v>632</v>
      </c>
      <c r="G42" s="1265" t="s">
        <v>755</v>
      </c>
      <c r="H42" s="1265" t="s">
        <v>756</v>
      </c>
      <c r="I42" s="1265">
        <v>3</v>
      </c>
      <c r="J42" s="1265" t="s">
        <v>473</v>
      </c>
      <c r="K42" s="1265">
        <f>SUMIF('CF.1'!$D:$D,'CFS(연간)'!G42,'CF.1'!$U:$U)</f>
        <v>0</v>
      </c>
      <c r="L42" s="1265">
        <f t="shared" si="1"/>
        <v>0</v>
      </c>
      <c r="M42" s="1266">
        <f t="shared" si="3"/>
        <v>0</v>
      </c>
      <c r="O42" s="1267"/>
      <c r="P42" s="1254">
        <f t="shared" si="0"/>
        <v>0</v>
      </c>
      <c r="Q42" s="1255"/>
    </row>
    <row r="43" spans="4:17" ht="18" customHeight="1">
      <c r="D43" s="1264">
        <v>2022</v>
      </c>
      <c r="E43" s="1265">
        <v>3</v>
      </c>
      <c r="F43" s="1265" t="s">
        <v>632</v>
      </c>
      <c r="G43" s="1265" t="s">
        <v>757</v>
      </c>
      <c r="H43" s="1265" t="s">
        <v>758</v>
      </c>
      <c r="I43" s="1265">
        <v>3</v>
      </c>
      <c r="J43" s="1265" t="s">
        <v>473</v>
      </c>
      <c r="K43" s="1265">
        <f>SUMIF('CF.1'!$D:$D,'CFS(연간)'!G43,'CF.1'!$U:$U)</f>
        <v>-56133700</v>
      </c>
      <c r="L43" s="1265">
        <f>K43</f>
        <v>-56133700</v>
      </c>
      <c r="M43" s="1266">
        <f t="shared" si="3"/>
        <v>0</v>
      </c>
      <c r="O43" s="1267"/>
      <c r="P43" s="1254">
        <f t="shared" si="0"/>
        <v>56133700</v>
      </c>
      <c r="Q43" s="1255"/>
    </row>
    <row r="44" spans="4:17" ht="18" customHeight="1">
      <c r="D44" s="1264">
        <v>2022</v>
      </c>
      <c r="E44" s="1265">
        <v>3</v>
      </c>
      <c r="F44" s="1265" t="s">
        <v>632</v>
      </c>
      <c r="G44" s="1265" t="s">
        <v>759</v>
      </c>
      <c r="H44" s="1265" t="s">
        <v>760</v>
      </c>
      <c r="I44" s="1265">
        <v>3</v>
      </c>
      <c r="J44" s="1265" t="s">
        <v>473</v>
      </c>
      <c r="K44" s="1265">
        <f>SUMIF('CF.1'!$D:$D,'CFS(연간)'!G44,'CF.1'!$U:$U)</f>
        <v>0</v>
      </c>
      <c r="L44" s="1265">
        <f t="shared" si="1"/>
        <v>0</v>
      </c>
      <c r="M44" s="1266">
        <f t="shared" si="3"/>
        <v>0</v>
      </c>
      <c r="O44" s="1267"/>
      <c r="P44" s="1254">
        <f t="shared" si="0"/>
        <v>0</v>
      </c>
      <c r="Q44" s="1255"/>
    </row>
    <row r="45" spans="4:17" ht="18" customHeight="1">
      <c r="D45" s="1264">
        <v>2022</v>
      </c>
      <c r="E45" s="1265">
        <v>3</v>
      </c>
      <c r="F45" s="1265" t="s">
        <v>632</v>
      </c>
      <c r="G45" s="1265" t="s">
        <v>761</v>
      </c>
      <c r="H45" s="1265" t="s">
        <v>762</v>
      </c>
      <c r="I45" s="1265">
        <v>3</v>
      </c>
      <c r="J45" s="1265" t="s">
        <v>473</v>
      </c>
      <c r="K45" s="1265">
        <f>SUMIF('CF.1'!$D:$D,'CFS(연간)'!G45,'CF.1'!$U:$U)</f>
        <v>0</v>
      </c>
      <c r="L45" s="1265">
        <f>K45</f>
        <v>0</v>
      </c>
      <c r="M45" s="1266">
        <f t="shared" si="3"/>
        <v>0</v>
      </c>
      <c r="N45" s="543"/>
      <c r="O45" s="1267"/>
      <c r="P45" s="1254">
        <f t="shared" si="0"/>
        <v>0</v>
      </c>
      <c r="Q45" s="1268"/>
    </row>
    <row r="46" spans="4:17" ht="18" customHeight="1">
      <c r="D46" s="1264">
        <v>2022</v>
      </c>
      <c r="E46" s="1265">
        <v>3</v>
      </c>
      <c r="F46" s="1265" t="s">
        <v>632</v>
      </c>
      <c r="G46" s="1265" t="s">
        <v>763</v>
      </c>
      <c r="H46" s="1265" t="s">
        <v>764</v>
      </c>
      <c r="I46" s="1265">
        <v>3</v>
      </c>
      <c r="J46" s="1265" t="s">
        <v>473</v>
      </c>
      <c r="K46" s="1265">
        <f>SUMIF('CF.1'!$D:$D,'CFS(연간)'!G46,'CF.1'!$U:$U)</f>
        <v>0</v>
      </c>
      <c r="L46" s="1265">
        <f t="shared" ref="L46:L61" si="4">K46</f>
        <v>0</v>
      </c>
      <c r="M46" s="1266">
        <f t="shared" si="3"/>
        <v>0</v>
      </c>
      <c r="O46" s="1267"/>
      <c r="P46" s="1254">
        <f t="shared" si="0"/>
        <v>0</v>
      </c>
      <c r="Q46" s="1255"/>
    </row>
    <row r="47" spans="4:17" ht="18" customHeight="1">
      <c r="D47" s="1264">
        <v>2022</v>
      </c>
      <c r="E47" s="1265">
        <v>3</v>
      </c>
      <c r="F47" s="1265" t="s">
        <v>632</v>
      </c>
      <c r="G47" s="1265" t="s">
        <v>765</v>
      </c>
      <c r="H47" s="1265" t="s">
        <v>1490</v>
      </c>
      <c r="I47" s="1265">
        <v>3</v>
      </c>
      <c r="J47" s="1265" t="s">
        <v>473</v>
      </c>
      <c r="K47" s="1265">
        <f>SUMIF('CF.1'!$D:$D,'CFS(연간)'!G47,'CF.1'!$U:$U)</f>
        <v>77779216</v>
      </c>
      <c r="L47" s="1265">
        <f t="shared" si="4"/>
        <v>77779216</v>
      </c>
      <c r="M47" s="1266">
        <f t="shared" si="3"/>
        <v>0</v>
      </c>
      <c r="O47" s="1267"/>
      <c r="P47" s="1254">
        <f t="shared" si="0"/>
        <v>-77779216</v>
      </c>
      <c r="Q47" s="1255"/>
    </row>
    <row r="48" spans="4:17" ht="18" customHeight="1">
      <c r="D48" s="1264">
        <v>2022</v>
      </c>
      <c r="E48" s="1265">
        <v>3</v>
      </c>
      <c r="F48" s="1265" t="s">
        <v>632</v>
      </c>
      <c r="G48" s="1265" t="s">
        <v>766</v>
      </c>
      <c r="H48" s="1265" t="s">
        <v>767</v>
      </c>
      <c r="I48" s="1265">
        <v>3</v>
      </c>
      <c r="J48" s="1265" t="s">
        <v>473</v>
      </c>
      <c r="K48" s="1265">
        <f>SUMIF('CF.1'!$D:$D,'CFS(연간)'!G48,'CF.1'!$U:$U)</f>
        <v>0</v>
      </c>
      <c r="L48" s="1265">
        <f t="shared" si="4"/>
        <v>0</v>
      </c>
      <c r="M48" s="1266">
        <f t="shared" si="3"/>
        <v>0</v>
      </c>
      <c r="O48" s="1267"/>
      <c r="P48" s="1254">
        <f t="shared" si="0"/>
        <v>0</v>
      </c>
      <c r="Q48" s="1255"/>
    </row>
    <row r="49" spans="4:20" ht="18" customHeight="1">
      <c r="D49" s="1264">
        <v>2022</v>
      </c>
      <c r="E49" s="1265">
        <v>3</v>
      </c>
      <c r="F49" s="1265" t="s">
        <v>632</v>
      </c>
      <c r="G49" s="1265" t="s">
        <v>768</v>
      </c>
      <c r="H49" s="1265" t="s">
        <v>769</v>
      </c>
      <c r="I49" s="1265">
        <v>3</v>
      </c>
      <c r="J49" s="1265" t="s">
        <v>473</v>
      </c>
      <c r="K49" s="1265">
        <f>SUMIF('CF.1'!$D:$D,'CFS(연간)'!G49,'CF.1'!$U:$U)</f>
        <v>0</v>
      </c>
      <c r="L49" s="1265">
        <f t="shared" si="4"/>
        <v>0</v>
      </c>
      <c r="M49" s="1266">
        <f t="shared" si="3"/>
        <v>0</v>
      </c>
      <c r="O49" s="1267"/>
      <c r="P49" s="1254">
        <f t="shared" si="0"/>
        <v>0</v>
      </c>
      <c r="Q49" s="1255"/>
    </row>
    <row r="50" spans="4:20" ht="18" customHeight="1">
      <c r="D50" s="1264">
        <v>2022</v>
      </c>
      <c r="E50" s="1265">
        <v>3</v>
      </c>
      <c r="F50" s="1265" t="s">
        <v>632</v>
      </c>
      <c r="G50" s="1265" t="s">
        <v>770</v>
      </c>
      <c r="H50" s="1265" t="s">
        <v>771</v>
      </c>
      <c r="I50" s="1265">
        <v>3</v>
      </c>
      <c r="J50" s="1265" t="s">
        <v>473</v>
      </c>
      <c r="K50" s="1265">
        <f>SUMIF('CF.1'!$D:$D,'CFS(연간)'!G50,'CF.1'!$U:$U)</f>
        <v>0</v>
      </c>
      <c r="L50" s="1265">
        <f t="shared" si="4"/>
        <v>0</v>
      </c>
      <c r="M50" s="1266">
        <f t="shared" si="3"/>
        <v>0</v>
      </c>
      <c r="O50" s="1267"/>
      <c r="P50" s="1254">
        <f t="shared" si="0"/>
        <v>0</v>
      </c>
      <c r="Q50" s="1255"/>
    </row>
    <row r="51" spans="4:20" ht="18" customHeight="1">
      <c r="D51" s="1264">
        <v>2022</v>
      </c>
      <c r="E51" s="1265">
        <v>3</v>
      </c>
      <c r="F51" s="1265" t="s">
        <v>632</v>
      </c>
      <c r="G51" s="1265" t="s">
        <v>772</v>
      </c>
      <c r="H51" s="1265" t="s">
        <v>260</v>
      </c>
      <c r="I51" s="1265">
        <v>3</v>
      </c>
      <c r="J51" s="1265" t="s">
        <v>473</v>
      </c>
      <c r="K51" s="1265">
        <f>SUMIF('CF.1'!$D:$D,'CFS(연간)'!G51,'CF.1'!$U:$U)</f>
        <v>0</v>
      </c>
      <c r="L51" s="1265">
        <f t="shared" si="4"/>
        <v>0</v>
      </c>
      <c r="M51" s="1266">
        <f t="shared" si="3"/>
        <v>0</v>
      </c>
      <c r="O51" s="1267"/>
      <c r="P51" s="1254">
        <f t="shared" si="0"/>
        <v>0</v>
      </c>
      <c r="Q51" s="1255"/>
    </row>
    <row r="52" spans="4:20" ht="18" customHeight="1">
      <c r="D52" s="1264">
        <v>2022</v>
      </c>
      <c r="E52" s="1265">
        <v>3</v>
      </c>
      <c r="F52" s="1265" t="s">
        <v>632</v>
      </c>
      <c r="G52" s="1265" t="s">
        <v>773</v>
      </c>
      <c r="H52" s="1265" t="s">
        <v>774</v>
      </c>
      <c r="I52" s="1265">
        <v>3</v>
      </c>
      <c r="J52" s="1265" t="s">
        <v>473</v>
      </c>
      <c r="K52" s="1265">
        <f>SUMIF('CF.1'!$D:$D,'CFS(연간)'!G52,'CF.1'!$U:$U)</f>
        <v>0</v>
      </c>
      <c r="L52" s="1265">
        <f t="shared" si="4"/>
        <v>0</v>
      </c>
      <c r="M52" s="1266">
        <f t="shared" si="3"/>
        <v>0</v>
      </c>
      <c r="O52" s="1267"/>
      <c r="P52" s="1254">
        <f t="shared" si="0"/>
        <v>0</v>
      </c>
      <c r="Q52" s="1255"/>
    </row>
    <row r="53" spans="4:20" ht="18" customHeight="1">
      <c r="D53" s="1264">
        <v>2022</v>
      </c>
      <c r="E53" s="1265">
        <v>3</v>
      </c>
      <c r="F53" s="1265" t="s">
        <v>632</v>
      </c>
      <c r="G53" s="1265" t="s">
        <v>775</v>
      </c>
      <c r="H53" s="1265" t="s">
        <v>776</v>
      </c>
      <c r="I53" s="1265">
        <v>3</v>
      </c>
      <c r="J53" s="1265" t="s">
        <v>473</v>
      </c>
      <c r="K53" s="1265">
        <f>SUMIF('CF.1'!$D:$D,'CFS(연간)'!G53,'CF.1'!$U:$U)</f>
        <v>0</v>
      </c>
      <c r="L53" s="1265">
        <f t="shared" si="4"/>
        <v>0</v>
      </c>
      <c r="M53" s="1266">
        <f t="shared" si="3"/>
        <v>0</v>
      </c>
      <c r="O53" s="1267"/>
      <c r="P53" s="1254">
        <f t="shared" si="0"/>
        <v>0</v>
      </c>
      <c r="Q53" s="1255"/>
    </row>
    <row r="54" spans="4:20" ht="18" customHeight="1">
      <c r="D54" s="1264">
        <v>2022</v>
      </c>
      <c r="E54" s="1265">
        <v>3</v>
      </c>
      <c r="F54" s="1265" t="s">
        <v>632</v>
      </c>
      <c r="G54" s="1265" t="s">
        <v>777</v>
      </c>
      <c r="H54" s="1265" t="s">
        <v>778</v>
      </c>
      <c r="I54" s="1265">
        <v>3</v>
      </c>
      <c r="J54" s="1265" t="s">
        <v>473</v>
      </c>
      <c r="K54" s="1265">
        <f>SUMIF('CF.1'!$D:$D,'CFS(연간)'!G54,'CF.1'!$U:$U)</f>
        <v>0</v>
      </c>
      <c r="L54" s="1265">
        <f t="shared" si="4"/>
        <v>0</v>
      </c>
      <c r="M54" s="1266">
        <f t="shared" si="3"/>
        <v>0</v>
      </c>
      <c r="O54" s="1267"/>
      <c r="P54" s="1254">
        <f t="shared" si="0"/>
        <v>0</v>
      </c>
      <c r="Q54" s="1255"/>
    </row>
    <row r="55" spans="4:20" ht="18" customHeight="1">
      <c r="D55" s="1264">
        <v>2022</v>
      </c>
      <c r="E55" s="1265">
        <v>3</v>
      </c>
      <c r="F55" s="1265" t="s">
        <v>632</v>
      </c>
      <c r="G55" s="1265" t="s">
        <v>779</v>
      </c>
      <c r="H55" s="1265" t="s">
        <v>780</v>
      </c>
      <c r="I55" s="1265">
        <v>3</v>
      </c>
      <c r="J55" s="1265" t="s">
        <v>473</v>
      </c>
      <c r="K55" s="1265">
        <f>SUMIF('CF.1'!$D:$D,'CFS(연간)'!G55,'CF.1'!$U:$U)</f>
        <v>0</v>
      </c>
      <c r="L55" s="1265">
        <f t="shared" si="4"/>
        <v>0</v>
      </c>
      <c r="M55" s="1266">
        <f t="shared" si="3"/>
        <v>0</v>
      </c>
      <c r="O55" s="1267"/>
      <c r="P55" s="1254">
        <f t="shared" si="0"/>
        <v>0</v>
      </c>
      <c r="Q55" s="1255"/>
    </row>
    <row r="56" spans="4:20" ht="18" customHeight="1">
      <c r="D56" s="1264">
        <v>2022</v>
      </c>
      <c r="E56" s="1265">
        <v>3</v>
      </c>
      <c r="F56" s="1265" t="s">
        <v>632</v>
      </c>
      <c r="G56" s="1265" t="s">
        <v>781</v>
      </c>
      <c r="H56" s="1265" t="s">
        <v>688</v>
      </c>
      <c r="I56" s="1265">
        <v>3</v>
      </c>
      <c r="J56" s="1265" t="s">
        <v>473</v>
      </c>
      <c r="K56" s="1265">
        <f>SUMIF('CF.1'!$D:$D,'CFS(연간)'!G56,'CF.1'!$U:$U)</f>
        <v>0</v>
      </c>
      <c r="L56" s="1265">
        <f t="shared" si="4"/>
        <v>0</v>
      </c>
      <c r="M56" s="1266">
        <f t="shared" si="3"/>
        <v>0</v>
      </c>
      <c r="O56" s="1267"/>
      <c r="P56" s="1254">
        <f t="shared" si="0"/>
        <v>0</v>
      </c>
      <c r="Q56" s="1255"/>
    </row>
    <row r="57" spans="4:20" ht="18" customHeight="1">
      <c r="D57" s="1264">
        <v>2022</v>
      </c>
      <c r="E57" s="1265">
        <v>3</v>
      </c>
      <c r="F57" s="1265" t="s">
        <v>632</v>
      </c>
      <c r="G57" s="1265" t="s">
        <v>782</v>
      </c>
      <c r="H57" s="1265" t="s">
        <v>681</v>
      </c>
      <c r="I57" s="1265">
        <v>3</v>
      </c>
      <c r="J57" s="1265" t="s">
        <v>473</v>
      </c>
      <c r="K57" s="1265">
        <f>SUMIF('CF.1'!$D:$D,'CFS(연간)'!G57,'CF.1'!$U:$U)</f>
        <v>195958275</v>
      </c>
      <c r="L57" s="1265">
        <f t="shared" si="4"/>
        <v>195958275</v>
      </c>
      <c r="M57" s="1266">
        <f t="shared" si="3"/>
        <v>0</v>
      </c>
      <c r="O57" s="1267"/>
      <c r="P57" s="1254">
        <f t="shared" si="0"/>
        <v>-195958275</v>
      </c>
      <c r="Q57" s="1255"/>
    </row>
    <row r="58" spans="4:20" ht="18" customHeight="1">
      <c r="D58" s="1264">
        <v>2022</v>
      </c>
      <c r="E58" s="1265">
        <v>3</v>
      </c>
      <c r="F58" s="1265" t="s">
        <v>632</v>
      </c>
      <c r="G58" s="1265" t="s">
        <v>783</v>
      </c>
      <c r="H58" s="1265" t="s">
        <v>380</v>
      </c>
      <c r="I58" s="1265">
        <v>3</v>
      </c>
      <c r="J58" s="1265" t="s">
        <v>473</v>
      </c>
      <c r="K58" s="1265">
        <f>SUMIF('CF.1'!$D:$D,'CFS(연간)'!G58,'CF.1'!$U:$U)</f>
        <v>315254908</v>
      </c>
      <c r="L58" s="1265">
        <f t="shared" si="4"/>
        <v>315254908</v>
      </c>
      <c r="M58" s="1266">
        <f t="shared" si="3"/>
        <v>0</v>
      </c>
      <c r="O58" s="1267"/>
      <c r="P58" s="1254">
        <f t="shared" si="0"/>
        <v>-315254908</v>
      </c>
      <c r="Q58" s="1255"/>
    </row>
    <row r="59" spans="4:20" ht="18" customHeight="1">
      <c r="D59" s="1264">
        <v>2022</v>
      </c>
      <c r="E59" s="1265">
        <v>3</v>
      </c>
      <c r="F59" s="1265" t="s">
        <v>632</v>
      </c>
      <c r="G59" s="1265" t="s">
        <v>1491</v>
      </c>
      <c r="H59" s="1265" t="s">
        <v>1492</v>
      </c>
      <c r="I59" s="1265">
        <v>3</v>
      </c>
      <c r="J59" s="1265" t="s">
        <v>473</v>
      </c>
      <c r="K59" s="1265">
        <f>SUMIF('CF.1'!$D:$D,'CFS(연간)'!G59,'CF.1'!$U:$U)</f>
        <v>0</v>
      </c>
      <c r="L59" s="1265">
        <f t="shared" si="4"/>
        <v>0</v>
      </c>
      <c r="M59" s="1266">
        <f t="shared" si="3"/>
        <v>0</v>
      </c>
      <c r="O59" s="1267"/>
      <c r="P59" s="1254">
        <f t="shared" si="0"/>
        <v>0</v>
      </c>
      <c r="Q59" s="1255"/>
    </row>
    <row r="60" spans="4:20" ht="18" customHeight="1">
      <c r="D60" s="1259">
        <v>2022</v>
      </c>
      <c r="E60" s="1254">
        <v>3</v>
      </c>
      <c r="F60" s="1254" t="s">
        <v>632</v>
      </c>
      <c r="G60" s="1254" t="s">
        <v>2203</v>
      </c>
      <c r="H60" s="1254" t="s">
        <v>801</v>
      </c>
      <c r="I60" s="1272">
        <v>3</v>
      </c>
      <c r="J60" s="1254" t="s">
        <v>473</v>
      </c>
      <c r="K60" s="1254">
        <f>SUMIF('CF.1'!$D:$D,'CFS(연간)'!G60,'CF.1'!$U:$U)</f>
        <v>0</v>
      </c>
      <c r="L60" s="1254">
        <f>K60</f>
        <v>0</v>
      </c>
      <c r="M60" s="1260">
        <f>L60-K60</f>
        <v>0</v>
      </c>
      <c r="O60" s="1267"/>
      <c r="P60" s="1254">
        <f t="shared" si="0"/>
        <v>0</v>
      </c>
      <c r="Q60" s="1255"/>
    </row>
    <row r="61" spans="4:20" ht="18" customHeight="1">
      <c r="D61" s="1259">
        <v>2022</v>
      </c>
      <c r="E61" s="1254">
        <v>3</v>
      </c>
      <c r="F61" s="1254" t="s">
        <v>632</v>
      </c>
      <c r="G61" s="1254" t="s">
        <v>802</v>
      </c>
      <c r="H61" s="1254" t="s">
        <v>2571</v>
      </c>
      <c r="I61" s="1272">
        <v>3</v>
      </c>
      <c r="J61" s="1254" t="s">
        <v>473</v>
      </c>
      <c r="K61" s="1254">
        <f>SUMIF('CF.1'!$D:$D,'CFS(연간)'!G61,'CF.1'!$U:$U)</f>
        <v>42135654</v>
      </c>
      <c r="L61" s="1254">
        <f t="shared" si="4"/>
        <v>42135654</v>
      </c>
      <c r="M61" s="1260">
        <f t="shared" si="3"/>
        <v>0</v>
      </c>
      <c r="O61" s="1267"/>
      <c r="P61" s="1254">
        <f t="shared" si="0"/>
        <v>-42135654</v>
      </c>
      <c r="Q61" s="1255"/>
    </row>
    <row r="62" spans="4:20" ht="18" customHeight="1">
      <c r="D62" s="1256">
        <v>2022</v>
      </c>
      <c r="E62" s="1257">
        <v>3</v>
      </c>
      <c r="F62" s="1257" t="s">
        <v>632</v>
      </c>
      <c r="G62" s="1257" t="s">
        <v>804</v>
      </c>
      <c r="H62" s="1257" t="s">
        <v>2572</v>
      </c>
      <c r="I62" s="1257">
        <v>2</v>
      </c>
      <c r="J62" s="1257" t="s">
        <v>473</v>
      </c>
      <c r="K62" s="1257">
        <f>SUM(K63:K104)</f>
        <v>-49209145918</v>
      </c>
      <c r="L62" s="1257">
        <f>SUM(L63:L104)</f>
        <v>-49209145918</v>
      </c>
      <c r="M62" s="1258">
        <f>SUM(M63:M104)</f>
        <v>0</v>
      </c>
      <c r="O62" s="1253"/>
      <c r="P62" s="1254">
        <f t="shared" si="0"/>
        <v>49209145918</v>
      </c>
      <c r="Q62" s="1255"/>
    </row>
    <row r="63" spans="4:20" ht="18" customHeight="1">
      <c r="D63" s="1273">
        <v>2022</v>
      </c>
      <c r="E63" s="1272">
        <v>3</v>
      </c>
      <c r="F63" s="1272" t="s">
        <v>632</v>
      </c>
      <c r="G63" s="1272" t="s">
        <v>806</v>
      </c>
      <c r="H63" s="1272" t="s">
        <v>675</v>
      </c>
      <c r="I63" s="1272">
        <v>3</v>
      </c>
      <c r="J63" s="1272" t="s">
        <v>473</v>
      </c>
      <c r="K63" s="1272">
        <f>SUMIF('CF.1'!$D:$D,'CFS(연간)'!G63,'CF.1'!$U:$U)</f>
        <v>-1557307639</v>
      </c>
      <c r="L63" s="1254">
        <f t="shared" ref="L63:L104" si="5">K63</f>
        <v>-1557307639</v>
      </c>
      <c r="M63" s="1274">
        <f t="shared" ref="M63:M104" si="6">L63-K63</f>
        <v>0</v>
      </c>
      <c r="O63" s="1267"/>
      <c r="P63" s="1254">
        <f t="shared" si="0"/>
        <v>1557307639</v>
      </c>
      <c r="Q63" s="1255"/>
    </row>
    <row r="64" spans="4:20" s="543" customFormat="1" ht="18" customHeight="1">
      <c r="D64" s="1273">
        <v>2022</v>
      </c>
      <c r="E64" s="1272">
        <v>3</v>
      </c>
      <c r="F64" s="1272" t="s">
        <v>632</v>
      </c>
      <c r="G64" s="1272" t="s">
        <v>807</v>
      </c>
      <c r="H64" s="1272" t="s">
        <v>808</v>
      </c>
      <c r="I64" s="1272">
        <v>3</v>
      </c>
      <c r="J64" s="1272" t="s">
        <v>473</v>
      </c>
      <c r="K64" s="1272">
        <v>0</v>
      </c>
      <c r="L64" s="1254">
        <f t="shared" si="5"/>
        <v>0</v>
      </c>
      <c r="M64" s="1274">
        <f t="shared" si="6"/>
        <v>0</v>
      </c>
      <c r="O64" s="1267"/>
      <c r="P64" s="1254">
        <f t="shared" si="0"/>
        <v>0</v>
      </c>
      <c r="Q64" s="1268"/>
      <c r="S64" s="498"/>
      <c r="T64" s="1829"/>
    </row>
    <row r="65" spans="4:20" s="543" customFormat="1" ht="18" customHeight="1">
      <c r="D65" s="1273">
        <v>2022</v>
      </c>
      <c r="E65" s="1272">
        <v>3</v>
      </c>
      <c r="F65" s="1272" t="s">
        <v>632</v>
      </c>
      <c r="G65" s="1272" t="s">
        <v>809</v>
      </c>
      <c r="H65" s="1272" t="s">
        <v>810</v>
      </c>
      <c r="I65" s="1272">
        <v>3</v>
      </c>
      <c r="J65" s="1272" t="s">
        <v>473</v>
      </c>
      <c r="K65" s="1272">
        <f>SUMIF('CF.1'!$D:$D,'CFS(연간)'!G65,'CF.1'!$U:$U)</f>
        <v>0</v>
      </c>
      <c r="L65" s="1254">
        <f t="shared" si="5"/>
        <v>0</v>
      </c>
      <c r="M65" s="1274">
        <f t="shared" si="6"/>
        <v>0</v>
      </c>
      <c r="O65" s="1267"/>
      <c r="P65" s="1254">
        <f t="shared" si="0"/>
        <v>0</v>
      </c>
      <c r="Q65" s="1268"/>
      <c r="S65" s="498"/>
      <c r="T65" s="1829"/>
    </row>
    <row r="66" spans="4:20" ht="18" customHeight="1">
      <c r="D66" s="1273">
        <v>2022</v>
      </c>
      <c r="E66" s="1272">
        <v>3</v>
      </c>
      <c r="F66" s="1272" t="s">
        <v>632</v>
      </c>
      <c r="G66" s="1272" t="s">
        <v>811</v>
      </c>
      <c r="H66" s="1272" t="s">
        <v>812</v>
      </c>
      <c r="I66" s="1272">
        <v>3</v>
      </c>
      <c r="J66" s="1272" t="s">
        <v>473</v>
      </c>
      <c r="K66" s="1272">
        <f>SUMIF('CF.1'!$D:$D,'CFS(연간)'!G66,'CF.1'!$U:$U)</f>
        <v>0</v>
      </c>
      <c r="L66" s="1254">
        <f t="shared" si="5"/>
        <v>0</v>
      </c>
      <c r="M66" s="1274">
        <f t="shared" si="6"/>
        <v>0</v>
      </c>
      <c r="O66" s="1267"/>
      <c r="P66" s="1254">
        <f t="shared" si="0"/>
        <v>0</v>
      </c>
      <c r="Q66" s="1255"/>
      <c r="S66" s="543"/>
      <c r="T66" s="543"/>
    </row>
    <row r="67" spans="4:20" ht="18" customHeight="1">
      <c r="D67" s="1273">
        <v>2022</v>
      </c>
      <c r="E67" s="1272">
        <v>3</v>
      </c>
      <c r="F67" s="1272" t="s">
        <v>632</v>
      </c>
      <c r="G67" s="1272" t="s">
        <v>880</v>
      </c>
      <c r="H67" s="1272" t="s">
        <v>881</v>
      </c>
      <c r="I67" s="1272">
        <v>3</v>
      </c>
      <c r="J67" s="1272" t="s">
        <v>473</v>
      </c>
      <c r="K67" s="1272">
        <f>SUMIF('CF.1'!$D:$D,'CFS(연간)'!G67,'CF.1'!$U:$U)</f>
        <v>0</v>
      </c>
      <c r="L67" s="1254">
        <f t="shared" si="5"/>
        <v>0</v>
      </c>
      <c r="M67" s="1274"/>
      <c r="O67" s="1267"/>
      <c r="P67" s="1254">
        <f t="shared" si="0"/>
        <v>0</v>
      </c>
      <c r="Q67" s="1255"/>
      <c r="S67" s="543"/>
      <c r="T67" s="543"/>
    </row>
    <row r="68" spans="4:20" ht="18" customHeight="1">
      <c r="D68" s="1259">
        <v>2022</v>
      </c>
      <c r="E68" s="1254">
        <v>3</v>
      </c>
      <c r="F68" s="1254" t="s">
        <v>632</v>
      </c>
      <c r="G68" s="1254" t="s">
        <v>813</v>
      </c>
      <c r="H68" s="1254" t="s">
        <v>814</v>
      </c>
      <c r="I68" s="1254">
        <v>3</v>
      </c>
      <c r="J68" s="1254" t="s">
        <v>473</v>
      </c>
      <c r="K68" s="1254">
        <f>SUMIF('CF.1'!$D:$D,'CFS(연간)'!G68,'CF.1'!$U:$U)</f>
        <v>0</v>
      </c>
      <c r="L68" s="1254">
        <f t="shared" si="5"/>
        <v>0</v>
      </c>
      <c r="M68" s="1260">
        <f t="shared" si="6"/>
        <v>0</v>
      </c>
      <c r="O68" s="1267"/>
      <c r="P68" s="1254">
        <f t="shared" ref="P68:P135" si="7">O68-L68</f>
        <v>0</v>
      </c>
      <c r="Q68" s="1255"/>
    </row>
    <row r="69" spans="4:20" ht="18" customHeight="1">
      <c r="D69" s="1259">
        <v>2022</v>
      </c>
      <c r="E69" s="1254">
        <v>3</v>
      </c>
      <c r="F69" s="1254" t="s">
        <v>632</v>
      </c>
      <c r="G69" s="1254" t="s">
        <v>815</v>
      </c>
      <c r="H69" s="1254" t="s">
        <v>816</v>
      </c>
      <c r="I69" s="1254">
        <v>3</v>
      </c>
      <c r="J69" s="1254" t="s">
        <v>473</v>
      </c>
      <c r="K69" s="1254">
        <f>SUMIF('CF.1'!$D:$D,'CFS(연간)'!G69,'CF.1'!$U:$U)</f>
        <v>5865724</v>
      </c>
      <c r="L69" s="1254">
        <f t="shared" si="5"/>
        <v>5865724</v>
      </c>
      <c r="M69" s="1260">
        <f t="shared" si="6"/>
        <v>0</v>
      </c>
      <c r="O69" s="1267"/>
      <c r="P69" s="1254">
        <f t="shared" si="7"/>
        <v>-5865724</v>
      </c>
      <c r="Q69" s="1255"/>
    </row>
    <row r="70" spans="4:20" ht="18" customHeight="1">
      <c r="D70" s="1259">
        <v>2022</v>
      </c>
      <c r="E70" s="1254">
        <v>3</v>
      </c>
      <c r="F70" s="1254" t="s">
        <v>632</v>
      </c>
      <c r="G70" s="1254" t="s">
        <v>817</v>
      </c>
      <c r="H70" s="1254" t="s">
        <v>818</v>
      </c>
      <c r="I70" s="1254">
        <v>3</v>
      </c>
      <c r="J70" s="1254" t="s">
        <v>473</v>
      </c>
      <c r="K70" s="1254">
        <f>SUMIF('CF.1'!$D:$D,'CFS(연간)'!G70,'CF.1'!$U:$U)</f>
        <v>0</v>
      </c>
      <c r="L70" s="1254">
        <f t="shared" si="5"/>
        <v>0</v>
      </c>
      <c r="M70" s="1260">
        <f t="shared" si="6"/>
        <v>0</v>
      </c>
      <c r="O70" s="1267"/>
      <c r="P70" s="1254">
        <f t="shared" si="7"/>
        <v>0</v>
      </c>
      <c r="Q70" s="1255"/>
    </row>
    <row r="71" spans="4:20" ht="18" customHeight="1">
      <c r="D71" s="1259">
        <v>2022</v>
      </c>
      <c r="E71" s="1254">
        <v>3</v>
      </c>
      <c r="F71" s="1254" t="s">
        <v>632</v>
      </c>
      <c r="G71" s="1254" t="s">
        <v>819</v>
      </c>
      <c r="H71" s="1254" t="s">
        <v>820</v>
      </c>
      <c r="I71" s="1254">
        <v>3</v>
      </c>
      <c r="J71" s="1254" t="s">
        <v>473</v>
      </c>
      <c r="K71" s="1254">
        <f>SUMIF('CF.1'!$D:$D,'CFS(연간)'!G71,'CF.1'!$U:$U)</f>
        <v>0</v>
      </c>
      <c r="L71" s="1254">
        <f t="shared" si="5"/>
        <v>0</v>
      </c>
      <c r="M71" s="1260">
        <f t="shared" si="6"/>
        <v>0</v>
      </c>
      <c r="O71" s="1267"/>
      <c r="P71" s="1254">
        <f t="shared" si="7"/>
        <v>0</v>
      </c>
      <c r="Q71" s="1255"/>
    </row>
    <row r="72" spans="4:20" ht="18" customHeight="1">
      <c r="D72" s="1259">
        <v>2022</v>
      </c>
      <c r="E72" s="1254">
        <v>3</v>
      </c>
      <c r="F72" s="1254" t="s">
        <v>632</v>
      </c>
      <c r="G72" s="1254" t="s">
        <v>821</v>
      </c>
      <c r="H72" s="1254" t="s">
        <v>822</v>
      </c>
      <c r="I72" s="1254">
        <v>3</v>
      </c>
      <c r="J72" s="1254" t="s">
        <v>473</v>
      </c>
      <c r="K72" s="1254">
        <f>SUMIF('CF.1'!$D:$D,'CFS(연간)'!G72,'CF.1'!$U:$U)</f>
        <v>0</v>
      </c>
      <c r="L72" s="1254">
        <f t="shared" si="5"/>
        <v>0</v>
      </c>
      <c r="M72" s="1260">
        <f t="shared" si="6"/>
        <v>0</v>
      </c>
      <c r="O72" s="1267"/>
      <c r="P72" s="1254">
        <f t="shared" si="7"/>
        <v>0</v>
      </c>
      <c r="Q72" s="1255"/>
    </row>
    <row r="73" spans="4:20" ht="18" customHeight="1">
      <c r="D73" s="1259">
        <v>2022</v>
      </c>
      <c r="E73" s="1254">
        <v>3</v>
      </c>
      <c r="F73" s="1254" t="s">
        <v>632</v>
      </c>
      <c r="G73" s="1254" t="s">
        <v>823</v>
      </c>
      <c r="H73" s="1254" t="s">
        <v>824</v>
      </c>
      <c r="I73" s="1254">
        <v>3</v>
      </c>
      <c r="J73" s="1254" t="s">
        <v>473</v>
      </c>
      <c r="K73" s="1254">
        <f>SUMIF('CF.1'!$D:$D,'CFS(연간)'!G73,'CF.1'!$U:$U)</f>
        <v>0</v>
      </c>
      <c r="L73" s="1254">
        <f t="shared" si="5"/>
        <v>0</v>
      </c>
      <c r="M73" s="1260">
        <f t="shared" si="6"/>
        <v>0</v>
      </c>
      <c r="O73" s="1267"/>
      <c r="P73" s="1254">
        <f t="shared" si="7"/>
        <v>0</v>
      </c>
      <c r="Q73" s="1255"/>
    </row>
    <row r="74" spans="4:20" ht="18" customHeight="1">
      <c r="D74" s="1259">
        <v>2022</v>
      </c>
      <c r="E74" s="1254">
        <v>3</v>
      </c>
      <c r="F74" s="1254" t="s">
        <v>632</v>
      </c>
      <c r="G74" s="1254" t="s">
        <v>825</v>
      </c>
      <c r="H74" s="1254" t="s">
        <v>826</v>
      </c>
      <c r="I74" s="1254">
        <v>3</v>
      </c>
      <c r="J74" s="1254" t="s">
        <v>473</v>
      </c>
      <c r="K74" s="1254">
        <f>SUMIF('CF.1'!$D:$D,'CFS(연간)'!G74,'CF.1'!$U:$U)</f>
        <v>0</v>
      </c>
      <c r="L74" s="1254">
        <f t="shared" si="5"/>
        <v>0</v>
      </c>
      <c r="M74" s="1260">
        <f t="shared" si="6"/>
        <v>0</v>
      </c>
      <c r="O74" s="1267"/>
      <c r="P74" s="1254">
        <f t="shared" si="7"/>
        <v>0</v>
      </c>
      <c r="Q74" s="1255"/>
    </row>
    <row r="75" spans="4:20" ht="18" customHeight="1">
      <c r="D75" s="1259">
        <v>2022</v>
      </c>
      <c r="E75" s="1254">
        <v>3</v>
      </c>
      <c r="F75" s="1254" t="s">
        <v>632</v>
      </c>
      <c r="G75" s="1254" t="s">
        <v>827</v>
      </c>
      <c r="H75" s="1254" t="s">
        <v>828</v>
      </c>
      <c r="I75" s="1254">
        <v>3</v>
      </c>
      <c r="J75" s="1254" t="s">
        <v>473</v>
      </c>
      <c r="K75" s="1254">
        <f>SUMIF('CF.1'!$D:$D,'CFS(연간)'!G75,'CF.1'!$U:$U)</f>
        <v>0</v>
      </c>
      <c r="L75" s="1254">
        <f t="shared" si="5"/>
        <v>0</v>
      </c>
      <c r="M75" s="1260">
        <f t="shared" si="6"/>
        <v>0</v>
      </c>
      <c r="O75" s="1267"/>
      <c r="P75" s="1254">
        <f t="shared" si="7"/>
        <v>0</v>
      </c>
      <c r="Q75" s="1255"/>
    </row>
    <row r="76" spans="4:20" ht="18" customHeight="1">
      <c r="D76" s="1259">
        <v>2022</v>
      </c>
      <c r="E76" s="1254">
        <v>3</v>
      </c>
      <c r="F76" s="1254" t="s">
        <v>632</v>
      </c>
      <c r="G76" s="1254" t="s">
        <v>829</v>
      </c>
      <c r="H76" s="1254" t="s">
        <v>830</v>
      </c>
      <c r="I76" s="1254">
        <v>3</v>
      </c>
      <c r="J76" s="1254" t="s">
        <v>473</v>
      </c>
      <c r="K76" s="1254">
        <f>SUMIF('CF.1'!$D:$D,'CFS(연간)'!G76,'CF.1'!$U:$U)</f>
        <v>0</v>
      </c>
      <c r="L76" s="1254">
        <f t="shared" si="5"/>
        <v>0</v>
      </c>
      <c r="M76" s="1260">
        <f t="shared" si="6"/>
        <v>0</v>
      </c>
      <c r="O76" s="1267"/>
      <c r="P76" s="1254">
        <f t="shared" si="7"/>
        <v>0</v>
      </c>
      <c r="Q76" s="1255"/>
    </row>
    <row r="77" spans="4:20" ht="18" customHeight="1">
      <c r="D77" s="1259">
        <v>2022</v>
      </c>
      <c r="E77" s="1254">
        <v>3</v>
      </c>
      <c r="F77" s="1254" t="s">
        <v>632</v>
      </c>
      <c r="G77" s="1254" t="s">
        <v>831</v>
      </c>
      <c r="H77" s="1254" t="s">
        <v>832</v>
      </c>
      <c r="I77" s="1254">
        <v>3</v>
      </c>
      <c r="J77" s="1254" t="s">
        <v>473</v>
      </c>
      <c r="K77" s="1254">
        <f>SUMIF('CF.1'!$D:$D,'CFS(연간)'!G77,'CF.1'!$U:$U)</f>
        <v>0</v>
      </c>
      <c r="L77" s="1254">
        <f t="shared" si="5"/>
        <v>0</v>
      </c>
      <c r="M77" s="1260">
        <f t="shared" si="6"/>
        <v>0</v>
      </c>
      <c r="O77" s="1267"/>
      <c r="P77" s="1254">
        <f t="shared" si="7"/>
        <v>0</v>
      </c>
      <c r="Q77" s="1255"/>
    </row>
    <row r="78" spans="4:20" ht="18" customHeight="1">
      <c r="D78" s="1259">
        <v>2022</v>
      </c>
      <c r="E78" s="1254">
        <v>3</v>
      </c>
      <c r="F78" s="1254" t="s">
        <v>632</v>
      </c>
      <c r="G78" s="1254" t="s">
        <v>833</v>
      </c>
      <c r="H78" s="1254" t="s">
        <v>678</v>
      </c>
      <c r="I78" s="1254">
        <v>3</v>
      </c>
      <c r="J78" s="1254" t="s">
        <v>473</v>
      </c>
      <c r="K78" s="1254">
        <f>SUMIF('CF.1'!$D:$D,'CFS(연간)'!G78,'CF.1'!$U:$U)</f>
        <v>-63636363</v>
      </c>
      <c r="L78" s="1254">
        <f t="shared" si="5"/>
        <v>-63636363</v>
      </c>
      <c r="M78" s="1260">
        <f t="shared" si="6"/>
        <v>0</v>
      </c>
      <c r="O78" s="1267"/>
      <c r="P78" s="1254">
        <f t="shared" si="7"/>
        <v>63636363</v>
      </c>
      <c r="Q78" s="1255"/>
    </row>
    <row r="79" spans="4:20" ht="18" customHeight="1">
      <c r="D79" s="1259">
        <v>2022</v>
      </c>
      <c r="E79" s="1254">
        <v>3</v>
      </c>
      <c r="F79" s="1254" t="s">
        <v>632</v>
      </c>
      <c r="G79" s="1254" t="s">
        <v>834</v>
      </c>
      <c r="H79" s="1254" t="s">
        <v>835</v>
      </c>
      <c r="I79" s="1254">
        <v>3</v>
      </c>
      <c r="J79" s="1254" t="s">
        <v>473</v>
      </c>
      <c r="K79" s="1254">
        <f>SUMIF('CF.1'!$D:$D,'CFS(연간)'!G79,'CF.1'!$U:$U)</f>
        <v>0</v>
      </c>
      <c r="L79" s="1254">
        <f t="shared" si="5"/>
        <v>0</v>
      </c>
      <c r="M79" s="1260">
        <f t="shared" si="6"/>
        <v>0</v>
      </c>
      <c r="O79" s="1267"/>
      <c r="P79" s="1254">
        <f t="shared" si="7"/>
        <v>0</v>
      </c>
      <c r="Q79" s="1255"/>
    </row>
    <row r="80" spans="4:20" ht="18" customHeight="1">
      <c r="D80" s="1259">
        <v>2022</v>
      </c>
      <c r="E80" s="1254">
        <v>3</v>
      </c>
      <c r="F80" s="1254" t="s">
        <v>632</v>
      </c>
      <c r="G80" s="1254" t="s">
        <v>836</v>
      </c>
      <c r="H80" s="1254" t="s">
        <v>679</v>
      </c>
      <c r="I80" s="1254">
        <v>3</v>
      </c>
      <c r="J80" s="1254" t="s">
        <v>473</v>
      </c>
      <c r="K80" s="1254">
        <f>SUMIF('CF.1'!$D:$D,'CFS(연간)'!G80,'CF.1'!$U:$U)</f>
        <v>0</v>
      </c>
      <c r="L80" s="1254">
        <f t="shared" si="5"/>
        <v>0</v>
      </c>
      <c r="M80" s="1260">
        <f t="shared" si="6"/>
        <v>0</v>
      </c>
      <c r="O80" s="1267"/>
      <c r="P80" s="1254">
        <f t="shared" si="7"/>
        <v>0</v>
      </c>
      <c r="Q80" s="1255"/>
    </row>
    <row r="81" spans="4:20" ht="18" customHeight="1">
      <c r="D81" s="1259">
        <v>2022</v>
      </c>
      <c r="E81" s="1254">
        <v>3</v>
      </c>
      <c r="F81" s="1254" t="s">
        <v>632</v>
      </c>
      <c r="G81" s="1254" t="s">
        <v>837</v>
      </c>
      <c r="H81" s="1254" t="s">
        <v>838</v>
      </c>
      <c r="I81" s="1254">
        <v>3</v>
      </c>
      <c r="J81" s="1254" t="s">
        <v>473</v>
      </c>
      <c r="K81" s="1254">
        <f>SUMIF('CF.1'!$D:$D,'CFS(연간)'!G81,'CF.1'!$U:$U)</f>
        <v>0</v>
      </c>
      <c r="L81" s="1254">
        <f t="shared" si="5"/>
        <v>0</v>
      </c>
      <c r="M81" s="1260">
        <f t="shared" si="6"/>
        <v>0</v>
      </c>
      <c r="O81" s="1267"/>
      <c r="P81" s="1254">
        <f t="shared" si="7"/>
        <v>0</v>
      </c>
      <c r="Q81" s="1255"/>
    </row>
    <row r="82" spans="4:20" ht="18" customHeight="1">
      <c r="D82" s="1259">
        <v>2022</v>
      </c>
      <c r="E82" s="1254">
        <v>3</v>
      </c>
      <c r="F82" s="1254" t="s">
        <v>632</v>
      </c>
      <c r="G82" s="1254" t="s">
        <v>839</v>
      </c>
      <c r="H82" s="1254" t="s">
        <v>840</v>
      </c>
      <c r="I82" s="1254">
        <v>3</v>
      </c>
      <c r="J82" s="1254" t="s">
        <v>473</v>
      </c>
      <c r="K82" s="1254">
        <f>SUMIF('CF.1'!$D:$D,'CFS(연간)'!G82,'CF.1'!$U:$U)</f>
        <v>-175168445</v>
      </c>
      <c r="L82" s="1254">
        <f t="shared" si="5"/>
        <v>-175168445</v>
      </c>
      <c r="M82" s="1260">
        <f t="shared" si="6"/>
        <v>0</v>
      </c>
      <c r="O82" s="1267"/>
      <c r="P82" s="1254">
        <f t="shared" si="7"/>
        <v>175168445</v>
      </c>
      <c r="Q82" s="1255"/>
    </row>
    <row r="83" spans="4:20" ht="18" customHeight="1">
      <c r="D83" s="1259">
        <v>2022</v>
      </c>
      <c r="E83" s="1254">
        <v>3</v>
      </c>
      <c r="F83" s="1254" t="s">
        <v>632</v>
      </c>
      <c r="G83" s="1254" t="s">
        <v>841</v>
      </c>
      <c r="H83" s="1254" t="s">
        <v>842</v>
      </c>
      <c r="I83" s="1254">
        <v>3</v>
      </c>
      <c r="J83" s="1254" t="s">
        <v>473</v>
      </c>
      <c r="K83" s="1254">
        <f>SUMIF('CF.1'!$D:$D,'CFS(연간)'!G83,'CF.1'!$U:$U)</f>
        <v>0</v>
      </c>
      <c r="L83" s="1254">
        <f t="shared" si="5"/>
        <v>0</v>
      </c>
      <c r="M83" s="1260">
        <f t="shared" si="6"/>
        <v>0</v>
      </c>
      <c r="O83" s="1267"/>
      <c r="P83" s="1254">
        <f t="shared" si="7"/>
        <v>0</v>
      </c>
      <c r="Q83" s="1255"/>
    </row>
    <row r="84" spans="4:20" ht="18" customHeight="1">
      <c r="D84" s="1259">
        <v>2022</v>
      </c>
      <c r="E84" s="1254">
        <v>3</v>
      </c>
      <c r="F84" s="1254" t="s">
        <v>632</v>
      </c>
      <c r="G84" s="1254" t="s">
        <v>843</v>
      </c>
      <c r="H84" s="1254" t="s">
        <v>844</v>
      </c>
      <c r="I84" s="1254">
        <v>3</v>
      </c>
      <c r="J84" s="1254" t="s">
        <v>473</v>
      </c>
      <c r="K84" s="1254">
        <f>SUMIF('CF.1'!$D:$D,'CFS(연간)'!G84,'CF.1'!$U:$U)</f>
        <v>-816498671</v>
      </c>
      <c r="L84" s="1254">
        <f t="shared" si="5"/>
        <v>-816498671</v>
      </c>
      <c r="M84" s="1260">
        <f t="shared" si="6"/>
        <v>0</v>
      </c>
      <c r="O84" s="1267"/>
      <c r="P84" s="1254">
        <f t="shared" si="7"/>
        <v>816498671</v>
      </c>
      <c r="Q84" s="1255"/>
    </row>
    <row r="85" spans="4:20" ht="18" customHeight="1">
      <c r="D85" s="1259">
        <v>2022</v>
      </c>
      <c r="E85" s="1254">
        <v>3</v>
      </c>
      <c r="F85" s="1254" t="s">
        <v>632</v>
      </c>
      <c r="G85" s="1254" t="s">
        <v>845</v>
      </c>
      <c r="H85" s="1254" t="s">
        <v>846</v>
      </c>
      <c r="I85" s="1254">
        <v>3</v>
      </c>
      <c r="J85" s="1254" t="s">
        <v>473</v>
      </c>
      <c r="K85" s="1254">
        <f>SUMIF('CF.1'!$D:$D,'CFS(연간)'!G85,'CF.1'!$U:$U)</f>
        <v>0</v>
      </c>
      <c r="L85" s="1254">
        <f t="shared" si="5"/>
        <v>0</v>
      </c>
      <c r="M85" s="1260">
        <f t="shared" si="6"/>
        <v>0</v>
      </c>
      <c r="O85" s="1267"/>
      <c r="P85" s="1254">
        <f t="shared" si="7"/>
        <v>0</v>
      </c>
      <c r="Q85" s="1255"/>
    </row>
    <row r="86" spans="4:20" ht="18" customHeight="1">
      <c r="D86" s="1259">
        <v>2022</v>
      </c>
      <c r="E86" s="1254">
        <v>3</v>
      </c>
      <c r="F86" s="1254" t="s">
        <v>632</v>
      </c>
      <c r="G86" s="1254" t="s">
        <v>847</v>
      </c>
      <c r="H86" s="1254" t="s">
        <v>848</v>
      </c>
      <c r="I86" s="1254">
        <v>3</v>
      </c>
      <c r="J86" s="1254" t="s">
        <v>473</v>
      </c>
      <c r="K86" s="1254">
        <f>SUMIF('CF.1'!$D:$D,'CFS(연간)'!G86,'CF.1'!$U:$U)</f>
        <v>0</v>
      </c>
      <c r="L86" s="1254">
        <f t="shared" si="5"/>
        <v>0</v>
      </c>
      <c r="M86" s="1260">
        <f t="shared" si="6"/>
        <v>0</v>
      </c>
      <c r="O86" s="1267"/>
      <c r="P86" s="1254">
        <f t="shared" si="7"/>
        <v>0</v>
      </c>
      <c r="Q86" s="1255"/>
      <c r="T86" s="1829"/>
    </row>
    <row r="87" spans="4:20" ht="18" customHeight="1">
      <c r="D87" s="1259">
        <v>2022</v>
      </c>
      <c r="E87" s="1254">
        <v>3</v>
      </c>
      <c r="F87" s="1254" t="s">
        <v>632</v>
      </c>
      <c r="G87" s="1254" t="s">
        <v>849</v>
      </c>
      <c r="H87" s="1254" t="s">
        <v>850</v>
      </c>
      <c r="I87" s="1254">
        <v>3</v>
      </c>
      <c r="J87" s="1254" t="s">
        <v>473</v>
      </c>
      <c r="K87" s="1254">
        <f>SUMIF('CF.1'!$D:$D,'CFS(연간)'!G87,'CF.1'!$U:$U)</f>
        <v>0</v>
      </c>
      <c r="L87" s="1254">
        <f t="shared" si="5"/>
        <v>0</v>
      </c>
      <c r="M87" s="1260">
        <f t="shared" si="6"/>
        <v>0</v>
      </c>
      <c r="O87" s="1267"/>
      <c r="P87" s="1254">
        <f t="shared" si="7"/>
        <v>0</v>
      </c>
      <c r="Q87" s="1255"/>
    </row>
    <row r="88" spans="4:20" ht="18" customHeight="1">
      <c r="D88" s="1259">
        <v>2022</v>
      </c>
      <c r="E88" s="1254">
        <v>3</v>
      </c>
      <c r="F88" s="1254" t="s">
        <v>632</v>
      </c>
      <c r="G88" s="1254" t="s">
        <v>851</v>
      </c>
      <c r="H88" s="1254" t="s">
        <v>852</v>
      </c>
      <c r="I88" s="1254">
        <v>3</v>
      </c>
      <c r="J88" s="1254" t="s">
        <v>473</v>
      </c>
      <c r="K88" s="1254">
        <f>SUMIF('CF.1'!$D:$D,'CFS(연간)'!G88,'CF.1'!$U:$U)</f>
        <v>0</v>
      </c>
      <c r="L88" s="1254">
        <f t="shared" si="5"/>
        <v>0</v>
      </c>
      <c r="M88" s="1260">
        <f t="shared" si="6"/>
        <v>0</v>
      </c>
      <c r="O88" s="1267"/>
      <c r="P88" s="1254">
        <f t="shared" si="7"/>
        <v>0</v>
      </c>
      <c r="Q88" s="1255"/>
    </row>
    <row r="89" spans="4:20" ht="18" customHeight="1">
      <c r="D89" s="1259">
        <v>2022</v>
      </c>
      <c r="E89" s="1254">
        <v>3</v>
      </c>
      <c r="F89" s="1254" t="s">
        <v>632</v>
      </c>
      <c r="G89" s="1254" t="s">
        <v>853</v>
      </c>
      <c r="H89" s="1254" t="s">
        <v>854</v>
      </c>
      <c r="I89" s="1254">
        <v>3</v>
      </c>
      <c r="J89" s="1254" t="s">
        <v>473</v>
      </c>
      <c r="K89" s="1254">
        <f>SUMIF('CF.1'!$D:$D,'CFS(연간)'!G89,'CF.1'!$U:$U)</f>
        <v>0</v>
      </c>
      <c r="L89" s="1254">
        <f t="shared" si="5"/>
        <v>0</v>
      </c>
      <c r="M89" s="1260">
        <f t="shared" si="6"/>
        <v>0</v>
      </c>
      <c r="O89" s="1267"/>
      <c r="P89" s="1254">
        <f t="shared" si="7"/>
        <v>0</v>
      </c>
      <c r="Q89" s="1255"/>
    </row>
    <row r="90" spans="4:20" ht="18" customHeight="1">
      <c r="D90" s="1259">
        <v>2022</v>
      </c>
      <c r="E90" s="1254">
        <v>3</v>
      </c>
      <c r="F90" s="1254" t="s">
        <v>632</v>
      </c>
      <c r="G90" s="1254" t="s">
        <v>855</v>
      </c>
      <c r="H90" s="1254" t="s">
        <v>856</v>
      </c>
      <c r="I90" s="1254">
        <v>3</v>
      </c>
      <c r="J90" s="1254" t="s">
        <v>473</v>
      </c>
      <c r="K90" s="1254">
        <f>SUMIF('CF.1'!$D:$D,'CFS(연간)'!G90,'CF.1'!$U:$U)</f>
        <v>0</v>
      </c>
      <c r="L90" s="1254">
        <f t="shared" si="5"/>
        <v>0</v>
      </c>
      <c r="M90" s="1260">
        <f t="shared" si="6"/>
        <v>0</v>
      </c>
      <c r="O90" s="1267"/>
      <c r="P90" s="1254">
        <f t="shared" si="7"/>
        <v>0</v>
      </c>
      <c r="Q90" s="1255"/>
    </row>
    <row r="91" spans="4:20" ht="18" customHeight="1">
      <c r="D91" s="1259">
        <v>2022</v>
      </c>
      <c r="E91" s="1254">
        <v>3</v>
      </c>
      <c r="F91" s="1254" t="s">
        <v>632</v>
      </c>
      <c r="G91" s="1254" t="s">
        <v>857</v>
      </c>
      <c r="H91" s="1254" t="s">
        <v>858</v>
      </c>
      <c r="I91" s="1254">
        <v>3</v>
      </c>
      <c r="J91" s="1254" t="s">
        <v>473</v>
      </c>
      <c r="K91" s="1254">
        <f>SUMIF('CF.1'!$D:$D,'CFS(연간)'!G91,'CF.1'!$U:$U)</f>
        <v>0</v>
      </c>
      <c r="L91" s="1254">
        <f t="shared" si="5"/>
        <v>0</v>
      </c>
      <c r="M91" s="1260">
        <f t="shared" si="6"/>
        <v>0</v>
      </c>
      <c r="O91" s="1267"/>
      <c r="P91" s="1254">
        <f t="shared" si="7"/>
        <v>0</v>
      </c>
      <c r="Q91" s="1255"/>
    </row>
    <row r="92" spans="4:20" ht="18" customHeight="1">
      <c r="D92" s="1259">
        <v>2022</v>
      </c>
      <c r="E92" s="1254">
        <v>3</v>
      </c>
      <c r="F92" s="1254" t="s">
        <v>632</v>
      </c>
      <c r="G92" s="1254" t="s">
        <v>859</v>
      </c>
      <c r="H92" s="1254" t="s">
        <v>860</v>
      </c>
      <c r="I92" s="1254">
        <v>3</v>
      </c>
      <c r="J92" s="1254" t="s">
        <v>473</v>
      </c>
      <c r="K92" s="1254">
        <f>SUMIF('CF.1'!$D:$D,'CFS(연간)'!G92,'CF.1'!$U:$U)</f>
        <v>0</v>
      </c>
      <c r="L92" s="1254">
        <f t="shared" si="5"/>
        <v>0</v>
      </c>
      <c r="M92" s="1260">
        <f t="shared" si="6"/>
        <v>0</v>
      </c>
      <c r="O92" s="1267"/>
      <c r="P92" s="1254">
        <f t="shared" si="7"/>
        <v>0</v>
      </c>
      <c r="Q92" s="1255"/>
    </row>
    <row r="93" spans="4:20" ht="18" customHeight="1">
      <c r="D93" s="1259">
        <v>2022</v>
      </c>
      <c r="E93" s="1254">
        <v>3</v>
      </c>
      <c r="F93" s="1254" t="s">
        <v>632</v>
      </c>
      <c r="G93" s="1254" t="s">
        <v>861</v>
      </c>
      <c r="H93" s="1254" t="s">
        <v>862</v>
      </c>
      <c r="I93" s="1254">
        <v>3</v>
      </c>
      <c r="J93" s="1254" t="s">
        <v>473</v>
      </c>
      <c r="K93" s="1254">
        <f>SUMIF('CF.1'!$D:$D,'CFS(연간)'!G93,'CF.1'!$U:$U)</f>
        <v>0</v>
      </c>
      <c r="L93" s="1254">
        <f t="shared" si="5"/>
        <v>0</v>
      </c>
      <c r="M93" s="1260">
        <f t="shared" si="6"/>
        <v>0</v>
      </c>
      <c r="O93" s="1267"/>
      <c r="P93" s="1254">
        <f t="shared" si="7"/>
        <v>0</v>
      </c>
      <c r="Q93" s="1255"/>
    </row>
    <row r="94" spans="4:20" ht="18" customHeight="1">
      <c r="D94" s="1259">
        <v>2022</v>
      </c>
      <c r="E94" s="1254">
        <v>3</v>
      </c>
      <c r="F94" s="1254" t="s">
        <v>632</v>
      </c>
      <c r="G94" s="1254" t="s">
        <v>863</v>
      </c>
      <c r="H94" s="1254" t="s">
        <v>864</v>
      </c>
      <c r="I94" s="1254">
        <v>3</v>
      </c>
      <c r="J94" s="1254" t="s">
        <v>473</v>
      </c>
      <c r="K94" s="1254">
        <f>SUMIF('CF.1'!$D:$D,'CFS(연간)'!G94,'CF.1'!$U:$U)</f>
        <v>0</v>
      </c>
      <c r="L94" s="1254">
        <f t="shared" si="5"/>
        <v>0</v>
      </c>
      <c r="M94" s="1260">
        <f t="shared" si="6"/>
        <v>0</v>
      </c>
      <c r="O94" s="1267"/>
      <c r="P94" s="1254">
        <f t="shared" si="7"/>
        <v>0</v>
      </c>
      <c r="Q94" s="1255"/>
    </row>
    <row r="95" spans="4:20" ht="18" customHeight="1">
      <c r="D95" s="1259">
        <v>2022</v>
      </c>
      <c r="E95" s="1265">
        <v>3</v>
      </c>
      <c r="F95" s="1265" t="s">
        <v>632</v>
      </c>
      <c r="G95" s="1265" t="s">
        <v>865</v>
      </c>
      <c r="H95" s="1265" t="s">
        <v>866</v>
      </c>
      <c r="I95" s="1265">
        <v>3</v>
      </c>
      <c r="J95" s="1265" t="s">
        <v>473</v>
      </c>
      <c r="K95" s="1265">
        <f>SUMIF('CF.1'!$D:$D,'CFS(연간)'!G95,'CF.1'!$U:$U)</f>
        <v>0</v>
      </c>
      <c r="L95" s="1265">
        <f t="shared" si="5"/>
        <v>0</v>
      </c>
      <c r="M95" s="1266">
        <f t="shared" si="6"/>
        <v>0</v>
      </c>
      <c r="O95" s="1267"/>
      <c r="P95" s="1254">
        <f t="shared" si="7"/>
        <v>0</v>
      </c>
      <c r="Q95" s="1255"/>
    </row>
    <row r="96" spans="4:20" ht="18" customHeight="1">
      <c r="D96" s="1259">
        <v>2022</v>
      </c>
      <c r="E96" s="1265">
        <v>3</v>
      </c>
      <c r="F96" s="1265" t="s">
        <v>632</v>
      </c>
      <c r="G96" s="1265" t="s">
        <v>867</v>
      </c>
      <c r="H96" s="1265" t="s">
        <v>868</v>
      </c>
      <c r="I96" s="1265">
        <v>3</v>
      </c>
      <c r="J96" s="1265" t="s">
        <v>473</v>
      </c>
      <c r="K96" s="1265">
        <f>SUMIF('CF.1'!$D:$D,'CFS(연간)'!G96,'CF.1'!$U:$U)</f>
        <v>0</v>
      </c>
      <c r="L96" s="1265">
        <f t="shared" si="5"/>
        <v>0</v>
      </c>
      <c r="M96" s="1266">
        <f t="shared" si="6"/>
        <v>0</v>
      </c>
      <c r="O96" s="1267"/>
      <c r="P96" s="1254">
        <f t="shared" si="7"/>
        <v>0</v>
      </c>
      <c r="Q96" s="1255"/>
    </row>
    <row r="97" spans="4:17" ht="18" customHeight="1">
      <c r="D97" s="1259">
        <v>2022</v>
      </c>
      <c r="E97" s="1265">
        <v>3</v>
      </c>
      <c r="F97" s="1265" t="s">
        <v>632</v>
      </c>
      <c r="G97" s="1265" t="s">
        <v>869</v>
      </c>
      <c r="H97" s="1265" t="s">
        <v>870</v>
      </c>
      <c r="I97" s="1265">
        <v>3</v>
      </c>
      <c r="J97" s="1265" t="s">
        <v>473</v>
      </c>
      <c r="K97" s="1265">
        <f>SUMIF('CF.1'!$D:$D,'CFS(연간)'!G97,'CF.1'!$U:$U)</f>
        <v>0</v>
      </c>
      <c r="L97" s="1265">
        <f t="shared" si="5"/>
        <v>0</v>
      </c>
      <c r="M97" s="1266">
        <f t="shared" si="6"/>
        <v>0</v>
      </c>
      <c r="O97" s="1267"/>
      <c r="P97" s="1254">
        <f t="shared" si="7"/>
        <v>0</v>
      </c>
      <c r="Q97" s="1255"/>
    </row>
    <row r="98" spans="4:17" ht="18" customHeight="1">
      <c r="D98" s="1259">
        <v>2022</v>
      </c>
      <c r="E98" s="1265">
        <v>3</v>
      </c>
      <c r="F98" s="1265" t="s">
        <v>632</v>
      </c>
      <c r="G98" s="1265" t="s">
        <v>871</v>
      </c>
      <c r="H98" s="1265" t="s">
        <v>872</v>
      </c>
      <c r="I98" s="1265">
        <v>3</v>
      </c>
      <c r="J98" s="1265" t="s">
        <v>473</v>
      </c>
      <c r="K98" s="1265">
        <f>SUMIF('CF.1'!$D:$D,'CFS(연간)'!G98,'CF.1'!$U:$U)</f>
        <v>0</v>
      </c>
      <c r="L98" s="1265">
        <f t="shared" si="5"/>
        <v>0</v>
      </c>
      <c r="M98" s="1266">
        <f t="shared" si="6"/>
        <v>0</v>
      </c>
      <c r="O98" s="1267"/>
      <c r="P98" s="1254">
        <f t="shared" si="7"/>
        <v>0</v>
      </c>
      <c r="Q98" s="1255"/>
    </row>
    <row r="99" spans="4:17" ht="18" customHeight="1">
      <c r="D99" s="1259">
        <v>2022</v>
      </c>
      <c r="E99" s="1265">
        <v>3</v>
      </c>
      <c r="F99" s="1265" t="s">
        <v>632</v>
      </c>
      <c r="G99" s="1265" t="s">
        <v>873</v>
      </c>
      <c r="H99" s="1265" t="s">
        <v>673</v>
      </c>
      <c r="I99" s="1265">
        <v>3</v>
      </c>
      <c r="J99" s="1265" t="s">
        <v>473</v>
      </c>
      <c r="K99" s="1265">
        <f>SUMIF('CF.1'!$D:$D,'CFS(연간)'!G99,'CF.1'!$U:$U)</f>
        <v>-1666986895</v>
      </c>
      <c r="L99" s="1265">
        <f t="shared" si="5"/>
        <v>-1666986895</v>
      </c>
      <c r="M99" s="1266">
        <f t="shared" si="6"/>
        <v>0</v>
      </c>
      <c r="O99" s="1267"/>
      <c r="P99" s="1254">
        <f t="shared" si="7"/>
        <v>1666986895</v>
      </c>
      <c r="Q99" s="1255"/>
    </row>
    <row r="100" spans="4:17" ht="18" customHeight="1">
      <c r="D100" s="1259">
        <v>2022</v>
      </c>
      <c r="E100" s="1265">
        <v>3</v>
      </c>
      <c r="F100" s="1265" t="s">
        <v>632</v>
      </c>
      <c r="G100" s="1265" t="s">
        <v>1498</v>
      </c>
      <c r="H100" s="1265" t="s">
        <v>1499</v>
      </c>
      <c r="I100" s="1265">
        <v>3</v>
      </c>
      <c r="J100" s="1265" t="s">
        <v>473</v>
      </c>
      <c r="K100" s="1265">
        <f>SUMIF('CF.1'!$D:$D,'CFS(연간)'!G100,'CF.1'!$U:$U)</f>
        <v>0</v>
      </c>
      <c r="L100" s="1265">
        <f t="shared" si="5"/>
        <v>0</v>
      </c>
      <c r="M100" s="1266">
        <f t="shared" si="6"/>
        <v>0</v>
      </c>
      <c r="O100" s="1267"/>
      <c r="P100" s="1254">
        <f t="shared" si="7"/>
        <v>0</v>
      </c>
      <c r="Q100" s="1255"/>
    </row>
    <row r="101" spans="4:17" ht="18" customHeight="1">
      <c r="D101" s="1259">
        <v>2022</v>
      </c>
      <c r="E101" s="1265">
        <v>3</v>
      </c>
      <c r="F101" s="1265" t="s">
        <v>632</v>
      </c>
      <c r="G101" s="1265" t="s">
        <v>2563</v>
      </c>
      <c r="H101" s="1265" t="s">
        <v>883</v>
      </c>
      <c r="I101" s="1265">
        <v>3</v>
      </c>
      <c r="J101" s="1265" t="s">
        <v>473</v>
      </c>
      <c r="K101" s="1265">
        <f>SUMIF('CF.1'!$D:$D,'CFS(연간)'!G101,'CF.1'!$U:$U)</f>
        <v>-3510625687</v>
      </c>
      <c r="L101" s="1265">
        <f t="shared" si="5"/>
        <v>-3510625687</v>
      </c>
      <c r="M101" s="1266"/>
      <c r="O101" s="1267"/>
      <c r="P101" s="1254"/>
      <c r="Q101" s="1255"/>
    </row>
    <row r="102" spans="4:17" ht="18" customHeight="1">
      <c r="D102" s="1259">
        <v>2022</v>
      </c>
      <c r="E102" s="1265">
        <v>3</v>
      </c>
      <c r="F102" s="1265" t="s">
        <v>632</v>
      </c>
      <c r="G102" s="1265" t="s">
        <v>892</v>
      </c>
      <c r="H102" s="1265" t="s">
        <v>893</v>
      </c>
      <c r="I102" s="1265">
        <v>3</v>
      </c>
      <c r="J102" s="1265" t="s">
        <v>473</v>
      </c>
      <c r="K102" s="1265">
        <f>SUMIF('CF.1'!$D:$D,'CFS(연간)'!G102,'CF.1'!$U:$U)</f>
        <v>-41363014942</v>
      </c>
      <c r="L102" s="1265">
        <f t="shared" si="5"/>
        <v>-41363014942</v>
      </c>
      <c r="M102" s="1266"/>
      <c r="O102" s="1267"/>
      <c r="P102" s="1254"/>
      <c r="Q102" s="1255"/>
    </row>
    <row r="103" spans="4:17" ht="18" customHeight="1">
      <c r="D103" s="1259">
        <v>2022</v>
      </c>
      <c r="E103" s="1265">
        <v>3</v>
      </c>
      <c r="F103" s="1265" t="s">
        <v>632</v>
      </c>
      <c r="G103" s="1265" t="s">
        <v>1500</v>
      </c>
      <c r="H103" s="1265" t="s">
        <v>877</v>
      </c>
      <c r="I103" s="1265">
        <v>3</v>
      </c>
      <c r="J103" s="1265" t="s">
        <v>473</v>
      </c>
      <c r="K103" s="1265">
        <f>SUMIF('CF.1'!$D:$D,'CFS(연간)'!G103,'CF.1'!$U:$U)</f>
        <v>0</v>
      </c>
      <c r="L103" s="1265">
        <f t="shared" si="5"/>
        <v>0</v>
      </c>
      <c r="M103" s="1266">
        <f t="shared" si="6"/>
        <v>0</v>
      </c>
      <c r="O103" s="1267"/>
      <c r="P103" s="1254">
        <f t="shared" si="7"/>
        <v>0</v>
      </c>
      <c r="Q103" s="1255"/>
    </row>
    <row r="104" spans="4:17" ht="18" customHeight="1">
      <c r="D104" s="1259">
        <v>2022</v>
      </c>
      <c r="E104" s="1265">
        <v>3</v>
      </c>
      <c r="F104" s="1265" t="s">
        <v>632</v>
      </c>
      <c r="G104" s="1265" t="s">
        <v>900</v>
      </c>
      <c r="H104" s="1265" t="s">
        <v>1501</v>
      </c>
      <c r="I104" s="1265">
        <v>3</v>
      </c>
      <c r="J104" s="1265" t="s">
        <v>473</v>
      </c>
      <c r="K104" s="1265">
        <f>SUMIF('CF.1'!$D:$D,'CFS(연간)'!G104,'CF.1'!$U:$U)</f>
        <v>-61773000</v>
      </c>
      <c r="L104" s="1265">
        <f t="shared" si="5"/>
        <v>-61773000</v>
      </c>
      <c r="M104" s="1266">
        <f t="shared" si="6"/>
        <v>0</v>
      </c>
      <c r="O104" s="1267"/>
      <c r="P104" s="1254">
        <f t="shared" si="7"/>
        <v>61773000</v>
      </c>
      <c r="Q104" s="1255"/>
    </row>
    <row r="105" spans="4:17" ht="18" customHeight="1">
      <c r="D105" s="1256">
        <v>2022</v>
      </c>
      <c r="E105" s="1257">
        <v>3</v>
      </c>
      <c r="F105" s="1257" t="s">
        <v>632</v>
      </c>
      <c r="G105" s="1257" t="s">
        <v>902</v>
      </c>
      <c r="H105" s="1257" t="s">
        <v>1502</v>
      </c>
      <c r="I105" s="1257">
        <v>2</v>
      </c>
      <c r="J105" s="1257" t="s">
        <v>473</v>
      </c>
      <c r="K105" s="1257">
        <f>SUM(K106:K148)</f>
        <v>2467085651</v>
      </c>
      <c r="L105" s="1257">
        <f>SUM(L106:L148)</f>
        <v>2467085651</v>
      </c>
      <c r="M105" s="1258">
        <f>SUM(M106:M147)</f>
        <v>0</v>
      </c>
      <c r="O105" s="1253"/>
      <c r="P105" s="1254">
        <f t="shared" si="7"/>
        <v>-2467085651</v>
      </c>
      <c r="Q105" s="1255"/>
    </row>
    <row r="106" spans="4:17" ht="18" customHeight="1">
      <c r="D106" s="1259">
        <v>2022</v>
      </c>
      <c r="E106" s="1254">
        <v>3</v>
      </c>
      <c r="F106" s="1254" t="s">
        <v>632</v>
      </c>
      <c r="G106" s="1254" t="s">
        <v>904</v>
      </c>
      <c r="H106" s="1254" t="s">
        <v>905</v>
      </c>
      <c r="I106" s="1254">
        <v>3</v>
      </c>
      <c r="J106" s="1254" t="s">
        <v>473</v>
      </c>
      <c r="K106" s="1254">
        <f>SUMIF('CF.1'!$D:$D,'CFS(연간)'!G106,'CF.1'!$U:$U)</f>
        <v>-5699219303</v>
      </c>
      <c r="L106" s="1254">
        <f t="shared" ref="L106:L123" si="8">K106</f>
        <v>-5699219303</v>
      </c>
      <c r="M106" s="1260">
        <f t="shared" ref="M106:M147" si="9">L106-K106</f>
        <v>0</v>
      </c>
      <c r="O106" s="1253"/>
      <c r="P106" s="1254">
        <f t="shared" si="7"/>
        <v>5699219303</v>
      </c>
      <c r="Q106" s="1255"/>
    </row>
    <row r="107" spans="4:17" ht="18" customHeight="1">
      <c r="D107" s="1259">
        <v>2022</v>
      </c>
      <c r="E107" s="1254">
        <v>3</v>
      </c>
      <c r="F107" s="1254" t="s">
        <v>632</v>
      </c>
      <c r="G107" s="1254" t="s">
        <v>906</v>
      </c>
      <c r="H107" s="1254" t="s">
        <v>907</v>
      </c>
      <c r="I107" s="1254">
        <v>3</v>
      </c>
      <c r="J107" s="1254" t="s">
        <v>473</v>
      </c>
      <c r="K107" s="1254">
        <f>SUMIF('CF.1'!$D:$D,'CFS(연간)'!G107,'CF.1'!$U:$U)</f>
        <v>1368660023</v>
      </c>
      <c r="L107" s="1254">
        <f t="shared" si="8"/>
        <v>1368660023</v>
      </c>
      <c r="M107" s="1260">
        <f t="shared" si="9"/>
        <v>0</v>
      </c>
      <c r="O107" s="1253"/>
      <c r="P107" s="1254">
        <f t="shared" si="7"/>
        <v>-1368660023</v>
      </c>
      <c r="Q107" s="1255"/>
    </row>
    <row r="108" spans="4:17" ht="18" customHeight="1">
      <c r="D108" s="1259">
        <v>2022</v>
      </c>
      <c r="E108" s="1254">
        <v>3</v>
      </c>
      <c r="F108" s="1254" t="s">
        <v>632</v>
      </c>
      <c r="G108" s="1254" t="s">
        <v>908</v>
      </c>
      <c r="H108" s="1254" t="s">
        <v>909</v>
      </c>
      <c r="I108" s="1254">
        <v>3</v>
      </c>
      <c r="J108" s="1254" t="s">
        <v>473</v>
      </c>
      <c r="K108" s="1254">
        <f>SUMIF('CF.1'!$D:$D,'CFS(연간)'!G108,'CF.1'!$U:$U)</f>
        <v>-286577263</v>
      </c>
      <c r="L108" s="1254">
        <f t="shared" si="8"/>
        <v>-286577263</v>
      </c>
      <c r="M108" s="1260">
        <f t="shared" si="9"/>
        <v>0</v>
      </c>
      <c r="O108" s="1253"/>
      <c r="P108" s="1254">
        <f t="shared" si="7"/>
        <v>286577263</v>
      </c>
      <c r="Q108" s="1255"/>
    </row>
    <row r="109" spans="4:17" ht="18" customHeight="1">
      <c r="D109" s="1259">
        <v>2022</v>
      </c>
      <c r="E109" s="1254">
        <v>3</v>
      </c>
      <c r="F109" s="1254" t="s">
        <v>632</v>
      </c>
      <c r="G109" s="1254" t="s">
        <v>910</v>
      </c>
      <c r="H109" s="1254" t="s">
        <v>911</v>
      </c>
      <c r="I109" s="1254">
        <v>3</v>
      </c>
      <c r="J109" s="1254" t="s">
        <v>473</v>
      </c>
      <c r="K109" s="1254">
        <f>SUMIF('CF.1'!$D:$D,'CFS(연간)'!G109,'CF.1'!$U:$U)</f>
        <v>7382293681</v>
      </c>
      <c r="L109" s="1254">
        <f t="shared" si="8"/>
        <v>7382293681</v>
      </c>
      <c r="M109" s="1260">
        <f t="shared" si="9"/>
        <v>0</v>
      </c>
      <c r="O109" s="1253"/>
      <c r="P109" s="1254">
        <f t="shared" si="7"/>
        <v>-7382293681</v>
      </c>
      <c r="Q109" s="1255"/>
    </row>
    <row r="110" spans="4:17" s="575" customFormat="1" ht="18" customHeight="1">
      <c r="D110" s="1264">
        <v>2022</v>
      </c>
      <c r="E110" s="1265">
        <v>3</v>
      </c>
      <c r="F110" s="1265" t="s">
        <v>632</v>
      </c>
      <c r="G110" s="1265" t="s">
        <v>912</v>
      </c>
      <c r="H110" s="1265" t="s">
        <v>913</v>
      </c>
      <c r="I110" s="1265">
        <v>3</v>
      </c>
      <c r="J110" s="1265" t="s">
        <v>473</v>
      </c>
      <c r="K110" s="1265">
        <f>SUMIF('CF.1'!$D:$D,'CFS(연간)'!G110,'CF.1'!$U:$U)</f>
        <v>0</v>
      </c>
      <c r="L110" s="1265">
        <f t="shared" si="8"/>
        <v>0</v>
      </c>
      <c r="M110" s="1266">
        <f t="shared" si="9"/>
        <v>0</v>
      </c>
      <c r="O110" s="1275"/>
      <c r="P110" s="1265">
        <f t="shared" si="7"/>
        <v>0</v>
      </c>
      <c r="Q110" s="1276"/>
    </row>
    <row r="111" spans="4:17" s="575" customFormat="1" ht="18" customHeight="1">
      <c r="D111" s="1264">
        <v>2022</v>
      </c>
      <c r="E111" s="1265">
        <v>3</v>
      </c>
      <c r="F111" s="1265" t="s">
        <v>632</v>
      </c>
      <c r="G111" s="1265" t="s">
        <v>930</v>
      </c>
      <c r="H111" s="1265" t="s">
        <v>931</v>
      </c>
      <c r="I111" s="1265">
        <v>3</v>
      </c>
      <c r="J111" s="1265" t="s">
        <v>473</v>
      </c>
      <c r="K111" s="1265">
        <f>SUMIF('CF.1'!$D:$D,'CFS(연간)'!G111,'CF.1'!$U:$U)</f>
        <v>0</v>
      </c>
      <c r="L111" s="1265">
        <f t="shared" ref="L111" si="10">K111</f>
        <v>0</v>
      </c>
      <c r="M111" s="1266"/>
      <c r="O111" s="1275"/>
      <c r="P111" s="1265">
        <f t="shared" ref="P111" si="11">O111-L111</f>
        <v>0</v>
      </c>
      <c r="Q111" s="1276"/>
    </row>
    <row r="112" spans="4:17" s="575" customFormat="1" ht="18" customHeight="1">
      <c r="D112" s="1264">
        <v>2022</v>
      </c>
      <c r="E112" s="1265">
        <v>3</v>
      </c>
      <c r="F112" s="1265" t="s">
        <v>632</v>
      </c>
      <c r="G112" s="1265" t="s">
        <v>914</v>
      </c>
      <c r="H112" s="1265" t="s">
        <v>915</v>
      </c>
      <c r="I112" s="1265">
        <v>3</v>
      </c>
      <c r="J112" s="1265" t="s">
        <v>473</v>
      </c>
      <c r="K112" s="1265">
        <f>SUMIF('CF.1'!$D:$D,'CFS(연간)'!G112,'CF.1'!$U:$U)</f>
        <v>371917777</v>
      </c>
      <c r="L112" s="1265">
        <f t="shared" si="8"/>
        <v>371917777</v>
      </c>
      <c r="M112" s="1266">
        <f t="shared" si="9"/>
        <v>0</v>
      </c>
      <c r="O112" s="1275"/>
      <c r="P112" s="1265">
        <f t="shared" si="7"/>
        <v>-371917777</v>
      </c>
      <c r="Q112" s="1276"/>
    </row>
    <row r="113" spans="4:20" s="575" customFormat="1" ht="18" customHeight="1">
      <c r="D113" s="1264">
        <v>2022</v>
      </c>
      <c r="E113" s="1265">
        <v>3</v>
      </c>
      <c r="F113" s="1265" t="s">
        <v>632</v>
      </c>
      <c r="G113" s="1265" t="s">
        <v>980</v>
      </c>
      <c r="H113" s="1265" t="s">
        <v>981</v>
      </c>
      <c r="I113" s="1265">
        <v>4</v>
      </c>
      <c r="J113" s="1265" t="s">
        <v>473</v>
      </c>
      <c r="K113" s="1265">
        <f>SUMIF('CF.1'!$D:$D,'CFS(연간)'!G113,'CF.1'!$U:$U)</f>
        <v>58123</v>
      </c>
      <c r="L113" s="1265">
        <f>K113</f>
        <v>58123</v>
      </c>
      <c r="M113" s="1266">
        <f>L113-K113</f>
        <v>0</v>
      </c>
      <c r="O113" s="1275"/>
      <c r="P113" s="1265">
        <f>O113-L113</f>
        <v>-58123</v>
      </c>
      <c r="Q113" s="1276"/>
    </row>
    <row r="114" spans="4:20" s="575" customFormat="1" ht="18" customHeight="1">
      <c r="D114" s="1264">
        <v>2022</v>
      </c>
      <c r="E114" s="1265">
        <v>3</v>
      </c>
      <c r="F114" s="1265" t="s">
        <v>632</v>
      </c>
      <c r="G114" s="1265" t="s">
        <v>916</v>
      </c>
      <c r="H114" s="1265" t="s">
        <v>917</v>
      </c>
      <c r="I114" s="1265">
        <v>3</v>
      </c>
      <c r="J114" s="1265" t="s">
        <v>473</v>
      </c>
      <c r="K114" s="1265">
        <f>SUMIF('CF.1'!$D:$D,'CFS(연간)'!G114,'CF.1'!$U:$U)</f>
        <v>0</v>
      </c>
      <c r="L114" s="1265">
        <f t="shared" si="8"/>
        <v>0</v>
      </c>
      <c r="M114" s="1266">
        <f t="shared" si="9"/>
        <v>0</v>
      </c>
      <c r="O114" s="1275"/>
      <c r="P114" s="1265">
        <f t="shared" si="7"/>
        <v>0</v>
      </c>
      <c r="Q114" s="1276"/>
    </row>
    <row r="115" spans="4:20" ht="18" customHeight="1">
      <c r="D115" s="1259">
        <v>2022</v>
      </c>
      <c r="E115" s="1254">
        <v>3</v>
      </c>
      <c r="F115" s="1254" t="s">
        <v>632</v>
      </c>
      <c r="G115" s="1254" t="s">
        <v>920</v>
      </c>
      <c r="H115" s="1254" t="s">
        <v>921</v>
      </c>
      <c r="I115" s="1254">
        <v>3</v>
      </c>
      <c r="J115" s="1254" t="s">
        <v>473</v>
      </c>
      <c r="K115" s="1254">
        <f>SUMIF('CF.1'!$D:$D,'CFS(연간)'!G115,'CF.1'!$U:$U)</f>
        <v>751602765</v>
      </c>
      <c r="L115" s="1254">
        <f t="shared" si="8"/>
        <v>751602765</v>
      </c>
      <c r="M115" s="1260">
        <f t="shared" si="9"/>
        <v>0</v>
      </c>
      <c r="O115" s="1253"/>
      <c r="P115" s="1254">
        <f t="shared" si="7"/>
        <v>-751602765</v>
      </c>
      <c r="Q115" s="1255"/>
    </row>
    <row r="116" spans="4:20" ht="18" customHeight="1">
      <c r="D116" s="1259">
        <v>2022</v>
      </c>
      <c r="E116" s="1254">
        <v>3</v>
      </c>
      <c r="F116" s="1254" t="s">
        <v>632</v>
      </c>
      <c r="G116" s="1254" t="s">
        <v>922</v>
      </c>
      <c r="H116" s="1254" t="s">
        <v>923</v>
      </c>
      <c r="I116" s="1254">
        <v>3</v>
      </c>
      <c r="J116" s="1254" t="s">
        <v>473</v>
      </c>
      <c r="K116" s="1254">
        <f>SUMIF('CF.1'!$D:$D,'CFS(연간)'!G116,'CF.1'!$U:$U)</f>
        <v>-6631675919</v>
      </c>
      <c r="L116" s="1254">
        <f t="shared" si="8"/>
        <v>-6631675919</v>
      </c>
      <c r="M116" s="1260">
        <f t="shared" si="9"/>
        <v>0</v>
      </c>
      <c r="O116" s="1253"/>
      <c r="P116" s="1254">
        <f t="shared" si="7"/>
        <v>6631675919</v>
      </c>
      <c r="Q116" s="1255"/>
      <c r="S116" s="575"/>
      <c r="T116" s="575"/>
    </row>
    <row r="117" spans="4:20" s="575" customFormat="1" ht="18" customHeight="1">
      <c r="D117" s="1264">
        <v>2022</v>
      </c>
      <c r="E117" s="1265">
        <v>3</v>
      </c>
      <c r="F117" s="1265" t="s">
        <v>632</v>
      </c>
      <c r="G117" s="1265" t="s">
        <v>994</v>
      </c>
      <c r="H117" s="1265" t="s">
        <v>2190</v>
      </c>
      <c r="I117" s="1265">
        <v>3</v>
      </c>
      <c r="J117" s="1265" t="s">
        <v>473</v>
      </c>
      <c r="K117" s="1265">
        <f>SUMIF('CF.1'!$D:$D,'CFS(연간)'!G117,'CF.1'!$U:$U)</f>
        <v>19882908</v>
      </c>
      <c r="L117" s="1265">
        <f>K117</f>
        <v>19882908</v>
      </c>
      <c r="M117" s="1266">
        <f>L117-K117</f>
        <v>0</v>
      </c>
      <c r="O117" s="1275"/>
      <c r="P117" s="1265">
        <f>O117-L117</f>
        <v>-19882908</v>
      </c>
      <c r="Q117" s="1276"/>
      <c r="S117" s="498"/>
      <c r="T117" s="498"/>
    </row>
    <row r="118" spans="4:20" ht="18" customHeight="1">
      <c r="D118" s="1259">
        <v>2022</v>
      </c>
      <c r="E118" s="1254">
        <v>3</v>
      </c>
      <c r="F118" s="1254" t="s">
        <v>632</v>
      </c>
      <c r="G118" s="1254" t="s">
        <v>924</v>
      </c>
      <c r="H118" s="1254" t="s">
        <v>925</v>
      </c>
      <c r="I118" s="1254">
        <v>3</v>
      </c>
      <c r="J118" s="1254" t="s">
        <v>473</v>
      </c>
      <c r="K118" s="1254">
        <f>SUMIF('CF.1'!$D:$D,'CFS(연간)'!G118,'CF.1'!$U:$U)</f>
        <v>0</v>
      </c>
      <c r="L118" s="1254">
        <f t="shared" si="8"/>
        <v>0</v>
      </c>
      <c r="M118" s="1260">
        <f t="shared" si="9"/>
        <v>0</v>
      </c>
      <c r="O118" s="1253"/>
      <c r="P118" s="1254">
        <f t="shared" si="7"/>
        <v>0</v>
      </c>
      <c r="Q118" s="1255"/>
    </row>
    <row r="119" spans="4:20" ht="18" customHeight="1">
      <c r="D119" s="1259">
        <v>2022</v>
      </c>
      <c r="E119" s="1254">
        <v>3</v>
      </c>
      <c r="F119" s="1254" t="s">
        <v>632</v>
      </c>
      <c r="G119" s="1254" t="s">
        <v>932</v>
      </c>
      <c r="H119" s="1254" t="s">
        <v>933</v>
      </c>
      <c r="I119" s="1254">
        <v>3</v>
      </c>
      <c r="J119" s="1254" t="s">
        <v>473</v>
      </c>
      <c r="K119" s="1254">
        <f>SUMIF('CF.1'!$D:$D,'CFS(연간)'!G119,'CF.1'!$U:$U)</f>
        <v>0</v>
      </c>
      <c r="L119" s="1254">
        <f t="shared" si="8"/>
        <v>0</v>
      </c>
      <c r="M119" s="1260">
        <f t="shared" si="9"/>
        <v>0</v>
      </c>
      <c r="O119" s="1253"/>
      <c r="P119" s="1254">
        <f t="shared" si="7"/>
        <v>0</v>
      </c>
      <c r="Q119" s="1255"/>
    </row>
    <row r="120" spans="4:20" ht="18" customHeight="1">
      <c r="D120" s="1259">
        <v>2022</v>
      </c>
      <c r="E120" s="1254">
        <v>3</v>
      </c>
      <c r="F120" s="1254" t="s">
        <v>632</v>
      </c>
      <c r="G120" s="1254" t="s">
        <v>934</v>
      </c>
      <c r="H120" s="1254" t="s">
        <v>935</v>
      </c>
      <c r="I120" s="1254">
        <v>3</v>
      </c>
      <c r="J120" s="1254" t="s">
        <v>473</v>
      </c>
      <c r="K120" s="1254">
        <f>SUMIF('CF.1'!$D:$D,'CFS(연간)'!G120,'CF.1'!$U:$U)</f>
        <v>0</v>
      </c>
      <c r="L120" s="1254">
        <f t="shared" si="8"/>
        <v>0</v>
      </c>
      <c r="M120" s="1260">
        <f t="shared" si="9"/>
        <v>0</v>
      </c>
      <c r="O120" s="1253"/>
      <c r="P120" s="1254">
        <f t="shared" si="7"/>
        <v>0</v>
      </c>
      <c r="Q120" s="1255"/>
      <c r="S120" s="575"/>
      <c r="T120" s="575"/>
    </row>
    <row r="121" spans="4:20" ht="18" customHeight="1">
      <c r="D121" s="1259">
        <v>2022</v>
      </c>
      <c r="E121" s="1254">
        <v>3</v>
      </c>
      <c r="F121" s="1254" t="s">
        <v>632</v>
      </c>
      <c r="G121" s="1254" t="s">
        <v>936</v>
      </c>
      <c r="H121" s="1254" t="s">
        <v>937</v>
      </c>
      <c r="I121" s="1254">
        <v>3</v>
      </c>
      <c r="J121" s="1254" t="s">
        <v>473</v>
      </c>
      <c r="K121" s="1254">
        <f>SUMIF('CF.1'!$D:$D,'CFS(연간)'!G121,'CF.1'!$U:$U)</f>
        <v>0</v>
      </c>
      <c r="L121" s="1254">
        <f t="shared" si="8"/>
        <v>0</v>
      </c>
      <c r="M121" s="1260">
        <f t="shared" si="9"/>
        <v>0</v>
      </c>
      <c r="O121" s="1253"/>
      <c r="P121" s="1254">
        <f t="shared" si="7"/>
        <v>0</v>
      </c>
      <c r="Q121" s="1255"/>
    </row>
    <row r="122" spans="4:20" ht="18" customHeight="1">
      <c r="D122" s="1259">
        <v>2022</v>
      </c>
      <c r="E122" s="1254">
        <v>3</v>
      </c>
      <c r="F122" s="1254" t="s">
        <v>632</v>
      </c>
      <c r="G122" s="1254" t="s">
        <v>938</v>
      </c>
      <c r="H122" s="1254" t="s">
        <v>939</v>
      </c>
      <c r="I122" s="1254">
        <v>3</v>
      </c>
      <c r="J122" s="1254" t="s">
        <v>473</v>
      </c>
      <c r="K122" s="1254">
        <f>SUMIF('CF.1'!$D:$D,'CFS(연간)'!G122,'CF.1'!$U:$U)</f>
        <v>0</v>
      </c>
      <c r="L122" s="1254">
        <f t="shared" si="8"/>
        <v>0</v>
      </c>
      <c r="M122" s="1260">
        <f t="shared" si="9"/>
        <v>0</v>
      </c>
      <c r="O122" s="1253"/>
      <c r="P122" s="1254">
        <f t="shared" si="7"/>
        <v>0</v>
      </c>
      <c r="Q122" s="1255"/>
    </row>
    <row r="123" spans="4:20" ht="18" customHeight="1">
      <c r="D123" s="1259">
        <v>2022</v>
      </c>
      <c r="E123" s="1254">
        <v>3</v>
      </c>
      <c r="F123" s="1254" t="s">
        <v>632</v>
      </c>
      <c r="G123" s="1254" t="s">
        <v>940</v>
      </c>
      <c r="H123" s="1254" t="s">
        <v>941</v>
      </c>
      <c r="I123" s="1254">
        <v>3</v>
      </c>
      <c r="J123" s="1254" t="s">
        <v>473</v>
      </c>
      <c r="K123" s="1254">
        <f>SUMIF('CF.1'!$D:$D,'CFS(연간)'!G123,'CF.1'!$U:$U)</f>
        <v>5519858661</v>
      </c>
      <c r="L123" s="1254">
        <f t="shared" si="8"/>
        <v>5519858661</v>
      </c>
      <c r="M123" s="1260">
        <f t="shared" si="9"/>
        <v>0</v>
      </c>
      <c r="O123" s="1253"/>
      <c r="P123" s="1254">
        <f t="shared" si="7"/>
        <v>-5519858661</v>
      </c>
      <c r="Q123" s="1255"/>
    </row>
    <row r="124" spans="4:20" s="575" customFormat="1" ht="18" customHeight="1">
      <c r="D124" s="1264">
        <v>2022</v>
      </c>
      <c r="E124" s="1265">
        <v>3</v>
      </c>
      <c r="F124" s="1265" t="s">
        <v>632</v>
      </c>
      <c r="G124" s="1265" t="s">
        <v>942</v>
      </c>
      <c r="H124" s="1265" t="s">
        <v>943</v>
      </c>
      <c r="I124" s="1265">
        <v>3</v>
      </c>
      <c r="J124" s="1265" t="s">
        <v>473</v>
      </c>
      <c r="K124" s="1265">
        <f>SUMIF('CF.1'!$D:$D,'CFS(연간)'!G124,'CF.1'!$U:$U)</f>
        <v>0</v>
      </c>
      <c r="L124" s="1265">
        <v>0</v>
      </c>
      <c r="M124" s="1266">
        <f t="shared" si="9"/>
        <v>0</v>
      </c>
      <c r="O124" s="1275"/>
      <c r="P124" s="1265">
        <f t="shared" si="7"/>
        <v>0</v>
      </c>
      <c r="Q124" s="1276"/>
      <c r="S124" s="498"/>
      <c r="T124" s="498"/>
    </row>
    <row r="125" spans="4:20" s="575" customFormat="1" ht="18" customHeight="1">
      <c r="D125" s="1264">
        <v>2022</v>
      </c>
      <c r="E125" s="1265">
        <v>3</v>
      </c>
      <c r="F125" s="1265" t="s">
        <v>632</v>
      </c>
      <c r="G125" s="1265" t="s">
        <v>944</v>
      </c>
      <c r="H125" s="1265" t="s">
        <v>945</v>
      </c>
      <c r="I125" s="1265">
        <v>3</v>
      </c>
      <c r="J125" s="1265" t="s">
        <v>473</v>
      </c>
      <c r="K125" s="1265">
        <f>SUMIF('CF.1'!$D:$D,'CFS(연간)'!G125,'CF.1'!$U:$U)</f>
        <v>-316678366</v>
      </c>
      <c r="L125" s="1265">
        <f>K125</f>
        <v>-316678366</v>
      </c>
      <c r="M125" s="1266">
        <f t="shared" si="9"/>
        <v>0</v>
      </c>
      <c r="O125" s="1275"/>
      <c r="P125" s="1265">
        <f t="shared" si="7"/>
        <v>316678366</v>
      </c>
      <c r="Q125" s="1276"/>
      <c r="S125" s="498"/>
      <c r="T125" s="498"/>
    </row>
    <row r="126" spans="4:20" s="575" customFormat="1" ht="18" customHeight="1">
      <c r="D126" s="1264">
        <v>2022</v>
      </c>
      <c r="E126" s="1265">
        <v>3</v>
      </c>
      <c r="F126" s="1265" t="s">
        <v>632</v>
      </c>
      <c r="G126" s="1265" t="s">
        <v>946</v>
      </c>
      <c r="H126" s="1265" t="s">
        <v>947</v>
      </c>
      <c r="I126" s="1265">
        <v>3</v>
      </c>
      <c r="J126" s="1265" t="s">
        <v>473</v>
      </c>
      <c r="K126" s="1265">
        <f>SUMIF('CF.1'!$D:$D,'CFS(연간)'!G126,'CF.1'!$U:$U)</f>
        <v>0</v>
      </c>
      <c r="L126" s="1265">
        <v>0</v>
      </c>
      <c r="M126" s="1266">
        <f t="shared" si="9"/>
        <v>0</v>
      </c>
      <c r="O126" s="1275"/>
      <c r="P126" s="1265">
        <f t="shared" si="7"/>
        <v>0</v>
      </c>
      <c r="Q126" s="1276"/>
      <c r="S126" s="498"/>
      <c r="T126" s="498"/>
    </row>
    <row r="127" spans="4:20" ht="18" customHeight="1">
      <c r="D127" s="1259">
        <v>2022</v>
      </c>
      <c r="E127" s="1254">
        <v>3</v>
      </c>
      <c r="F127" s="1254" t="s">
        <v>632</v>
      </c>
      <c r="G127" s="1254" t="s">
        <v>948</v>
      </c>
      <c r="H127" s="1254" t="s">
        <v>949</v>
      </c>
      <c r="I127" s="1254">
        <v>3</v>
      </c>
      <c r="J127" s="1254" t="s">
        <v>473</v>
      </c>
      <c r="K127" s="1254">
        <f>SUMIF('CF.1'!$D:$D,'CFS(연간)'!G127,'CF.1'!$U:$U)</f>
        <v>4443110392</v>
      </c>
      <c r="L127" s="1254">
        <f t="shared" ref="L127:L148" si="12">K127</f>
        <v>4443110392</v>
      </c>
      <c r="M127" s="1260">
        <f t="shared" si="9"/>
        <v>0</v>
      </c>
      <c r="O127" s="1253"/>
      <c r="P127" s="1254">
        <f t="shared" si="7"/>
        <v>-4443110392</v>
      </c>
      <c r="Q127" s="1255"/>
      <c r="S127" s="575"/>
      <c r="T127" s="575"/>
    </row>
    <row r="128" spans="4:20" s="543" customFormat="1" ht="18" customHeight="1">
      <c r="D128" s="1273">
        <v>2022</v>
      </c>
      <c r="E128" s="1272">
        <v>3</v>
      </c>
      <c r="F128" s="1272" t="s">
        <v>632</v>
      </c>
      <c r="G128" s="1272" t="s">
        <v>950</v>
      </c>
      <c r="H128" s="1272" t="s">
        <v>951</v>
      </c>
      <c r="I128" s="1272">
        <v>3</v>
      </c>
      <c r="J128" s="1272" t="s">
        <v>473</v>
      </c>
      <c r="K128" s="1272">
        <f>SUMIF('CF.1'!$D:$D,'CFS(연간)'!G128,'CF.1'!$U:$U)</f>
        <v>-1895235072</v>
      </c>
      <c r="L128" s="1272">
        <f>K128</f>
        <v>-1895235072</v>
      </c>
      <c r="M128" s="1274">
        <f t="shared" si="9"/>
        <v>0</v>
      </c>
      <c r="O128" s="1267"/>
      <c r="P128" s="1272">
        <f t="shared" si="7"/>
        <v>1895235072</v>
      </c>
      <c r="Q128" s="1268"/>
      <c r="S128" s="575"/>
      <c r="T128" s="575"/>
    </row>
    <row r="129" spans="4:20" ht="18" customHeight="1">
      <c r="D129" s="1259">
        <v>2022</v>
      </c>
      <c r="E129" s="1254">
        <v>3</v>
      </c>
      <c r="F129" s="1254" t="s">
        <v>632</v>
      </c>
      <c r="G129" s="1254" t="s">
        <v>952</v>
      </c>
      <c r="H129" s="1254" t="s">
        <v>953</v>
      </c>
      <c r="I129" s="1254">
        <v>3</v>
      </c>
      <c r="J129" s="1254" t="s">
        <v>473</v>
      </c>
      <c r="K129" s="1254">
        <f>SUMIF('CF.1'!$D:$D,'CFS(연간)'!G129,'CF.1'!$U:$U)</f>
        <v>-2009212860</v>
      </c>
      <c r="L129" s="1254">
        <f t="shared" si="12"/>
        <v>-2009212860</v>
      </c>
      <c r="M129" s="1260">
        <f t="shared" si="9"/>
        <v>0</v>
      </c>
      <c r="O129" s="1253"/>
      <c r="P129" s="1254">
        <f t="shared" si="7"/>
        <v>2009212860</v>
      </c>
      <c r="Q129" s="1255"/>
      <c r="S129" s="575"/>
      <c r="T129" s="575"/>
    </row>
    <row r="130" spans="4:20" ht="18" customHeight="1">
      <c r="D130" s="1259">
        <v>2022</v>
      </c>
      <c r="E130" s="1254">
        <v>3</v>
      </c>
      <c r="F130" s="1254" t="s">
        <v>632</v>
      </c>
      <c r="G130" s="1254" t="s">
        <v>956</v>
      </c>
      <c r="H130" s="1254" t="s">
        <v>957</v>
      </c>
      <c r="I130" s="1254">
        <v>3</v>
      </c>
      <c r="J130" s="1254" t="s">
        <v>473</v>
      </c>
      <c r="K130" s="1254">
        <f>SUMIF('CF.1'!$D:$D,'CFS(연간)'!G130,'CF.1'!$U:$U)</f>
        <v>0</v>
      </c>
      <c r="L130" s="1254">
        <f t="shared" si="12"/>
        <v>0</v>
      </c>
      <c r="M130" s="1260">
        <f t="shared" si="9"/>
        <v>0</v>
      </c>
      <c r="O130" s="1253"/>
      <c r="P130" s="1254">
        <f t="shared" si="7"/>
        <v>0</v>
      </c>
      <c r="Q130" s="1255"/>
    </row>
    <row r="131" spans="4:20" ht="18" customHeight="1">
      <c r="D131" s="1259">
        <v>2022</v>
      </c>
      <c r="E131" s="1254">
        <v>3</v>
      </c>
      <c r="F131" s="1254" t="s">
        <v>632</v>
      </c>
      <c r="G131" s="1254" t="s">
        <v>958</v>
      </c>
      <c r="H131" s="1254" t="s">
        <v>959</v>
      </c>
      <c r="I131" s="1254">
        <v>3</v>
      </c>
      <c r="J131" s="1254" t="s">
        <v>473</v>
      </c>
      <c r="K131" s="1254">
        <f>SUMIF('CF.1'!$D:$D,'CFS(연간)'!G131,'CF.1'!$U:$U)</f>
        <v>0</v>
      </c>
      <c r="L131" s="1254">
        <f t="shared" si="12"/>
        <v>0</v>
      </c>
      <c r="M131" s="1260">
        <f t="shared" si="9"/>
        <v>0</v>
      </c>
      <c r="O131" s="1253"/>
      <c r="P131" s="1254">
        <f t="shared" si="7"/>
        <v>0</v>
      </c>
      <c r="Q131" s="1255"/>
      <c r="S131" s="543"/>
      <c r="T131" s="543"/>
    </row>
    <row r="132" spans="4:20" ht="18" customHeight="1">
      <c r="D132" s="1259">
        <v>2022</v>
      </c>
      <c r="E132" s="1254">
        <v>3</v>
      </c>
      <c r="F132" s="1254" t="s">
        <v>632</v>
      </c>
      <c r="G132" s="1254" t="s">
        <v>960</v>
      </c>
      <c r="H132" s="1254" t="s">
        <v>961</v>
      </c>
      <c r="I132" s="1254">
        <v>3</v>
      </c>
      <c r="J132" s="1254" t="s">
        <v>473</v>
      </c>
      <c r="K132" s="1254">
        <f>SUMIF('CF.1'!$D:$D,'CFS(연간)'!G132,'CF.1'!$U:$U)</f>
        <v>0</v>
      </c>
      <c r="L132" s="1254">
        <f t="shared" si="12"/>
        <v>0</v>
      </c>
      <c r="M132" s="1260">
        <f t="shared" si="9"/>
        <v>0</v>
      </c>
      <c r="O132" s="1253"/>
      <c r="P132" s="1254">
        <f t="shared" si="7"/>
        <v>0</v>
      </c>
      <c r="Q132" s="1255"/>
    </row>
    <row r="133" spans="4:20" ht="18" customHeight="1">
      <c r="D133" s="1259">
        <v>2022</v>
      </c>
      <c r="E133" s="1254">
        <v>3</v>
      </c>
      <c r="F133" s="1254" t="s">
        <v>632</v>
      </c>
      <c r="G133" s="1254" t="s">
        <v>962</v>
      </c>
      <c r="H133" s="1254" t="s">
        <v>963</v>
      </c>
      <c r="I133" s="1254">
        <v>3</v>
      </c>
      <c r="J133" s="1254" t="s">
        <v>473</v>
      </c>
      <c r="K133" s="1254">
        <f>SUMIF('CF.1'!$D:$D,'CFS(연간)'!G133,'CF.1'!$U:$U)</f>
        <v>0</v>
      </c>
      <c r="L133" s="1254">
        <f t="shared" si="12"/>
        <v>0</v>
      </c>
      <c r="M133" s="1260">
        <f t="shared" si="9"/>
        <v>0</v>
      </c>
      <c r="O133" s="1253"/>
      <c r="P133" s="1254">
        <f t="shared" si="7"/>
        <v>0</v>
      </c>
      <c r="Q133" s="1255"/>
    </row>
    <row r="134" spans="4:20" ht="18" customHeight="1">
      <c r="D134" s="1259">
        <v>2022</v>
      </c>
      <c r="E134" s="1254">
        <v>3</v>
      </c>
      <c r="F134" s="1254" t="s">
        <v>632</v>
      </c>
      <c r="G134" s="1254" t="s">
        <v>964</v>
      </c>
      <c r="H134" s="1254" t="s">
        <v>965</v>
      </c>
      <c r="I134" s="1254">
        <v>3</v>
      </c>
      <c r="J134" s="1254" t="s">
        <v>473</v>
      </c>
      <c r="K134" s="1254">
        <f>SUMIF('CF.1'!$D:$D,'CFS(연간)'!G134,'CF.1'!$U:$U)</f>
        <v>784017738</v>
      </c>
      <c r="L134" s="1254">
        <f t="shared" si="12"/>
        <v>784017738</v>
      </c>
      <c r="M134" s="1260">
        <f t="shared" si="9"/>
        <v>0</v>
      </c>
      <c r="O134" s="1253"/>
      <c r="P134" s="1254">
        <f t="shared" si="7"/>
        <v>-784017738</v>
      </c>
      <c r="Q134" s="1255"/>
    </row>
    <row r="135" spans="4:20" ht="18" customHeight="1">
      <c r="D135" s="1259">
        <v>2022</v>
      </c>
      <c r="E135" s="1254">
        <v>3</v>
      </c>
      <c r="F135" s="1254" t="s">
        <v>632</v>
      </c>
      <c r="G135" s="1254" t="s">
        <v>966</v>
      </c>
      <c r="H135" s="1254" t="s">
        <v>967</v>
      </c>
      <c r="I135" s="1254">
        <v>3</v>
      </c>
      <c r="J135" s="1254" t="s">
        <v>473</v>
      </c>
      <c r="K135" s="1254">
        <f>SUMIF('CF.1'!$D:$D,'CFS(연간)'!G135,'CF.1'!$U:$U)</f>
        <v>0</v>
      </c>
      <c r="L135" s="1254">
        <f t="shared" si="12"/>
        <v>0</v>
      </c>
      <c r="M135" s="1260">
        <f t="shared" si="9"/>
        <v>0</v>
      </c>
      <c r="O135" s="1253"/>
      <c r="P135" s="1254">
        <f t="shared" si="7"/>
        <v>0</v>
      </c>
      <c r="Q135" s="1255"/>
    </row>
    <row r="136" spans="4:20" ht="18" customHeight="1">
      <c r="D136" s="1259">
        <v>2022</v>
      </c>
      <c r="E136" s="1254">
        <v>3</v>
      </c>
      <c r="F136" s="1254" t="s">
        <v>632</v>
      </c>
      <c r="G136" s="1254" t="s">
        <v>968</v>
      </c>
      <c r="H136" s="1254" t="s">
        <v>969</v>
      </c>
      <c r="I136" s="1254">
        <v>3</v>
      </c>
      <c r="J136" s="1254" t="s">
        <v>473</v>
      </c>
      <c r="K136" s="1254">
        <f>SUMIF('CF.1'!$D:$D,'CFS(연간)'!G136,'CF.1'!$U:$U)</f>
        <v>0</v>
      </c>
      <c r="L136" s="1254">
        <f t="shared" si="12"/>
        <v>0</v>
      </c>
      <c r="M136" s="1260">
        <f t="shared" si="9"/>
        <v>0</v>
      </c>
      <c r="O136" s="1253"/>
      <c r="P136" s="1254">
        <f t="shared" ref="P136:P198" si="13">O136-L136</f>
        <v>0</v>
      </c>
      <c r="Q136" s="1255"/>
    </row>
    <row r="137" spans="4:20" ht="18" customHeight="1">
      <c r="D137" s="1259">
        <v>2022</v>
      </c>
      <c r="E137" s="1254">
        <v>3</v>
      </c>
      <c r="F137" s="1254" t="s">
        <v>632</v>
      </c>
      <c r="G137" s="1254" t="s">
        <v>970</v>
      </c>
      <c r="H137" s="1254" t="s">
        <v>971</v>
      </c>
      <c r="I137" s="1254">
        <v>3</v>
      </c>
      <c r="J137" s="1254" t="s">
        <v>473</v>
      </c>
      <c r="K137" s="1254">
        <f>SUMIF('CF.1'!$D:$D,'CFS(연간)'!G137,'CF.1'!$U:$U)</f>
        <v>526577000</v>
      </c>
      <c r="L137" s="1254">
        <f t="shared" si="12"/>
        <v>526577000</v>
      </c>
      <c r="M137" s="1260">
        <f t="shared" si="9"/>
        <v>0</v>
      </c>
      <c r="O137" s="1253"/>
      <c r="P137" s="1254">
        <f t="shared" si="13"/>
        <v>-526577000</v>
      </c>
      <c r="Q137" s="1255"/>
    </row>
    <row r="138" spans="4:20" ht="18" customHeight="1">
      <c r="D138" s="1259">
        <v>2022</v>
      </c>
      <c r="E138" s="1254">
        <v>3</v>
      </c>
      <c r="F138" s="1254" t="s">
        <v>632</v>
      </c>
      <c r="G138" s="1254" t="s">
        <v>972</v>
      </c>
      <c r="H138" s="1254" t="s">
        <v>973</v>
      </c>
      <c r="I138" s="1254">
        <v>3</v>
      </c>
      <c r="J138" s="1254" t="s">
        <v>473</v>
      </c>
      <c r="K138" s="1254">
        <f>SUMIF('CF.1'!$D:$D,'CFS(연간)'!G138,'CF.1'!$U:$U)</f>
        <v>0</v>
      </c>
      <c r="L138" s="1254">
        <f t="shared" si="12"/>
        <v>0</v>
      </c>
      <c r="M138" s="1260">
        <f t="shared" si="9"/>
        <v>0</v>
      </c>
      <c r="O138" s="1253"/>
      <c r="P138" s="1254">
        <f t="shared" si="13"/>
        <v>0</v>
      </c>
      <c r="Q138" s="1255"/>
    </row>
    <row r="139" spans="4:20" ht="18" customHeight="1">
      <c r="D139" s="1259">
        <v>2022</v>
      </c>
      <c r="E139" s="1254">
        <v>3</v>
      </c>
      <c r="F139" s="1254" t="s">
        <v>632</v>
      </c>
      <c r="G139" s="1254" t="s">
        <v>974</v>
      </c>
      <c r="H139" s="1254" t="s">
        <v>975</v>
      </c>
      <c r="I139" s="1254">
        <v>3</v>
      </c>
      <c r="J139" s="1254" t="s">
        <v>473</v>
      </c>
      <c r="K139" s="1254">
        <f>SUMIF('CF.1'!$D:$D,'CFS(연간)'!G139,'CF.1'!$U:$U)</f>
        <v>0</v>
      </c>
      <c r="L139" s="1254">
        <f t="shared" si="12"/>
        <v>0</v>
      </c>
      <c r="M139" s="1260">
        <f t="shared" si="9"/>
        <v>0</v>
      </c>
      <c r="O139" s="1253"/>
      <c r="P139" s="1254">
        <f t="shared" si="13"/>
        <v>0</v>
      </c>
      <c r="Q139" s="1255"/>
    </row>
    <row r="140" spans="4:20" ht="18" customHeight="1">
      <c r="D140" s="1259">
        <v>2022</v>
      </c>
      <c r="E140" s="1254">
        <v>3</v>
      </c>
      <c r="F140" s="1254" t="s">
        <v>632</v>
      </c>
      <c r="G140" s="1254" t="s">
        <v>976</v>
      </c>
      <c r="H140" s="1254" t="s">
        <v>977</v>
      </c>
      <c r="I140" s="1254">
        <v>3</v>
      </c>
      <c r="J140" s="1254" t="s">
        <v>473</v>
      </c>
      <c r="K140" s="1254">
        <f>SUMIF('CF.1'!$D:$D,'CFS(연간)'!G140,'CF.1'!$U:$U)</f>
        <v>-866111443</v>
      </c>
      <c r="L140" s="1254">
        <f t="shared" si="12"/>
        <v>-866111443</v>
      </c>
      <c r="M140" s="1260">
        <f t="shared" si="9"/>
        <v>0</v>
      </c>
      <c r="O140" s="1253"/>
      <c r="P140" s="1254">
        <f t="shared" si="13"/>
        <v>866111443</v>
      </c>
      <c r="Q140" s="1255"/>
    </row>
    <row r="141" spans="4:20" ht="18" customHeight="1">
      <c r="D141" s="1259">
        <v>2022</v>
      </c>
      <c r="E141" s="1254">
        <v>3</v>
      </c>
      <c r="F141" s="1254" t="s">
        <v>632</v>
      </c>
      <c r="G141" s="1254" t="s">
        <v>2051</v>
      </c>
      <c r="H141" s="1254" t="s">
        <v>979</v>
      </c>
      <c r="I141" s="1254">
        <v>3</v>
      </c>
      <c r="J141" s="1254" t="s">
        <v>473</v>
      </c>
      <c r="K141" s="1254">
        <f>SUMIF('CF.1'!$D:$D,'CFS(연간)'!G141,'CF.1'!$U:$U)</f>
        <v>0</v>
      </c>
      <c r="L141" s="1254">
        <f t="shared" si="12"/>
        <v>0</v>
      </c>
      <c r="M141" s="1260">
        <v>0</v>
      </c>
      <c r="O141" s="1253"/>
      <c r="P141" s="1254">
        <f t="shared" si="13"/>
        <v>0</v>
      </c>
      <c r="Q141" s="1255"/>
    </row>
    <row r="142" spans="4:20" ht="18" customHeight="1">
      <c r="D142" s="1259">
        <v>2022</v>
      </c>
      <c r="E142" s="1254">
        <v>3</v>
      </c>
      <c r="F142" s="1254" t="s">
        <v>632</v>
      </c>
      <c r="G142" s="1254" t="s">
        <v>982</v>
      </c>
      <c r="H142" s="1254" t="s">
        <v>983</v>
      </c>
      <c r="I142" s="1254">
        <v>3</v>
      </c>
      <c r="J142" s="1254" t="s">
        <v>473</v>
      </c>
      <c r="K142" s="1254">
        <f>SUMIF('CF.1'!$D:$D,'CFS(연간)'!G142,'CF.1'!$U:$U)</f>
        <v>0</v>
      </c>
      <c r="L142" s="1254">
        <f t="shared" si="12"/>
        <v>0</v>
      </c>
      <c r="M142" s="1260">
        <f t="shared" si="9"/>
        <v>0</v>
      </c>
      <c r="O142" s="1253"/>
      <c r="P142" s="1254">
        <f t="shared" si="13"/>
        <v>0</v>
      </c>
      <c r="Q142" s="1255"/>
    </row>
    <row r="143" spans="4:20" ht="18" customHeight="1">
      <c r="D143" s="1264">
        <v>2022</v>
      </c>
      <c r="E143" s="1265">
        <v>3</v>
      </c>
      <c r="F143" s="1265" t="s">
        <v>632</v>
      </c>
      <c r="G143" s="1265" t="s">
        <v>984</v>
      </c>
      <c r="H143" s="1265" t="s">
        <v>1503</v>
      </c>
      <c r="I143" s="1265">
        <v>3</v>
      </c>
      <c r="J143" s="1265" t="s">
        <v>473</v>
      </c>
      <c r="K143" s="1265">
        <f>SUMIF('CF.1'!$D:$D,'CFS(연간)'!G143,'CF.1'!$U:$U)</f>
        <v>0</v>
      </c>
      <c r="L143" s="1265">
        <f t="shared" si="12"/>
        <v>0</v>
      </c>
      <c r="M143" s="1266">
        <f t="shared" si="9"/>
        <v>0</v>
      </c>
      <c r="O143" s="1253"/>
      <c r="P143" s="1254">
        <f t="shared" si="13"/>
        <v>0</v>
      </c>
      <c r="Q143" s="1255"/>
    </row>
    <row r="144" spans="4:20" ht="18" customHeight="1">
      <c r="D144" s="1259">
        <v>2022</v>
      </c>
      <c r="E144" s="1254">
        <v>3</v>
      </c>
      <c r="F144" s="1254" t="s">
        <v>632</v>
      </c>
      <c r="G144" s="1254" t="s">
        <v>1504</v>
      </c>
      <c r="H144" s="1254" t="s">
        <v>1505</v>
      </c>
      <c r="I144" s="1254">
        <v>3</v>
      </c>
      <c r="J144" s="1254" t="s">
        <v>473</v>
      </c>
      <c r="K144" s="1254">
        <f>SUMIF('CF.1'!$D:$D,'CFS(연간)'!G144,'CF.1'!$U:$U)</f>
        <v>0</v>
      </c>
      <c r="L144" s="1254">
        <f t="shared" si="12"/>
        <v>0</v>
      </c>
      <c r="M144" s="1260">
        <f t="shared" si="9"/>
        <v>0</v>
      </c>
      <c r="O144" s="1253"/>
      <c r="P144" s="1254">
        <f t="shared" si="13"/>
        <v>0</v>
      </c>
      <c r="Q144" s="1255"/>
    </row>
    <row r="145" spans="4:20" ht="18" customHeight="1">
      <c r="D145" s="1259">
        <v>2022</v>
      </c>
      <c r="E145" s="1254">
        <v>3</v>
      </c>
      <c r="F145" s="1254" t="s">
        <v>632</v>
      </c>
      <c r="G145" s="1254" t="s">
        <v>1506</v>
      </c>
      <c r="H145" s="1254" t="s">
        <v>1507</v>
      </c>
      <c r="I145" s="1254">
        <v>3</v>
      </c>
      <c r="J145" s="1254" t="s">
        <v>473</v>
      </c>
      <c r="K145" s="1254">
        <f>SUMIF('CF.1'!$D:$D,'CFS(연간)'!G145,'CF.1'!$U:$U)</f>
        <v>0</v>
      </c>
      <c r="L145" s="1254">
        <f t="shared" si="12"/>
        <v>0</v>
      </c>
      <c r="M145" s="1260">
        <f t="shared" si="9"/>
        <v>0</v>
      </c>
      <c r="O145" s="1253"/>
      <c r="P145" s="1254">
        <f t="shared" si="13"/>
        <v>0</v>
      </c>
      <c r="Q145" s="1255"/>
    </row>
    <row r="146" spans="4:20" ht="18" customHeight="1">
      <c r="D146" s="1259">
        <v>2022</v>
      </c>
      <c r="E146" s="1254">
        <v>3</v>
      </c>
      <c r="F146" s="1254" t="s">
        <v>632</v>
      </c>
      <c r="G146" s="1254" t="s">
        <v>1508</v>
      </c>
      <c r="H146" s="1254" t="s">
        <v>1509</v>
      </c>
      <c r="I146" s="1254">
        <v>3</v>
      </c>
      <c r="J146" s="1254" t="s">
        <v>473</v>
      </c>
      <c r="K146" s="1254">
        <f>SUMIF('CF.1'!$D:$D,'CFS(연간)'!G146,'CF.1'!$U:$U)</f>
        <v>0</v>
      </c>
      <c r="L146" s="1254">
        <f t="shared" si="12"/>
        <v>0</v>
      </c>
      <c r="M146" s="1260">
        <f t="shared" si="9"/>
        <v>0</v>
      </c>
      <c r="O146" s="1253"/>
      <c r="P146" s="1254">
        <f t="shared" si="13"/>
        <v>0</v>
      </c>
      <c r="Q146" s="1255"/>
    </row>
    <row r="147" spans="4:20" ht="18" customHeight="1">
      <c r="D147" s="1259">
        <v>2022</v>
      </c>
      <c r="E147" s="1254">
        <v>3</v>
      </c>
      <c r="F147" s="1254" t="s">
        <v>632</v>
      </c>
      <c r="G147" s="1254" t="s">
        <v>992</v>
      </c>
      <c r="H147" s="1254" t="s">
        <v>993</v>
      </c>
      <c r="I147" s="1254">
        <v>3</v>
      </c>
      <c r="J147" s="1254" t="s">
        <v>473</v>
      </c>
      <c r="K147" s="1254">
        <f>SUMIF('CF.1'!$D:$D,'CFS(연간)'!G147,'CF.1'!$U:$U)</f>
        <v>-36452205</v>
      </c>
      <c r="L147" s="1254">
        <f t="shared" si="12"/>
        <v>-36452205</v>
      </c>
      <c r="M147" s="1260">
        <f t="shared" si="9"/>
        <v>0</v>
      </c>
      <c r="O147" s="1253"/>
      <c r="P147" s="1254">
        <f t="shared" si="13"/>
        <v>36452205</v>
      </c>
      <c r="Q147" s="1255"/>
    </row>
    <row r="148" spans="4:20" ht="18" customHeight="1">
      <c r="D148" s="1259">
        <v>2022</v>
      </c>
      <c r="E148" s="1254">
        <v>3</v>
      </c>
      <c r="F148" s="1254" t="s">
        <v>632</v>
      </c>
      <c r="G148" s="1254" t="s">
        <v>998</v>
      </c>
      <c r="H148" s="1254" t="s">
        <v>999</v>
      </c>
      <c r="I148" s="1254">
        <v>3</v>
      </c>
      <c r="J148" s="1254" t="s">
        <v>473</v>
      </c>
      <c r="K148" s="1254">
        <f>SUMIF('CF.1'!$D:$D,'CFS(연간)'!G148,'CF.1'!$U:$U)</f>
        <v>-959730986</v>
      </c>
      <c r="L148" s="1254">
        <f t="shared" si="12"/>
        <v>-959730986</v>
      </c>
      <c r="M148" s="1260"/>
      <c r="O148" s="1253"/>
      <c r="P148" s="1254">
        <f t="shared" si="13"/>
        <v>959730986</v>
      </c>
      <c r="Q148" s="1255"/>
    </row>
    <row r="149" spans="4:20" ht="18" customHeight="1">
      <c r="D149" s="1261">
        <v>2022</v>
      </c>
      <c r="E149" s="1262">
        <v>3</v>
      </c>
      <c r="F149" s="1262" t="s">
        <v>632</v>
      </c>
      <c r="G149" s="1262" t="s">
        <v>1002</v>
      </c>
      <c r="H149" s="1262" t="s">
        <v>1003</v>
      </c>
      <c r="I149" s="1262">
        <v>2</v>
      </c>
      <c r="J149" s="1262" t="s">
        <v>473</v>
      </c>
      <c r="K149" s="1262">
        <f>SUM(K150:K154)</f>
        <v>934575225</v>
      </c>
      <c r="L149" s="1262">
        <f>SUM(L150:L154)</f>
        <v>934575225</v>
      </c>
      <c r="M149" s="1263">
        <f>SUM(M150:M154)</f>
        <v>0</v>
      </c>
      <c r="O149" s="1253"/>
      <c r="P149" s="1254">
        <f t="shared" si="13"/>
        <v>-934575225</v>
      </c>
      <c r="Q149" s="1255"/>
    </row>
    <row r="150" spans="4:20" ht="18" customHeight="1">
      <c r="D150" s="1259">
        <v>2022</v>
      </c>
      <c r="E150" s="1254">
        <v>3</v>
      </c>
      <c r="F150" s="1254" t="s">
        <v>632</v>
      </c>
      <c r="G150" s="1254" t="s">
        <v>1004</v>
      </c>
      <c r="H150" s="1254" t="s">
        <v>1005</v>
      </c>
      <c r="I150" s="1254">
        <v>3</v>
      </c>
      <c r="J150" s="1254" t="s">
        <v>473</v>
      </c>
      <c r="K150" s="1254">
        <f>SUMIF('CF.1'!$D:$D,'CFS(연간)'!G150,'CF.1'!$U:$U)</f>
        <v>0</v>
      </c>
      <c r="L150" s="1254">
        <f>K150</f>
        <v>0</v>
      </c>
      <c r="M150" s="1260">
        <f>L150-K150</f>
        <v>0</v>
      </c>
      <c r="O150" s="1253"/>
      <c r="P150" s="1254">
        <f t="shared" si="13"/>
        <v>0</v>
      </c>
      <c r="Q150" s="1255"/>
    </row>
    <row r="151" spans="4:20" ht="18" customHeight="1">
      <c r="D151" s="1259">
        <v>2022</v>
      </c>
      <c r="E151" s="1254">
        <v>3</v>
      </c>
      <c r="F151" s="1254" t="s">
        <v>632</v>
      </c>
      <c r="G151" s="1254" t="s">
        <v>1006</v>
      </c>
      <c r="H151" s="1254" t="s">
        <v>1007</v>
      </c>
      <c r="I151" s="1254">
        <v>3</v>
      </c>
      <c r="J151" s="1254" t="s">
        <v>473</v>
      </c>
      <c r="K151" s="1254">
        <f>SUMIF('CF.1'!$D:$D,'CFS(연간)'!G151,'CF.1'!$U:$U)</f>
        <v>1485778734</v>
      </c>
      <c r="L151" s="1254">
        <f>K151</f>
        <v>1485778734</v>
      </c>
      <c r="M151" s="1260">
        <f>L151-K151</f>
        <v>0</v>
      </c>
      <c r="O151" s="1253"/>
      <c r="P151" s="1254">
        <f t="shared" si="13"/>
        <v>-1485778734</v>
      </c>
      <c r="Q151" s="1255"/>
    </row>
    <row r="152" spans="4:20" ht="18" customHeight="1">
      <c r="D152" s="1259">
        <v>2022</v>
      </c>
      <c r="E152" s="1254">
        <v>3</v>
      </c>
      <c r="F152" s="1254" t="s">
        <v>632</v>
      </c>
      <c r="G152" s="1254" t="s">
        <v>1008</v>
      </c>
      <c r="H152" s="1254" t="s">
        <v>1009</v>
      </c>
      <c r="I152" s="1254">
        <v>3</v>
      </c>
      <c r="J152" s="1254" t="s">
        <v>473</v>
      </c>
      <c r="K152" s="1254">
        <f>SUMIF('CF.1'!$D:$D,'CFS(연간)'!G152,'CF.1'!$U:$U)</f>
        <v>-169215977</v>
      </c>
      <c r="L152" s="1254">
        <f>K152</f>
        <v>-169215977</v>
      </c>
      <c r="M152" s="1260">
        <f>L152-K152</f>
        <v>0</v>
      </c>
      <c r="O152" s="1253"/>
      <c r="P152" s="1254">
        <f t="shared" si="13"/>
        <v>169215977</v>
      </c>
      <c r="Q152" s="1255"/>
    </row>
    <row r="153" spans="4:20" ht="18" customHeight="1">
      <c r="D153" s="1259">
        <v>2022</v>
      </c>
      <c r="E153" s="1254">
        <v>3</v>
      </c>
      <c r="F153" s="1254" t="s">
        <v>632</v>
      </c>
      <c r="G153" s="1254" t="s">
        <v>1010</v>
      </c>
      <c r="H153" s="1254" t="s">
        <v>1011</v>
      </c>
      <c r="I153" s="1254">
        <v>3</v>
      </c>
      <c r="J153" s="1254" t="s">
        <v>473</v>
      </c>
      <c r="K153" s="1254">
        <f>SUMIF('CF.1'!$D:$D,'CFS(연간)'!G153,'CF.1'!$U:$U)</f>
        <v>-381987532</v>
      </c>
      <c r="L153" s="1254">
        <f>K153</f>
        <v>-381987532</v>
      </c>
      <c r="M153" s="1260">
        <f>L153-K153</f>
        <v>0</v>
      </c>
      <c r="O153" s="1253"/>
      <c r="P153" s="1254">
        <f t="shared" si="13"/>
        <v>381987532</v>
      </c>
      <c r="Q153" s="1255"/>
    </row>
    <row r="154" spans="4:20" ht="18" customHeight="1">
      <c r="D154" s="1259">
        <v>2022</v>
      </c>
      <c r="E154" s="1254">
        <v>3</v>
      </c>
      <c r="F154" s="1254" t="s">
        <v>632</v>
      </c>
      <c r="G154" s="1254" t="s">
        <v>1012</v>
      </c>
      <c r="H154" s="1254" t="s">
        <v>1013</v>
      </c>
      <c r="I154" s="1254">
        <v>3</v>
      </c>
      <c r="J154" s="1254" t="s">
        <v>473</v>
      </c>
      <c r="K154" s="1254">
        <f>SUMIF('CF.1'!$D:$D,'CFS(연간)'!G154,'CF.1'!$U:$U)</f>
        <v>0</v>
      </c>
      <c r="L154" s="1254">
        <f>K154</f>
        <v>0</v>
      </c>
      <c r="M154" s="1260">
        <f>L154-K154</f>
        <v>0</v>
      </c>
      <c r="O154" s="1253"/>
      <c r="P154" s="1254">
        <f t="shared" si="13"/>
        <v>0</v>
      </c>
      <c r="Q154" s="1255"/>
    </row>
    <row r="155" spans="4:20" ht="18" customHeight="1">
      <c r="D155" s="1250">
        <v>2022</v>
      </c>
      <c r="E155" s="1251">
        <v>3</v>
      </c>
      <c r="F155" s="1251" t="s">
        <v>632</v>
      </c>
      <c r="G155" s="1251" t="s">
        <v>1014</v>
      </c>
      <c r="H155" s="1251" t="s">
        <v>1015</v>
      </c>
      <c r="I155" s="1251">
        <v>1</v>
      </c>
      <c r="J155" s="1251" t="s">
        <v>473</v>
      </c>
      <c r="K155" s="1251">
        <f>SUM(K156,K207)</f>
        <v>-2319473700</v>
      </c>
      <c r="L155" s="1251">
        <f>SUM(L156,L207)</f>
        <v>-2616779700</v>
      </c>
      <c r="M155" s="1252">
        <f>SUM(M156,M207)</f>
        <v>-297306000</v>
      </c>
      <c r="O155" s="1253"/>
      <c r="P155" s="1254">
        <f t="shared" si="13"/>
        <v>2616779700</v>
      </c>
      <c r="Q155" s="1255"/>
    </row>
    <row r="156" spans="4:20" ht="18" customHeight="1">
      <c r="D156" s="1261">
        <v>2022</v>
      </c>
      <c r="E156" s="1262">
        <v>3</v>
      </c>
      <c r="F156" s="1262" t="s">
        <v>632</v>
      </c>
      <c r="G156" s="1262" t="s">
        <v>1016</v>
      </c>
      <c r="H156" s="1262" t="s">
        <v>1017</v>
      </c>
      <c r="I156" s="1262">
        <v>2</v>
      </c>
      <c r="J156" s="1262" t="s">
        <v>473</v>
      </c>
      <c r="K156" s="1262">
        <f>SUM(K157:K206)</f>
        <v>24505922363</v>
      </c>
      <c r="L156" s="1262">
        <f>SUM(L157:L206)</f>
        <v>24505922363</v>
      </c>
      <c r="M156" s="1263">
        <f>SUM(M157:M206)</f>
        <v>0</v>
      </c>
      <c r="O156" s="1253"/>
      <c r="P156" s="1254">
        <f t="shared" si="13"/>
        <v>-24505922363</v>
      </c>
      <c r="Q156" s="1255"/>
    </row>
    <row r="157" spans="4:20" ht="18" customHeight="1">
      <c r="D157" s="1259">
        <v>2022</v>
      </c>
      <c r="E157" s="1254">
        <v>3</v>
      </c>
      <c r="F157" s="1254" t="s">
        <v>632</v>
      </c>
      <c r="G157" s="1254" t="s">
        <v>1018</v>
      </c>
      <c r="H157" s="1254" t="s">
        <v>1019</v>
      </c>
      <c r="I157" s="1254">
        <v>3</v>
      </c>
      <c r="J157" s="1254" t="s">
        <v>473</v>
      </c>
      <c r="K157" s="1254">
        <f>SUMIF('CF.1'!$D:$D,'CFS(연간)'!G157,'CF.1'!$U:$U)</f>
        <v>0</v>
      </c>
      <c r="L157" s="1254">
        <f t="shared" ref="L157:L206" si="14">K157</f>
        <v>0</v>
      </c>
      <c r="M157" s="1260">
        <f t="shared" ref="M157:M206" si="15">L157-K157</f>
        <v>0</v>
      </c>
      <c r="O157" s="1253"/>
      <c r="P157" s="1254">
        <f t="shared" si="13"/>
        <v>0</v>
      </c>
      <c r="Q157" s="1255"/>
    </row>
    <row r="158" spans="4:20" ht="18" customHeight="1">
      <c r="D158" s="1259">
        <v>2022</v>
      </c>
      <c r="E158" s="1254">
        <v>3</v>
      </c>
      <c r="F158" s="1254" t="s">
        <v>632</v>
      </c>
      <c r="G158" s="1254" t="s">
        <v>1020</v>
      </c>
      <c r="H158" s="1254" t="s">
        <v>1021</v>
      </c>
      <c r="I158" s="1254">
        <v>3</v>
      </c>
      <c r="J158" s="1254" t="s">
        <v>473</v>
      </c>
      <c r="K158" s="1254">
        <f>SUMIF('CF.1'!$D:$D,'CFS(연간)'!G158,'CF.1'!$U:$U)</f>
        <v>297306000</v>
      </c>
      <c r="L158" s="1254">
        <f t="shared" si="14"/>
        <v>297306000</v>
      </c>
      <c r="M158" s="1260">
        <f t="shared" si="15"/>
        <v>0</v>
      </c>
      <c r="O158" s="1253"/>
      <c r="P158" s="1254">
        <f t="shared" si="13"/>
        <v>-297306000</v>
      </c>
      <c r="Q158" s="1255"/>
    </row>
    <row r="159" spans="4:20" ht="18" customHeight="1">
      <c r="D159" s="1259">
        <v>2022</v>
      </c>
      <c r="E159" s="1254">
        <v>3</v>
      </c>
      <c r="F159" s="1254" t="s">
        <v>632</v>
      </c>
      <c r="G159" s="1254" t="s">
        <v>1022</v>
      </c>
      <c r="H159" s="1254" t="s">
        <v>1023</v>
      </c>
      <c r="I159" s="1254">
        <v>3</v>
      </c>
      <c r="J159" s="1254" t="s">
        <v>473</v>
      </c>
      <c r="K159" s="1254">
        <f>SUMIF('CF.1'!$D:$D,'CFS(연간)'!G159,'CF.1'!$U:$U)</f>
        <v>0</v>
      </c>
      <c r="L159" s="1254">
        <f t="shared" si="14"/>
        <v>0</v>
      </c>
      <c r="M159" s="1260">
        <f t="shared" si="15"/>
        <v>0</v>
      </c>
      <c r="O159" s="1253"/>
      <c r="P159" s="1254">
        <f t="shared" si="13"/>
        <v>0</v>
      </c>
      <c r="Q159" s="1255"/>
    </row>
    <row r="160" spans="4:20" s="575" customFormat="1" ht="18" customHeight="1">
      <c r="D160" s="2023">
        <v>2022</v>
      </c>
      <c r="E160" s="1549">
        <v>3</v>
      </c>
      <c r="F160" s="1549" t="s">
        <v>632</v>
      </c>
      <c r="G160" s="1549" t="s">
        <v>2566</v>
      </c>
      <c r="H160" s="1549" t="s">
        <v>2565</v>
      </c>
      <c r="I160" s="1549">
        <v>3</v>
      </c>
      <c r="J160" s="1549" t="s">
        <v>473</v>
      </c>
      <c r="K160" s="1549">
        <f>SUMIF('CF.1'!$D:$D,'CFS(연간)'!G160,'CF.1'!$U:$U)</f>
        <v>23944980000</v>
      </c>
      <c r="L160" s="1549">
        <f t="shared" si="14"/>
        <v>23944980000</v>
      </c>
      <c r="M160" s="2024">
        <f t="shared" si="15"/>
        <v>0</v>
      </c>
      <c r="O160" s="1275"/>
      <c r="P160" s="1265">
        <f t="shared" si="13"/>
        <v>-23944980000</v>
      </c>
      <c r="Q160" s="1276"/>
      <c r="S160" s="498"/>
      <c r="T160" s="498"/>
    </row>
    <row r="161" spans="4:20" ht="18" customHeight="1">
      <c r="D161" s="1259">
        <v>2022</v>
      </c>
      <c r="E161" s="1254">
        <v>3</v>
      </c>
      <c r="F161" s="1254" t="s">
        <v>632</v>
      </c>
      <c r="G161" s="1254" t="s">
        <v>1026</v>
      </c>
      <c r="H161" s="1254" t="s">
        <v>1027</v>
      </c>
      <c r="I161" s="1254">
        <v>3</v>
      </c>
      <c r="J161" s="1254" t="s">
        <v>473</v>
      </c>
      <c r="K161" s="1254">
        <f>SUMIF('CF.1'!$D:$D,'CFS(연간)'!G161,'CF.1'!$U:$U)</f>
        <v>0</v>
      </c>
      <c r="L161" s="1254">
        <f t="shared" si="14"/>
        <v>0</v>
      </c>
      <c r="M161" s="1260">
        <f t="shared" si="15"/>
        <v>0</v>
      </c>
      <c r="O161" s="1253"/>
      <c r="P161" s="1254">
        <f t="shared" si="13"/>
        <v>0</v>
      </c>
      <c r="Q161" s="1255"/>
    </row>
    <row r="162" spans="4:20" ht="18" customHeight="1">
      <c r="D162" s="1259">
        <v>2022</v>
      </c>
      <c r="E162" s="1254">
        <v>3</v>
      </c>
      <c r="F162" s="1254" t="s">
        <v>632</v>
      </c>
      <c r="G162" s="1254" t="s">
        <v>1028</v>
      </c>
      <c r="H162" s="1254" t="s">
        <v>1029</v>
      </c>
      <c r="I162" s="1254">
        <v>3</v>
      </c>
      <c r="J162" s="1254" t="s">
        <v>473</v>
      </c>
      <c r="K162" s="1254">
        <f>SUMIF('CF.1'!$D:$D,'CFS(연간)'!G162,'CF.1'!$U:$U)</f>
        <v>0</v>
      </c>
      <c r="L162" s="1254">
        <f t="shared" si="14"/>
        <v>0</v>
      </c>
      <c r="M162" s="1260">
        <f t="shared" si="15"/>
        <v>0</v>
      </c>
      <c r="O162" s="1253"/>
      <c r="P162" s="1254">
        <f t="shared" si="13"/>
        <v>0</v>
      </c>
      <c r="Q162" s="1255"/>
    </row>
    <row r="163" spans="4:20" ht="18" customHeight="1">
      <c r="D163" s="1259">
        <v>2022</v>
      </c>
      <c r="E163" s="1254">
        <v>3</v>
      </c>
      <c r="F163" s="1254" t="s">
        <v>632</v>
      </c>
      <c r="G163" s="1254" t="s">
        <v>1030</v>
      </c>
      <c r="H163" s="1254" t="s">
        <v>1031</v>
      </c>
      <c r="I163" s="1254">
        <v>3</v>
      </c>
      <c r="J163" s="1254" t="s">
        <v>473</v>
      </c>
      <c r="K163" s="1254">
        <f>SUMIF('CF.1'!$D:$D,'CFS(연간)'!G163,'CF.1'!$U:$U)</f>
        <v>0</v>
      </c>
      <c r="L163" s="1254">
        <f t="shared" si="14"/>
        <v>0</v>
      </c>
      <c r="M163" s="1260">
        <f t="shared" si="15"/>
        <v>0</v>
      </c>
      <c r="O163" s="1253"/>
      <c r="P163" s="1254">
        <f t="shared" si="13"/>
        <v>0</v>
      </c>
      <c r="Q163" s="1255"/>
      <c r="S163" s="575"/>
      <c r="T163" s="575"/>
    </row>
    <row r="164" spans="4:20" ht="18" customHeight="1">
      <c r="D164" s="1259">
        <v>2022</v>
      </c>
      <c r="E164" s="1254">
        <v>3</v>
      </c>
      <c r="F164" s="1254" t="s">
        <v>632</v>
      </c>
      <c r="G164" s="1254" t="s">
        <v>1032</v>
      </c>
      <c r="H164" s="1254" t="s">
        <v>1033</v>
      </c>
      <c r="I164" s="1254">
        <v>3</v>
      </c>
      <c r="J164" s="1254" t="s">
        <v>473</v>
      </c>
      <c r="K164" s="1254">
        <f>SUMIF('CF.1'!$D:$D,'CFS(연간)'!G164,'CF.1'!$U:$U)</f>
        <v>200000000</v>
      </c>
      <c r="L164" s="1254">
        <f t="shared" si="14"/>
        <v>200000000</v>
      </c>
      <c r="M164" s="1260">
        <f t="shared" si="15"/>
        <v>0</v>
      </c>
      <c r="O164" s="1253"/>
      <c r="P164" s="1254">
        <f t="shared" si="13"/>
        <v>-200000000</v>
      </c>
      <c r="Q164" s="1255"/>
    </row>
    <row r="165" spans="4:20" ht="18" customHeight="1">
      <c r="D165" s="1259">
        <v>2022</v>
      </c>
      <c r="E165" s="1254">
        <v>3</v>
      </c>
      <c r="F165" s="1254" t="s">
        <v>632</v>
      </c>
      <c r="G165" s="1254" t="s">
        <v>1034</v>
      </c>
      <c r="H165" s="1254" t="s">
        <v>1035</v>
      </c>
      <c r="I165" s="1254">
        <v>3</v>
      </c>
      <c r="J165" s="1254" t="s">
        <v>473</v>
      </c>
      <c r="K165" s="1254">
        <f>SUMIF('CF.1'!$D:$D,'CFS(연간)'!G165,'CF.1'!$U:$U)</f>
        <v>0</v>
      </c>
      <c r="L165" s="1254">
        <f t="shared" si="14"/>
        <v>0</v>
      </c>
      <c r="M165" s="1260">
        <f t="shared" si="15"/>
        <v>0</v>
      </c>
      <c r="O165" s="1253"/>
      <c r="P165" s="1254">
        <f t="shared" si="13"/>
        <v>0</v>
      </c>
      <c r="Q165" s="1255"/>
    </row>
    <row r="166" spans="4:20" ht="18" customHeight="1">
      <c r="D166" s="1259">
        <v>2022</v>
      </c>
      <c r="E166" s="1254">
        <v>3</v>
      </c>
      <c r="F166" s="1254" t="s">
        <v>632</v>
      </c>
      <c r="G166" s="1254" t="s">
        <v>1036</v>
      </c>
      <c r="H166" s="1254" t="s">
        <v>1037</v>
      </c>
      <c r="I166" s="1254">
        <v>3</v>
      </c>
      <c r="J166" s="1254" t="s">
        <v>473</v>
      </c>
      <c r="K166" s="1254">
        <f>SUMIF('CF.1'!$D:$D,'CFS(연간)'!G166,'CF.1'!$U:$U)</f>
        <v>0</v>
      </c>
      <c r="L166" s="1254">
        <f t="shared" si="14"/>
        <v>0</v>
      </c>
      <c r="M166" s="1260">
        <f t="shared" si="15"/>
        <v>0</v>
      </c>
      <c r="O166" s="1253"/>
      <c r="P166" s="1254">
        <f t="shared" si="13"/>
        <v>0</v>
      </c>
      <c r="Q166" s="1255"/>
    </row>
    <row r="167" spans="4:20" ht="18" customHeight="1">
      <c r="D167" s="1259">
        <v>2022</v>
      </c>
      <c r="E167" s="1254">
        <v>3</v>
      </c>
      <c r="F167" s="1254" t="s">
        <v>632</v>
      </c>
      <c r="G167" s="1254" t="s">
        <v>1038</v>
      </c>
      <c r="H167" s="1254" t="s">
        <v>1039</v>
      </c>
      <c r="I167" s="1254">
        <v>3</v>
      </c>
      <c r="J167" s="1254" t="s">
        <v>473</v>
      </c>
      <c r="K167" s="1254">
        <f>SUMIF('CF.1'!$D:$D,'CFS(연간)'!G167,'CF.1'!$U:$U)</f>
        <v>0</v>
      </c>
      <c r="L167" s="1254">
        <f t="shared" si="14"/>
        <v>0</v>
      </c>
      <c r="M167" s="1260">
        <f t="shared" si="15"/>
        <v>0</v>
      </c>
      <c r="O167" s="1253"/>
      <c r="P167" s="1254">
        <f t="shared" si="13"/>
        <v>0</v>
      </c>
      <c r="Q167" s="1255"/>
    </row>
    <row r="168" spans="4:20" ht="18" customHeight="1">
      <c r="D168" s="1259">
        <v>2022</v>
      </c>
      <c r="E168" s="1254">
        <v>3</v>
      </c>
      <c r="F168" s="1254" t="s">
        <v>632</v>
      </c>
      <c r="G168" s="1254" t="s">
        <v>1510</v>
      </c>
      <c r="H168" s="1254" t="s">
        <v>1041</v>
      </c>
      <c r="I168" s="1254">
        <v>3</v>
      </c>
      <c r="J168" s="1254" t="s">
        <v>473</v>
      </c>
      <c r="K168" s="1254">
        <f>SUMIF('CF.1'!$D:$D,'CFS(연간)'!G168,'CF.1'!$U:$U)</f>
        <v>0</v>
      </c>
      <c r="L168" s="1254">
        <f t="shared" si="14"/>
        <v>0</v>
      </c>
      <c r="M168" s="1260">
        <f t="shared" si="15"/>
        <v>0</v>
      </c>
      <c r="O168" s="1253"/>
      <c r="P168" s="1254">
        <f t="shared" si="13"/>
        <v>0</v>
      </c>
      <c r="Q168" s="1255"/>
    </row>
    <row r="169" spans="4:20" ht="18" customHeight="1">
      <c r="D169" s="1259">
        <v>2022</v>
      </c>
      <c r="E169" s="1254">
        <v>3</v>
      </c>
      <c r="F169" s="1254" t="s">
        <v>632</v>
      </c>
      <c r="G169" s="1254" t="s">
        <v>1042</v>
      </c>
      <c r="H169" s="1254" t="s">
        <v>1043</v>
      </c>
      <c r="I169" s="1254">
        <v>3</v>
      </c>
      <c r="J169" s="1254" t="s">
        <v>473</v>
      </c>
      <c r="K169" s="1254">
        <f>SUMIF('CF.1'!$D:$D,'CFS(연간)'!G169,'CF.1'!$U:$U)</f>
        <v>0</v>
      </c>
      <c r="L169" s="1254">
        <f t="shared" si="14"/>
        <v>0</v>
      </c>
      <c r="M169" s="1260">
        <f t="shared" si="15"/>
        <v>0</v>
      </c>
      <c r="O169" s="1253"/>
      <c r="P169" s="1254">
        <f t="shared" si="13"/>
        <v>0</v>
      </c>
      <c r="Q169" s="1255"/>
    </row>
    <row r="170" spans="4:20" ht="18" customHeight="1">
      <c r="D170" s="1259">
        <v>2022</v>
      </c>
      <c r="E170" s="1254">
        <v>3</v>
      </c>
      <c r="F170" s="1254" t="s">
        <v>632</v>
      </c>
      <c r="G170" s="1254" t="s">
        <v>1044</v>
      </c>
      <c r="H170" s="1254" t="s">
        <v>1513</v>
      </c>
      <c r="I170" s="1254">
        <v>3</v>
      </c>
      <c r="J170" s="1254" t="s">
        <v>473</v>
      </c>
      <c r="K170" s="1254">
        <f>SUMIF('CF.1'!$D:$D,'CFS(연간)'!G170,'CF.1'!$U:$U)</f>
        <v>0</v>
      </c>
      <c r="L170" s="1254">
        <f t="shared" si="14"/>
        <v>0</v>
      </c>
      <c r="M170" s="1260">
        <f t="shared" si="15"/>
        <v>0</v>
      </c>
      <c r="O170" s="1253"/>
      <c r="P170" s="1254">
        <f t="shared" si="13"/>
        <v>0</v>
      </c>
      <c r="Q170" s="1255"/>
    </row>
    <row r="171" spans="4:20" ht="18" customHeight="1">
      <c r="D171" s="1259">
        <v>2022</v>
      </c>
      <c r="E171" s="1254">
        <v>3</v>
      </c>
      <c r="F171" s="1254" t="s">
        <v>632</v>
      </c>
      <c r="G171" s="1254" t="s">
        <v>1046</v>
      </c>
      <c r="H171" s="1254" t="s">
        <v>1047</v>
      </c>
      <c r="I171" s="1254">
        <v>3</v>
      </c>
      <c r="J171" s="1254" t="s">
        <v>473</v>
      </c>
      <c r="K171" s="1254">
        <f>SUMIF('CF.1'!$D:$D,'CFS(연간)'!G171,'CF.1'!$U:$U)</f>
        <v>0</v>
      </c>
      <c r="L171" s="1254">
        <f t="shared" si="14"/>
        <v>0</v>
      </c>
      <c r="M171" s="1260">
        <f t="shared" si="15"/>
        <v>0</v>
      </c>
      <c r="O171" s="1253"/>
      <c r="P171" s="1254">
        <f t="shared" si="13"/>
        <v>0</v>
      </c>
      <c r="Q171" s="1255"/>
    </row>
    <row r="172" spans="4:20" ht="18" customHeight="1">
      <c r="D172" s="1259">
        <v>2022</v>
      </c>
      <c r="E172" s="1254">
        <v>3</v>
      </c>
      <c r="F172" s="1254" t="s">
        <v>632</v>
      </c>
      <c r="G172" s="1254" t="s">
        <v>1048</v>
      </c>
      <c r="H172" s="1254" t="s">
        <v>1049</v>
      </c>
      <c r="I172" s="1254">
        <v>3</v>
      </c>
      <c r="J172" s="1254" t="s">
        <v>473</v>
      </c>
      <c r="K172" s="1254">
        <f>SUMIF('CF.1'!$D:$D,'CFS(연간)'!G172,'CF.1'!$U:$U)</f>
        <v>0</v>
      </c>
      <c r="L172" s="1254">
        <f t="shared" si="14"/>
        <v>0</v>
      </c>
      <c r="M172" s="1260">
        <f t="shared" si="15"/>
        <v>0</v>
      </c>
      <c r="O172" s="1253"/>
      <c r="P172" s="1254">
        <f t="shared" si="13"/>
        <v>0</v>
      </c>
      <c r="Q172" s="1255"/>
    </row>
    <row r="173" spans="4:20" ht="18" customHeight="1">
      <c r="D173" s="1259">
        <v>2022</v>
      </c>
      <c r="E173" s="1254">
        <v>3</v>
      </c>
      <c r="F173" s="1254" t="s">
        <v>632</v>
      </c>
      <c r="G173" s="1254" t="s">
        <v>1050</v>
      </c>
      <c r="H173" s="1254" t="s">
        <v>1051</v>
      </c>
      <c r="I173" s="1254">
        <v>3</v>
      </c>
      <c r="J173" s="1254" t="s">
        <v>473</v>
      </c>
      <c r="K173" s="1254">
        <f>SUMIF('CF.1'!$D:$D,'CFS(연간)'!G173,'CF.1'!$U:$U)</f>
        <v>0</v>
      </c>
      <c r="L173" s="1254">
        <f t="shared" si="14"/>
        <v>0</v>
      </c>
      <c r="M173" s="1260">
        <f t="shared" si="15"/>
        <v>0</v>
      </c>
      <c r="O173" s="1253"/>
      <c r="P173" s="1254">
        <f t="shared" si="13"/>
        <v>0</v>
      </c>
      <c r="Q173" s="1255"/>
    </row>
    <row r="174" spans="4:20" ht="18" customHeight="1">
      <c r="D174" s="1259">
        <v>2022</v>
      </c>
      <c r="E174" s="1254">
        <v>3</v>
      </c>
      <c r="F174" s="1254" t="s">
        <v>632</v>
      </c>
      <c r="G174" s="1254" t="s">
        <v>1052</v>
      </c>
      <c r="H174" s="1254" t="s">
        <v>1053</v>
      </c>
      <c r="I174" s="1254">
        <v>3</v>
      </c>
      <c r="J174" s="1254" t="s">
        <v>473</v>
      </c>
      <c r="K174" s="1254">
        <f>SUMIF('CF.1'!$D:$D,'CFS(연간)'!G174,'CF.1'!$U:$U)</f>
        <v>0</v>
      </c>
      <c r="L174" s="1254">
        <f t="shared" si="14"/>
        <v>0</v>
      </c>
      <c r="M174" s="1260">
        <f t="shared" si="15"/>
        <v>0</v>
      </c>
      <c r="O174" s="1253"/>
      <c r="P174" s="1254">
        <f t="shared" si="13"/>
        <v>0</v>
      </c>
      <c r="Q174" s="1255"/>
    </row>
    <row r="175" spans="4:20" ht="18" customHeight="1">
      <c r="D175" s="1259">
        <v>2022</v>
      </c>
      <c r="E175" s="1254">
        <v>3</v>
      </c>
      <c r="F175" s="1254" t="s">
        <v>632</v>
      </c>
      <c r="G175" s="1254" t="s">
        <v>1054</v>
      </c>
      <c r="H175" s="1254" t="s">
        <v>1055</v>
      </c>
      <c r="I175" s="1254">
        <v>3</v>
      </c>
      <c r="J175" s="1254" t="s">
        <v>473</v>
      </c>
      <c r="K175" s="1254">
        <f>SUMIF('CF.1'!$D:$D,'CFS(연간)'!G175,'CF.1'!$U:$U)</f>
        <v>0</v>
      </c>
      <c r="L175" s="1254">
        <f t="shared" si="14"/>
        <v>0</v>
      </c>
      <c r="M175" s="1260">
        <f t="shared" si="15"/>
        <v>0</v>
      </c>
      <c r="O175" s="1253"/>
      <c r="P175" s="1254">
        <f t="shared" si="13"/>
        <v>0</v>
      </c>
      <c r="Q175" s="1255"/>
    </row>
    <row r="176" spans="4:20" ht="18" customHeight="1">
      <c r="D176" s="1259">
        <v>2022</v>
      </c>
      <c r="E176" s="1254">
        <v>3</v>
      </c>
      <c r="F176" s="1254" t="s">
        <v>632</v>
      </c>
      <c r="G176" s="1254" t="s">
        <v>1056</v>
      </c>
      <c r="H176" s="1254" t="s">
        <v>1057</v>
      </c>
      <c r="I176" s="1254">
        <v>3</v>
      </c>
      <c r="J176" s="1254" t="s">
        <v>473</v>
      </c>
      <c r="K176" s="1254">
        <f>SUMIF('CF.1'!$D:$D,'CFS(연간)'!G176,'CF.1'!$U:$U)</f>
        <v>0</v>
      </c>
      <c r="L176" s="1254">
        <f t="shared" si="14"/>
        <v>0</v>
      </c>
      <c r="M176" s="1260">
        <f t="shared" si="15"/>
        <v>0</v>
      </c>
      <c r="O176" s="1253"/>
      <c r="P176" s="1254">
        <f t="shared" si="13"/>
        <v>0</v>
      </c>
      <c r="Q176" s="1255"/>
    </row>
    <row r="177" spans="4:17" ht="18" customHeight="1">
      <c r="D177" s="1259">
        <v>2022</v>
      </c>
      <c r="E177" s="1254">
        <v>3</v>
      </c>
      <c r="F177" s="1254" t="s">
        <v>632</v>
      </c>
      <c r="G177" s="1254" t="s">
        <v>1058</v>
      </c>
      <c r="H177" s="1254" t="s">
        <v>1059</v>
      </c>
      <c r="I177" s="1254">
        <v>3</v>
      </c>
      <c r="J177" s="1254" t="s">
        <v>473</v>
      </c>
      <c r="K177" s="1254">
        <f>SUMIF('CF.1'!$D:$D,'CFS(연간)'!G177,'CF.1'!$U:$U)</f>
        <v>0</v>
      </c>
      <c r="L177" s="1254">
        <f t="shared" si="14"/>
        <v>0</v>
      </c>
      <c r="M177" s="1260">
        <f t="shared" si="15"/>
        <v>0</v>
      </c>
      <c r="O177" s="1253"/>
      <c r="P177" s="1254">
        <f t="shared" si="13"/>
        <v>0</v>
      </c>
      <c r="Q177" s="1255"/>
    </row>
    <row r="178" spans="4:17" ht="18" customHeight="1">
      <c r="D178" s="1259">
        <v>2022</v>
      </c>
      <c r="E178" s="1254">
        <v>3</v>
      </c>
      <c r="F178" s="1254" t="s">
        <v>632</v>
      </c>
      <c r="G178" s="1254" t="s">
        <v>1060</v>
      </c>
      <c r="H178" s="1254" t="s">
        <v>1061</v>
      </c>
      <c r="I178" s="1254">
        <v>3</v>
      </c>
      <c r="J178" s="1254" t="s">
        <v>473</v>
      </c>
      <c r="K178" s="1254">
        <f>SUMIF('CF.1'!$D:$D,'CFS(연간)'!G178,'CF.1'!$U:$U)</f>
        <v>0</v>
      </c>
      <c r="L178" s="1254">
        <f t="shared" si="14"/>
        <v>0</v>
      </c>
      <c r="M178" s="1260">
        <f t="shared" si="15"/>
        <v>0</v>
      </c>
      <c r="O178" s="1253"/>
      <c r="P178" s="1254">
        <f t="shared" si="13"/>
        <v>0</v>
      </c>
      <c r="Q178" s="1255"/>
    </row>
    <row r="179" spans="4:17" ht="18" customHeight="1">
      <c r="D179" s="1259">
        <v>2022</v>
      </c>
      <c r="E179" s="1254">
        <v>3</v>
      </c>
      <c r="F179" s="1254" t="s">
        <v>632</v>
      </c>
      <c r="G179" s="1254" t="s">
        <v>1062</v>
      </c>
      <c r="H179" s="1254" t="s">
        <v>1063</v>
      </c>
      <c r="I179" s="1254">
        <v>3</v>
      </c>
      <c r="J179" s="1254" t="s">
        <v>473</v>
      </c>
      <c r="K179" s="1254">
        <f>SUMIF('CF.1'!$D:$D,'CFS(연간)'!G179,'CF.1'!$U:$U)</f>
        <v>0</v>
      </c>
      <c r="L179" s="1254">
        <f t="shared" si="14"/>
        <v>0</v>
      </c>
      <c r="M179" s="1260">
        <f t="shared" si="15"/>
        <v>0</v>
      </c>
      <c r="O179" s="1253"/>
      <c r="P179" s="1254">
        <f t="shared" si="13"/>
        <v>0</v>
      </c>
      <c r="Q179" s="1255"/>
    </row>
    <row r="180" spans="4:17" ht="18" customHeight="1">
      <c r="D180" s="1259">
        <v>2022</v>
      </c>
      <c r="E180" s="1254">
        <v>3</v>
      </c>
      <c r="F180" s="1254" t="s">
        <v>632</v>
      </c>
      <c r="G180" s="1254" t="s">
        <v>1064</v>
      </c>
      <c r="H180" s="1254" t="s">
        <v>1065</v>
      </c>
      <c r="I180" s="1254">
        <v>3</v>
      </c>
      <c r="J180" s="1254" t="s">
        <v>473</v>
      </c>
      <c r="K180" s="1254">
        <f>SUMIF('CF.1'!$D:$D,'CFS(연간)'!G180,'CF.1'!$U:$U)</f>
        <v>0</v>
      </c>
      <c r="L180" s="1254">
        <f t="shared" si="14"/>
        <v>0</v>
      </c>
      <c r="M180" s="1260">
        <f t="shared" si="15"/>
        <v>0</v>
      </c>
      <c r="O180" s="1253"/>
      <c r="P180" s="1254">
        <f t="shared" si="13"/>
        <v>0</v>
      </c>
      <c r="Q180" s="1255"/>
    </row>
    <row r="181" spans="4:17" ht="18" customHeight="1">
      <c r="D181" s="1259">
        <v>2022</v>
      </c>
      <c r="E181" s="1254">
        <v>3</v>
      </c>
      <c r="F181" s="1254" t="s">
        <v>632</v>
      </c>
      <c r="G181" s="1254" t="s">
        <v>1066</v>
      </c>
      <c r="H181" s="1254" t="s">
        <v>1067</v>
      </c>
      <c r="I181" s="1254">
        <v>3</v>
      </c>
      <c r="J181" s="1254" t="s">
        <v>473</v>
      </c>
      <c r="K181" s="1254">
        <f>SUMIF('CF.1'!$D:$D,'CFS(연간)'!G181,'CF.1'!$U:$U)</f>
        <v>0</v>
      </c>
      <c r="L181" s="1254">
        <f t="shared" si="14"/>
        <v>0</v>
      </c>
      <c r="M181" s="1260">
        <f t="shared" si="15"/>
        <v>0</v>
      </c>
      <c r="O181" s="1253"/>
      <c r="P181" s="1254">
        <f t="shared" si="13"/>
        <v>0</v>
      </c>
      <c r="Q181" s="1255"/>
    </row>
    <row r="182" spans="4:17" ht="18" customHeight="1">
      <c r="D182" s="1259">
        <v>2022</v>
      </c>
      <c r="E182" s="1254">
        <v>3</v>
      </c>
      <c r="F182" s="1254" t="s">
        <v>632</v>
      </c>
      <c r="G182" s="1254" t="s">
        <v>1068</v>
      </c>
      <c r="H182" s="1254" t="s">
        <v>1069</v>
      </c>
      <c r="I182" s="1254">
        <v>3</v>
      </c>
      <c r="J182" s="1254" t="s">
        <v>473</v>
      </c>
      <c r="K182" s="1254">
        <f>SUMIF('CF.1'!$D:$D,'CFS(연간)'!G182,'CF.1'!$U:$U)</f>
        <v>0</v>
      </c>
      <c r="L182" s="1254">
        <f t="shared" si="14"/>
        <v>0</v>
      </c>
      <c r="M182" s="1260">
        <f t="shared" si="15"/>
        <v>0</v>
      </c>
      <c r="O182" s="1253"/>
      <c r="P182" s="1254">
        <f t="shared" si="13"/>
        <v>0</v>
      </c>
      <c r="Q182" s="1255"/>
    </row>
    <row r="183" spans="4:17" ht="18" customHeight="1">
      <c r="D183" s="1259">
        <v>2022</v>
      </c>
      <c r="E183" s="1254">
        <v>3</v>
      </c>
      <c r="F183" s="1254" t="s">
        <v>632</v>
      </c>
      <c r="G183" s="1254" t="s">
        <v>1070</v>
      </c>
      <c r="H183" s="1254" t="s">
        <v>1071</v>
      </c>
      <c r="I183" s="1254">
        <v>3</v>
      </c>
      <c r="J183" s="1254" t="s">
        <v>473</v>
      </c>
      <c r="K183" s="1254">
        <f>SUMIF('CF.1'!$D:$D,'CFS(연간)'!G183,'CF.1'!$U:$U)</f>
        <v>0</v>
      </c>
      <c r="L183" s="1254">
        <f t="shared" si="14"/>
        <v>0</v>
      </c>
      <c r="M183" s="1260">
        <f t="shared" si="15"/>
        <v>0</v>
      </c>
      <c r="O183" s="1253"/>
      <c r="P183" s="1254">
        <f t="shared" si="13"/>
        <v>0</v>
      </c>
      <c r="Q183" s="1255"/>
    </row>
    <row r="184" spans="4:17" ht="18" customHeight="1">
      <c r="D184" s="1259">
        <v>2022</v>
      </c>
      <c r="E184" s="1254">
        <v>3</v>
      </c>
      <c r="F184" s="1254" t="s">
        <v>632</v>
      </c>
      <c r="G184" s="1254" t="s">
        <v>1072</v>
      </c>
      <c r="H184" s="1254" t="s">
        <v>1073</v>
      </c>
      <c r="I184" s="1254">
        <v>3</v>
      </c>
      <c r="J184" s="1254" t="s">
        <v>473</v>
      </c>
      <c r="K184" s="1254">
        <f>SUMIF('CF.1'!$D:$D,'CFS(연간)'!G184,'CF.1'!$U:$U)</f>
        <v>0</v>
      </c>
      <c r="L184" s="1254">
        <f t="shared" si="14"/>
        <v>0</v>
      </c>
      <c r="M184" s="1260">
        <f t="shared" si="15"/>
        <v>0</v>
      </c>
      <c r="O184" s="1253"/>
      <c r="P184" s="1254">
        <f t="shared" si="13"/>
        <v>0</v>
      </c>
      <c r="Q184" s="1255"/>
    </row>
    <row r="185" spans="4:17" ht="18" customHeight="1">
      <c r="D185" s="1259">
        <v>2022</v>
      </c>
      <c r="E185" s="1254">
        <v>3</v>
      </c>
      <c r="F185" s="1254" t="s">
        <v>632</v>
      </c>
      <c r="G185" s="1254" t="s">
        <v>1074</v>
      </c>
      <c r="H185" s="1254" t="s">
        <v>1514</v>
      </c>
      <c r="I185" s="1254">
        <v>3</v>
      </c>
      <c r="J185" s="1254" t="s">
        <v>473</v>
      </c>
      <c r="K185" s="1254">
        <f>SUMIF('CF.1'!$D:$D,'CFS(연간)'!G185,'CF.1'!$U:$U)</f>
        <v>63636363</v>
      </c>
      <c r="L185" s="1254">
        <f t="shared" si="14"/>
        <v>63636363</v>
      </c>
      <c r="M185" s="1260">
        <f t="shared" si="15"/>
        <v>0</v>
      </c>
      <c r="O185" s="1253"/>
      <c r="P185" s="1254">
        <f t="shared" si="13"/>
        <v>-63636363</v>
      </c>
      <c r="Q185" s="1255"/>
    </row>
    <row r="186" spans="4:17" ht="18" customHeight="1">
      <c r="D186" s="1259">
        <v>2022</v>
      </c>
      <c r="E186" s="1254">
        <v>3</v>
      </c>
      <c r="F186" s="1254" t="s">
        <v>632</v>
      </c>
      <c r="G186" s="1254" t="s">
        <v>1075</v>
      </c>
      <c r="H186" s="1254" t="s">
        <v>1076</v>
      </c>
      <c r="I186" s="1254">
        <v>3</v>
      </c>
      <c r="J186" s="1254" t="s">
        <v>473</v>
      </c>
      <c r="K186" s="1254">
        <f>SUMIF('CF.1'!$D:$D,'CFS(연간)'!G186,'CF.1'!$U:$U)</f>
        <v>0</v>
      </c>
      <c r="L186" s="1254">
        <f t="shared" si="14"/>
        <v>0</v>
      </c>
      <c r="M186" s="1260">
        <f t="shared" si="15"/>
        <v>0</v>
      </c>
      <c r="O186" s="1253"/>
      <c r="P186" s="1254">
        <f t="shared" si="13"/>
        <v>0</v>
      </c>
      <c r="Q186" s="1255"/>
    </row>
    <row r="187" spans="4:17" ht="18" customHeight="1">
      <c r="D187" s="1259">
        <v>2022</v>
      </c>
      <c r="E187" s="1254">
        <v>3</v>
      </c>
      <c r="F187" s="1254" t="s">
        <v>632</v>
      </c>
      <c r="G187" s="1254" t="s">
        <v>1077</v>
      </c>
      <c r="H187" s="1254" t="s">
        <v>1078</v>
      </c>
      <c r="I187" s="1254">
        <v>3</v>
      </c>
      <c r="J187" s="1254" t="s">
        <v>473</v>
      </c>
      <c r="K187" s="1254">
        <f>SUMIF('CF.1'!$D:$D,'CFS(연간)'!G187,'CF.1'!$U:$U)</f>
        <v>0</v>
      </c>
      <c r="L187" s="1254">
        <f t="shared" si="14"/>
        <v>0</v>
      </c>
      <c r="M187" s="1260">
        <f t="shared" si="15"/>
        <v>0</v>
      </c>
      <c r="O187" s="1253"/>
      <c r="P187" s="1254">
        <f t="shared" si="13"/>
        <v>0</v>
      </c>
      <c r="Q187" s="1255"/>
    </row>
    <row r="188" spans="4:17" ht="18" customHeight="1">
      <c r="D188" s="1259">
        <v>2022</v>
      </c>
      <c r="E188" s="1254">
        <v>3</v>
      </c>
      <c r="F188" s="1254" t="s">
        <v>632</v>
      </c>
      <c r="G188" s="1254" t="s">
        <v>1079</v>
      </c>
      <c r="H188" s="1254" t="s">
        <v>1080</v>
      </c>
      <c r="I188" s="1254">
        <v>3</v>
      </c>
      <c r="J188" s="1254" t="s">
        <v>473</v>
      </c>
      <c r="K188" s="1254">
        <f>SUMIF('CF.1'!$D:$D,'CFS(연간)'!G188,'CF.1'!$U:$U)</f>
        <v>0</v>
      </c>
      <c r="L188" s="1254">
        <f t="shared" si="14"/>
        <v>0</v>
      </c>
      <c r="M188" s="1260">
        <f t="shared" si="15"/>
        <v>0</v>
      </c>
      <c r="O188" s="1253"/>
      <c r="P188" s="1254">
        <f t="shared" si="13"/>
        <v>0</v>
      </c>
      <c r="Q188" s="1255"/>
    </row>
    <row r="189" spans="4:17" ht="18" customHeight="1">
      <c r="D189" s="1259">
        <v>2022</v>
      </c>
      <c r="E189" s="1254">
        <v>3</v>
      </c>
      <c r="F189" s="1254" t="s">
        <v>632</v>
      </c>
      <c r="G189" s="1254" t="s">
        <v>1081</v>
      </c>
      <c r="H189" s="1254" t="s">
        <v>1082</v>
      </c>
      <c r="I189" s="1254">
        <v>3</v>
      </c>
      <c r="J189" s="1254" t="s">
        <v>473</v>
      </c>
      <c r="K189" s="1254">
        <f>SUMIF('CF.1'!$D:$D,'CFS(연간)'!G189,'CF.1'!$U:$U)</f>
        <v>0</v>
      </c>
      <c r="L189" s="1254">
        <f t="shared" si="14"/>
        <v>0</v>
      </c>
      <c r="M189" s="1260">
        <f t="shared" si="15"/>
        <v>0</v>
      </c>
      <c r="O189" s="1253"/>
      <c r="P189" s="1254">
        <f t="shared" si="13"/>
        <v>0</v>
      </c>
      <c r="Q189" s="1255"/>
    </row>
    <row r="190" spans="4:17" ht="18" customHeight="1">
      <c r="D190" s="1259">
        <v>2022</v>
      </c>
      <c r="E190" s="1254">
        <v>3</v>
      </c>
      <c r="F190" s="1254" t="s">
        <v>632</v>
      </c>
      <c r="G190" s="1254" t="s">
        <v>1083</v>
      </c>
      <c r="H190" s="1254" t="s">
        <v>1084</v>
      </c>
      <c r="I190" s="1254">
        <v>3</v>
      </c>
      <c r="J190" s="1254" t="s">
        <v>473</v>
      </c>
      <c r="K190" s="1254">
        <f>SUMIF('CF.1'!$D:$D,'CFS(연간)'!G190,'CF.1'!$U:$U)</f>
        <v>0</v>
      </c>
      <c r="L190" s="1254">
        <f t="shared" si="14"/>
        <v>0</v>
      </c>
      <c r="M190" s="1260">
        <f t="shared" si="15"/>
        <v>0</v>
      </c>
      <c r="O190" s="1253"/>
      <c r="P190" s="1254">
        <f t="shared" si="13"/>
        <v>0</v>
      </c>
      <c r="Q190" s="1255"/>
    </row>
    <row r="191" spans="4:17" ht="18" customHeight="1">
      <c r="D191" s="1259">
        <v>2022</v>
      </c>
      <c r="E191" s="1254">
        <v>3</v>
      </c>
      <c r="F191" s="1254" t="s">
        <v>632</v>
      </c>
      <c r="G191" s="1254" t="s">
        <v>1085</v>
      </c>
      <c r="H191" s="1254" t="s">
        <v>1086</v>
      </c>
      <c r="I191" s="1254">
        <v>3</v>
      </c>
      <c r="J191" s="1254" t="s">
        <v>473</v>
      </c>
      <c r="K191" s="1254">
        <f>SUMIF('CF.1'!$D:$D,'CFS(연간)'!G191,'CF.1'!$U:$U)</f>
        <v>0</v>
      </c>
      <c r="L191" s="1254">
        <f t="shared" si="14"/>
        <v>0</v>
      </c>
      <c r="M191" s="1260">
        <f t="shared" si="15"/>
        <v>0</v>
      </c>
      <c r="O191" s="1253"/>
      <c r="P191" s="1254">
        <f t="shared" si="13"/>
        <v>0</v>
      </c>
      <c r="Q191" s="1255"/>
    </row>
    <row r="192" spans="4:17" ht="18" customHeight="1">
      <c r="D192" s="1259">
        <v>2022</v>
      </c>
      <c r="E192" s="1254">
        <v>3</v>
      </c>
      <c r="F192" s="1254" t="s">
        <v>632</v>
      </c>
      <c r="G192" s="1254" t="s">
        <v>1087</v>
      </c>
      <c r="H192" s="1254" t="s">
        <v>1088</v>
      </c>
      <c r="I192" s="1254">
        <v>3</v>
      </c>
      <c r="J192" s="1254" t="s">
        <v>473</v>
      </c>
      <c r="K192" s="1254">
        <f>SUMIF('CF.1'!$D:$D,'CFS(연간)'!G192,'CF.1'!$U:$U)</f>
        <v>0</v>
      </c>
      <c r="L192" s="1254">
        <f t="shared" si="14"/>
        <v>0</v>
      </c>
      <c r="M192" s="1260">
        <f t="shared" si="15"/>
        <v>0</v>
      </c>
      <c r="O192" s="1253"/>
      <c r="P192" s="1254">
        <f t="shared" si="13"/>
        <v>0</v>
      </c>
      <c r="Q192" s="1255"/>
    </row>
    <row r="193" spans="4:21" ht="18" customHeight="1">
      <c r="D193" s="1259">
        <v>2022</v>
      </c>
      <c r="E193" s="1254">
        <v>3</v>
      </c>
      <c r="F193" s="1254" t="s">
        <v>632</v>
      </c>
      <c r="G193" s="1254" t="s">
        <v>1089</v>
      </c>
      <c r="H193" s="1254" t="s">
        <v>1090</v>
      </c>
      <c r="I193" s="1254">
        <v>3</v>
      </c>
      <c r="J193" s="1254" t="s">
        <v>473</v>
      </c>
      <c r="K193" s="1254">
        <f>SUMIF('CF.1'!$D:$D,'CFS(연간)'!G193,'CF.1'!$U:$U)</f>
        <v>0</v>
      </c>
      <c r="L193" s="1254">
        <f t="shared" si="14"/>
        <v>0</v>
      </c>
      <c r="M193" s="1260">
        <f t="shared" si="15"/>
        <v>0</v>
      </c>
      <c r="O193" s="1253"/>
      <c r="P193" s="1254">
        <f t="shared" si="13"/>
        <v>0</v>
      </c>
      <c r="Q193" s="1255"/>
    </row>
    <row r="194" spans="4:21" ht="18" customHeight="1">
      <c r="D194" s="1259">
        <v>2022</v>
      </c>
      <c r="E194" s="1254">
        <v>3</v>
      </c>
      <c r="F194" s="1254" t="s">
        <v>632</v>
      </c>
      <c r="G194" s="1254" t="s">
        <v>1091</v>
      </c>
      <c r="H194" s="1254" t="s">
        <v>1092</v>
      </c>
      <c r="I194" s="1254">
        <v>3</v>
      </c>
      <c r="J194" s="1254" t="s">
        <v>473</v>
      </c>
      <c r="K194" s="1254">
        <f>SUMIF('CF.1'!$D:$D,'CFS(연간)'!G194,'CF.1'!$U:$U)</f>
        <v>0</v>
      </c>
      <c r="L194" s="1254">
        <f t="shared" si="14"/>
        <v>0</v>
      </c>
      <c r="M194" s="1260">
        <f t="shared" si="15"/>
        <v>0</v>
      </c>
      <c r="O194" s="1253"/>
      <c r="P194" s="1254">
        <f t="shared" si="13"/>
        <v>0</v>
      </c>
      <c r="Q194" s="1255"/>
    </row>
    <row r="195" spans="4:21" ht="18" customHeight="1">
      <c r="D195" s="1259">
        <v>2022</v>
      </c>
      <c r="E195" s="1254">
        <v>3</v>
      </c>
      <c r="F195" s="1254" t="s">
        <v>632</v>
      </c>
      <c r="G195" s="1254" t="s">
        <v>1093</v>
      </c>
      <c r="H195" s="1254" t="s">
        <v>1094</v>
      </c>
      <c r="I195" s="1254">
        <v>3</v>
      </c>
      <c r="J195" s="1254" t="s">
        <v>473</v>
      </c>
      <c r="K195" s="1254">
        <f>SUMIF('CF.1'!$D:$D,'CFS(연간)'!G195,'CF.1'!$U:$U)</f>
        <v>0</v>
      </c>
      <c r="L195" s="1254">
        <f t="shared" si="14"/>
        <v>0</v>
      </c>
      <c r="M195" s="1260">
        <f t="shared" si="15"/>
        <v>0</v>
      </c>
      <c r="O195" s="1253"/>
      <c r="P195" s="1254">
        <f t="shared" si="13"/>
        <v>0</v>
      </c>
      <c r="Q195" s="1255"/>
    </row>
    <row r="196" spans="4:21" ht="18" customHeight="1">
      <c r="D196" s="1259">
        <v>2022</v>
      </c>
      <c r="E196" s="1254">
        <v>3</v>
      </c>
      <c r="F196" s="1254" t="s">
        <v>632</v>
      </c>
      <c r="G196" s="1254" t="s">
        <v>1095</v>
      </c>
      <c r="H196" s="1254" t="s">
        <v>1096</v>
      </c>
      <c r="I196" s="1254">
        <v>3</v>
      </c>
      <c r="J196" s="1254" t="s">
        <v>473</v>
      </c>
      <c r="K196" s="1254">
        <f>SUMIF('CF.1'!$D:$D,'CFS(연간)'!G196,'CF.1'!$U:$U)</f>
        <v>0</v>
      </c>
      <c r="L196" s="1254">
        <f t="shared" si="14"/>
        <v>0</v>
      </c>
      <c r="M196" s="1260">
        <f t="shared" si="15"/>
        <v>0</v>
      </c>
      <c r="O196" s="1253"/>
      <c r="P196" s="1254">
        <f t="shared" si="13"/>
        <v>0</v>
      </c>
      <c r="Q196" s="1255"/>
    </row>
    <row r="197" spans="4:21" ht="18" customHeight="1">
      <c r="D197" s="1259">
        <v>2022</v>
      </c>
      <c r="E197" s="1254">
        <v>3</v>
      </c>
      <c r="F197" s="1254" t="s">
        <v>632</v>
      </c>
      <c r="G197" s="1254" t="s">
        <v>1097</v>
      </c>
      <c r="H197" s="1254" t="s">
        <v>1098</v>
      </c>
      <c r="I197" s="1254">
        <v>3</v>
      </c>
      <c r="J197" s="1254" t="s">
        <v>473</v>
      </c>
      <c r="K197" s="1254">
        <f>SUMIF('CF.1'!$D:$D,'CFS(연간)'!G197,'CF.1'!$U:$U)</f>
        <v>0</v>
      </c>
      <c r="L197" s="1254">
        <f t="shared" si="14"/>
        <v>0</v>
      </c>
      <c r="M197" s="1260">
        <f t="shared" si="15"/>
        <v>0</v>
      </c>
      <c r="O197" s="1275"/>
      <c r="P197" s="1265">
        <f t="shared" si="13"/>
        <v>0</v>
      </c>
      <c r="Q197" s="1276"/>
    </row>
    <row r="198" spans="4:21" ht="18" customHeight="1">
      <c r="D198" s="1259">
        <v>2022</v>
      </c>
      <c r="E198" s="1254">
        <v>3</v>
      </c>
      <c r="F198" s="1254" t="s">
        <v>632</v>
      </c>
      <c r="G198" s="1254" t="s">
        <v>1099</v>
      </c>
      <c r="H198" s="1254" t="s">
        <v>1100</v>
      </c>
      <c r="I198" s="1254">
        <v>3</v>
      </c>
      <c r="J198" s="1254" t="s">
        <v>473</v>
      </c>
      <c r="K198" s="1254">
        <f>SUMIF('CF.1'!$D:$D,'CFS(연간)'!G198,'CF.1'!$U:$U)</f>
        <v>0</v>
      </c>
      <c r="L198" s="1254">
        <f t="shared" si="14"/>
        <v>0</v>
      </c>
      <c r="M198" s="1260">
        <f t="shared" si="15"/>
        <v>0</v>
      </c>
      <c r="O198" s="1275"/>
      <c r="P198" s="1265">
        <f t="shared" si="13"/>
        <v>0</v>
      </c>
      <c r="Q198" s="1276"/>
    </row>
    <row r="199" spans="4:21" ht="18" customHeight="1">
      <c r="D199" s="1259">
        <v>2022</v>
      </c>
      <c r="E199" s="1254">
        <v>3</v>
      </c>
      <c r="F199" s="1254" t="s">
        <v>632</v>
      </c>
      <c r="G199" s="1254" t="s">
        <v>1103</v>
      </c>
      <c r="H199" s="1254" t="s">
        <v>1104</v>
      </c>
      <c r="I199" s="1254">
        <v>3</v>
      </c>
      <c r="J199" s="1254" t="s">
        <v>473</v>
      </c>
      <c r="K199" s="1254">
        <f>SUMIF('CF.1'!$D:$D,'CFS(연간)'!G199,'CF.1'!$U:$U)</f>
        <v>0</v>
      </c>
      <c r="L199" s="1254">
        <f t="shared" si="14"/>
        <v>0</v>
      </c>
      <c r="M199" s="1260">
        <f t="shared" si="15"/>
        <v>0</v>
      </c>
      <c r="O199" s="1275"/>
      <c r="P199" s="1265">
        <f t="shared" ref="P199:P262" si="16">O199-L199</f>
        <v>0</v>
      </c>
      <c r="Q199" s="1276"/>
    </row>
    <row r="200" spans="4:21" ht="18" customHeight="1">
      <c r="D200" s="1259">
        <v>2022</v>
      </c>
      <c r="E200" s="1254">
        <v>3</v>
      </c>
      <c r="F200" s="1254" t="s">
        <v>632</v>
      </c>
      <c r="G200" s="1254" t="s">
        <v>1105</v>
      </c>
      <c r="H200" s="1254" t="s">
        <v>1106</v>
      </c>
      <c r="I200" s="1254">
        <v>3</v>
      </c>
      <c r="J200" s="1254" t="s">
        <v>473</v>
      </c>
      <c r="K200" s="1254">
        <f>SUMIF('CF.1'!$D:$D,'CFS(연간)'!G200,'CF.1'!$U:$U)</f>
        <v>0</v>
      </c>
      <c r="L200" s="1254">
        <f t="shared" si="14"/>
        <v>0</v>
      </c>
      <c r="M200" s="1260">
        <f t="shared" si="15"/>
        <v>0</v>
      </c>
      <c r="O200" s="1275"/>
      <c r="P200" s="1265">
        <f t="shared" si="16"/>
        <v>0</v>
      </c>
      <c r="Q200" s="1276"/>
    </row>
    <row r="201" spans="4:21" ht="18" customHeight="1">
      <c r="D201" s="1259">
        <v>2022</v>
      </c>
      <c r="E201" s="1254">
        <v>3</v>
      </c>
      <c r="F201" s="1254" t="s">
        <v>632</v>
      </c>
      <c r="G201" s="1254" t="s">
        <v>1107</v>
      </c>
      <c r="H201" s="1254" t="s">
        <v>1108</v>
      </c>
      <c r="I201" s="1254">
        <v>3</v>
      </c>
      <c r="J201" s="1254" t="s">
        <v>473</v>
      </c>
      <c r="K201" s="1254">
        <f>SUMIF('CF.1'!$D:$D,'CFS(연간)'!G201,'CF.1'!$U:$U)</f>
        <v>0</v>
      </c>
      <c r="L201" s="1254">
        <f t="shared" si="14"/>
        <v>0</v>
      </c>
      <c r="M201" s="1260">
        <f t="shared" si="15"/>
        <v>0</v>
      </c>
      <c r="O201" s="1275"/>
      <c r="P201" s="1265">
        <f t="shared" si="16"/>
        <v>0</v>
      </c>
      <c r="Q201" s="1276"/>
    </row>
    <row r="202" spans="4:21" ht="18" customHeight="1">
      <c r="D202" s="1259">
        <v>2022</v>
      </c>
      <c r="E202" s="1254">
        <v>3</v>
      </c>
      <c r="F202" s="1254" t="s">
        <v>632</v>
      </c>
      <c r="G202" s="1254" t="s">
        <v>1109</v>
      </c>
      <c r="H202" s="1254" t="s">
        <v>1110</v>
      </c>
      <c r="I202" s="1254">
        <v>3</v>
      </c>
      <c r="J202" s="1254" t="s">
        <v>473</v>
      </c>
      <c r="K202" s="1254">
        <f>SUMIF('CF.1'!$D:$D,'CFS(연간)'!G202,'CF.1'!$U:$U)</f>
        <v>0</v>
      </c>
      <c r="L202" s="1254">
        <f t="shared" si="14"/>
        <v>0</v>
      </c>
      <c r="M202" s="1260">
        <f t="shared" si="15"/>
        <v>0</v>
      </c>
      <c r="O202" s="1275"/>
      <c r="P202" s="1265">
        <f t="shared" si="16"/>
        <v>0</v>
      </c>
      <c r="Q202" s="1276"/>
    </row>
    <row r="203" spans="4:21" ht="18" customHeight="1">
      <c r="D203" s="1259">
        <v>2022</v>
      </c>
      <c r="E203" s="1254">
        <v>3</v>
      </c>
      <c r="F203" s="1254" t="s">
        <v>632</v>
      </c>
      <c r="G203" s="1254" t="s">
        <v>1111</v>
      </c>
      <c r="H203" s="1254" t="s">
        <v>1112</v>
      </c>
      <c r="I203" s="1254">
        <v>3</v>
      </c>
      <c r="J203" s="1254" t="s">
        <v>473</v>
      </c>
      <c r="K203" s="1254">
        <f>SUMIF('CF.1'!$D:$D,'CFS(연간)'!G203,'CF.1'!$U:$U)</f>
        <v>0</v>
      </c>
      <c r="L203" s="1254">
        <f t="shared" si="14"/>
        <v>0</v>
      </c>
      <c r="M203" s="1260">
        <f t="shared" si="15"/>
        <v>0</v>
      </c>
      <c r="O203" s="1275"/>
      <c r="P203" s="1265">
        <f t="shared" si="16"/>
        <v>0</v>
      </c>
      <c r="Q203" s="1276"/>
    </row>
    <row r="204" spans="4:21" ht="18" customHeight="1">
      <c r="D204" s="1259">
        <v>2022</v>
      </c>
      <c r="E204" s="1254">
        <v>3</v>
      </c>
      <c r="F204" s="1254" t="s">
        <v>632</v>
      </c>
      <c r="G204" s="1254" t="s">
        <v>1113</v>
      </c>
      <c r="H204" s="1254" t="s">
        <v>1114</v>
      </c>
      <c r="I204" s="1254">
        <v>3</v>
      </c>
      <c r="J204" s="1254" t="s">
        <v>473</v>
      </c>
      <c r="K204" s="1254">
        <f>SUMIF('CF.1'!$D:$D,'CFS(연간)'!G204,'CF.1'!$U:$U)</f>
        <v>0</v>
      </c>
      <c r="L204" s="1254">
        <f t="shared" si="14"/>
        <v>0</v>
      </c>
      <c r="M204" s="1260">
        <f t="shared" si="15"/>
        <v>0</v>
      </c>
      <c r="O204" s="1275"/>
      <c r="P204" s="1265">
        <f t="shared" si="16"/>
        <v>0</v>
      </c>
      <c r="Q204" s="1276"/>
    </row>
    <row r="205" spans="4:21" s="575" customFormat="1" ht="18" customHeight="1">
      <c r="D205" s="1264">
        <v>2022</v>
      </c>
      <c r="E205" s="1265">
        <v>3</v>
      </c>
      <c r="F205" s="1265"/>
      <c r="G205" s="1265" t="s">
        <v>1119</v>
      </c>
      <c r="H205" s="1265" t="s">
        <v>1120</v>
      </c>
      <c r="I205" s="1254">
        <v>3</v>
      </c>
      <c r="J205" s="1254" t="s">
        <v>473</v>
      </c>
      <c r="K205" s="1265">
        <f>SUMIF('CF.1'!$D:$D,'CFS(연간)'!G205,'CF.1'!$U:$U)</f>
        <v>0</v>
      </c>
      <c r="L205" s="1265">
        <f t="shared" si="14"/>
        <v>0</v>
      </c>
      <c r="M205" s="1266"/>
      <c r="O205" s="1275"/>
      <c r="P205" s="1265"/>
      <c r="Q205" s="1276"/>
    </row>
    <row r="206" spans="4:21" ht="18" customHeight="1">
      <c r="D206" s="1259">
        <v>2022</v>
      </c>
      <c r="E206" s="1254">
        <v>3</v>
      </c>
      <c r="F206" s="1254" t="s">
        <v>632</v>
      </c>
      <c r="G206" s="1254" t="s">
        <v>1123</v>
      </c>
      <c r="H206" s="1254" t="s">
        <v>1124</v>
      </c>
      <c r="I206" s="1254">
        <v>3</v>
      </c>
      <c r="J206" s="1254" t="s">
        <v>473</v>
      </c>
      <c r="K206" s="1254">
        <f>SUMIF('CF.1'!$D:$D,'CFS(연간)'!G206,'CF.1'!$U:$U)</f>
        <v>0</v>
      </c>
      <c r="L206" s="1254">
        <f t="shared" si="14"/>
        <v>0</v>
      </c>
      <c r="M206" s="1260">
        <f t="shared" si="15"/>
        <v>0</v>
      </c>
      <c r="O206" s="1275"/>
      <c r="P206" s="1265">
        <f t="shared" si="16"/>
        <v>0</v>
      </c>
      <c r="Q206" s="1276"/>
      <c r="S206" s="575"/>
      <c r="T206" s="575"/>
      <c r="U206" s="575"/>
    </row>
    <row r="207" spans="4:21" ht="18" customHeight="1">
      <c r="D207" s="1261">
        <v>2022</v>
      </c>
      <c r="E207" s="1262">
        <v>3</v>
      </c>
      <c r="F207" s="1262" t="s">
        <v>632</v>
      </c>
      <c r="G207" s="1262" t="s">
        <v>1125</v>
      </c>
      <c r="H207" s="1262" t="s">
        <v>1126</v>
      </c>
      <c r="I207" s="1262">
        <v>2</v>
      </c>
      <c r="J207" s="1262" t="s">
        <v>473</v>
      </c>
      <c r="K207" s="1262">
        <f>SUM(K208:K257)</f>
        <v>-26825396063</v>
      </c>
      <c r="L207" s="1262">
        <f>SUM(L208:L257)</f>
        <v>-27122702063</v>
      </c>
      <c r="M207" s="1263">
        <f>SUM(M208:M257)</f>
        <v>-297306000</v>
      </c>
      <c r="O207" s="1275"/>
      <c r="P207" s="1265">
        <f t="shared" si="16"/>
        <v>27122702063</v>
      </c>
      <c r="Q207" s="1276"/>
      <c r="S207" s="575"/>
      <c r="T207" s="575"/>
      <c r="U207" s="575"/>
    </row>
    <row r="208" spans="4:21" ht="18" customHeight="1">
      <c r="D208" s="1259">
        <v>2022</v>
      </c>
      <c r="E208" s="1254">
        <v>3</v>
      </c>
      <c r="F208" s="1254" t="s">
        <v>632</v>
      </c>
      <c r="G208" s="1254" t="s">
        <v>1127</v>
      </c>
      <c r="H208" s="1254" t="s">
        <v>1128</v>
      </c>
      <c r="I208" s="1254">
        <v>3</v>
      </c>
      <c r="J208" s="1254" t="s">
        <v>473</v>
      </c>
      <c r="K208" s="1254">
        <f>SUMIF('CF.1'!$D:$D,'CFS(연간)'!G208,'CF.1'!$U:$U)</f>
        <v>0</v>
      </c>
      <c r="L208" s="1254">
        <f t="shared" ref="L208:L257" si="17">K208</f>
        <v>0</v>
      </c>
      <c r="M208" s="1260">
        <f t="shared" ref="M208:M257" si="18">L208-K208</f>
        <v>0</v>
      </c>
      <c r="O208" s="1275"/>
      <c r="P208" s="1265">
        <f t="shared" si="16"/>
        <v>0</v>
      </c>
      <c r="Q208" s="1276"/>
      <c r="S208" s="575"/>
      <c r="T208" s="575"/>
      <c r="U208" s="575"/>
    </row>
    <row r="209" spans="4:21" ht="18" customHeight="1">
      <c r="D209" s="2023">
        <v>2022</v>
      </c>
      <c r="E209" s="1549">
        <v>3</v>
      </c>
      <c r="F209" s="1549" t="s">
        <v>632</v>
      </c>
      <c r="G209" s="1549" t="s">
        <v>1129</v>
      </c>
      <c r="H209" s="1549" t="s">
        <v>1130</v>
      </c>
      <c r="I209" s="1549">
        <v>3</v>
      </c>
      <c r="J209" s="1549" t="s">
        <v>473</v>
      </c>
      <c r="K209" s="1549">
        <f>SUMIF('CF.1'!$D:$D,'CFS(연간)'!G209,'CF.1'!$U:$U)</f>
        <v>0</v>
      </c>
      <c r="L209" s="1549">
        <v>-297306000</v>
      </c>
      <c r="M209" s="2024">
        <f t="shared" si="18"/>
        <v>-297306000</v>
      </c>
      <c r="O209" s="1275"/>
      <c r="P209" s="1265">
        <f>O209-L209</f>
        <v>297306000</v>
      </c>
      <c r="Q209" s="1276"/>
      <c r="S209" s="575"/>
      <c r="T209" s="575"/>
      <c r="U209" s="575"/>
    </row>
    <row r="210" spans="4:21" ht="18" customHeight="1">
      <c r="D210" s="1259">
        <v>2022</v>
      </c>
      <c r="E210" s="1254">
        <v>3</v>
      </c>
      <c r="F210" s="1254" t="s">
        <v>632</v>
      </c>
      <c r="G210" s="1254" t="s">
        <v>1131</v>
      </c>
      <c r="H210" s="1254" t="s">
        <v>1132</v>
      </c>
      <c r="I210" s="1254">
        <v>3</v>
      </c>
      <c r="J210" s="1254" t="s">
        <v>473</v>
      </c>
      <c r="K210" s="1254">
        <f>SUMIF('CF.1'!$D:$D,'CFS(연간)'!G210,'CF.1'!$U:$U)</f>
        <v>0</v>
      </c>
      <c r="L210" s="1254">
        <f t="shared" si="17"/>
        <v>0</v>
      </c>
      <c r="M210" s="1260">
        <f t="shared" si="18"/>
        <v>0</v>
      </c>
      <c r="O210" s="1275"/>
      <c r="P210" s="1265">
        <f t="shared" si="16"/>
        <v>0</v>
      </c>
      <c r="Q210" s="1276"/>
      <c r="S210" s="575"/>
      <c r="T210" s="575"/>
      <c r="U210" s="575"/>
    </row>
    <row r="211" spans="4:21" ht="18" customHeight="1">
      <c r="D211" s="1259">
        <v>2022</v>
      </c>
      <c r="E211" s="1254">
        <v>3</v>
      </c>
      <c r="F211" s="1254" t="s">
        <v>632</v>
      </c>
      <c r="G211" s="1254" t="s">
        <v>1133</v>
      </c>
      <c r="H211" s="1254" t="s">
        <v>1134</v>
      </c>
      <c r="I211" s="1254">
        <v>3</v>
      </c>
      <c r="J211" s="1254" t="s">
        <v>473</v>
      </c>
      <c r="K211" s="1254">
        <f>SUMIF('CF.1'!$D:$D,'CFS(연간)'!G211,'CF.1'!$U:$U)</f>
        <v>0</v>
      </c>
      <c r="L211" s="1254">
        <f t="shared" si="17"/>
        <v>0</v>
      </c>
      <c r="M211" s="1260">
        <f t="shared" si="18"/>
        <v>0</v>
      </c>
      <c r="O211" s="1275"/>
      <c r="P211" s="1265">
        <f t="shared" si="16"/>
        <v>0</v>
      </c>
      <c r="Q211" s="1276"/>
      <c r="S211" s="575"/>
      <c r="T211" s="575"/>
      <c r="U211" s="575"/>
    </row>
    <row r="212" spans="4:21" ht="18" customHeight="1">
      <c r="D212" s="1259">
        <v>2022</v>
      </c>
      <c r="E212" s="1254">
        <v>3</v>
      </c>
      <c r="F212" s="1254" t="s">
        <v>632</v>
      </c>
      <c r="G212" s="1254" t="s">
        <v>1135</v>
      </c>
      <c r="H212" s="1254" t="s">
        <v>1136</v>
      </c>
      <c r="I212" s="1254">
        <v>3</v>
      </c>
      <c r="J212" s="1254" t="s">
        <v>473</v>
      </c>
      <c r="K212" s="1254">
        <f>SUMIF('CF.1'!$D:$D,'CFS(연간)'!G212,'CF.1'!$U:$U)</f>
        <v>0</v>
      </c>
      <c r="L212" s="1254">
        <f t="shared" si="17"/>
        <v>0</v>
      </c>
      <c r="M212" s="1260">
        <f t="shared" si="18"/>
        <v>0</v>
      </c>
      <c r="O212" s="1275"/>
      <c r="P212" s="1265">
        <f t="shared" si="16"/>
        <v>0</v>
      </c>
      <c r="Q212" s="1276"/>
      <c r="S212" s="575"/>
      <c r="T212" s="575"/>
      <c r="U212" s="575"/>
    </row>
    <row r="213" spans="4:21" ht="18" customHeight="1">
      <c r="D213" s="1259">
        <v>2022</v>
      </c>
      <c r="E213" s="1254">
        <v>3</v>
      </c>
      <c r="F213" s="1254" t="s">
        <v>632</v>
      </c>
      <c r="G213" s="1254" t="s">
        <v>1137</v>
      </c>
      <c r="H213" s="1254" t="s">
        <v>1138</v>
      </c>
      <c r="I213" s="1254">
        <v>3</v>
      </c>
      <c r="J213" s="1254" t="s">
        <v>473</v>
      </c>
      <c r="K213" s="1254">
        <f>SUMIF('CF.1'!$D:$D,'CFS(연간)'!G213,'CF.1'!$U:$U)</f>
        <v>0</v>
      </c>
      <c r="L213" s="1254">
        <f t="shared" si="17"/>
        <v>0</v>
      </c>
      <c r="M213" s="1260">
        <f t="shared" si="18"/>
        <v>0</v>
      </c>
      <c r="O213" s="1275"/>
      <c r="P213" s="1265">
        <f t="shared" si="16"/>
        <v>0</v>
      </c>
      <c r="Q213" s="1276"/>
    </row>
    <row r="214" spans="4:21" ht="18" customHeight="1">
      <c r="D214" s="1259">
        <v>2022</v>
      </c>
      <c r="E214" s="1254">
        <v>3</v>
      </c>
      <c r="F214" s="1254" t="s">
        <v>632</v>
      </c>
      <c r="G214" s="1254" t="s">
        <v>1139</v>
      </c>
      <c r="H214" s="1254" t="s">
        <v>1140</v>
      </c>
      <c r="I214" s="1254">
        <v>3</v>
      </c>
      <c r="J214" s="1254" t="s">
        <v>473</v>
      </c>
      <c r="K214" s="1254">
        <f>SUMIF('CF.1'!$D:$D,'CFS(연간)'!G214,'CF.1'!$U:$U)</f>
        <v>0</v>
      </c>
      <c r="L214" s="1254">
        <f t="shared" si="17"/>
        <v>0</v>
      </c>
      <c r="M214" s="1260">
        <f t="shared" si="18"/>
        <v>0</v>
      </c>
      <c r="O214" s="1275"/>
      <c r="P214" s="1265">
        <f t="shared" si="16"/>
        <v>0</v>
      </c>
      <c r="Q214" s="1276"/>
    </row>
    <row r="215" spans="4:21" ht="18" customHeight="1">
      <c r="D215" s="1259">
        <v>2022</v>
      </c>
      <c r="E215" s="1254">
        <v>3</v>
      </c>
      <c r="F215" s="1254" t="s">
        <v>632</v>
      </c>
      <c r="G215" s="1254" t="s">
        <v>1141</v>
      </c>
      <c r="H215" s="1254" t="s">
        <v>1142</v>
      </c>
      <c r="I215" s="1254">
        <v>3</v>
      </c>
      <c r="J215" s="1254" t="s">
        <v>473</v>
      </c>
      <c r="K215" s="1265">
        <f>SUMIF('CF.1'!$D:$D,'CFS(연간)'!G215,'CF.1'!$U:$U)</f>
        <v>-609716486</v>
      </c>
      <c r="L215" s="1265">
        <f t="shared" si="17"/>
        <v>-609716486</v>
      </c>
      <c r="M215" s="1266">
        <f t="shared" si="18"/>
        <v>0</v>
      </c>
      <c r="O215" s="1275"/>
      <c r="P215" s="1265">
        <f t="shared" si="16"/>
        <v>609716486</v>
      </c>
      <c r="Q215" s="1276"/>
    </row>
    <row r="216" spans="4:21" ht="18" customHeight="1">
      <c r="D216" s="1264">
        <v>2022</v>
      </c>
      <c r="E216" s="1265">
        <v>3</v>
      </c>
      <c r="F216" s="1265" t="s">
        <v>632</v>
      </c>
      <c r="G216" s="1265" t="s">
        <v>1143</v>
      </c>
      <c r="H216" s="1265" t="s">
        <v>1144</v>
      </c>
      <c r="I216" s="1265">
        <v>3</v>
      </c>
      <c r="J216" s="1265" t="s">
        <v>473</v>
      </c>
      <c r="K216" s="1265">
        <f>SUMIF('CF.1'!$D:$D,'CFS(연간)'!G216,'CF.1'!$U:$U)</f>
        <v>0</v>
      </c>
      <c r="L216" s="1265">
        <f t="shared" si="17"/>
        <v>0</v>
      </c>
      <c r="M216" s="1266">
        <f t="shared" si="18"/>
        <v>0</v>
      </c>
      <c r="O216" s="1275"/>
      <c r="P216" s="1265">
        <f t="shared" si="16"/>
        <v>0</v>
      </c>
      <c r="Q216" s="1276"/>
    </row>
    <row r="217" spans="4:21" ht="18" customHeight="1">
      <c r="D217" s="1264">
        <v>2022</v>
      </c>
      <c r="E217" s="1265">
        <v>3</v>
      </c>
      <c r="F217" s="1265" t="s">
        <v>632</v>
      </c>
      <c r="G217" s="1265" t="s">
        <v>1145</v>
      </c>
      <c r="H217" s="1265" t="s">
        <v>1146</v>
      </c>
      <c r="I217" s="1265">
        <v>3</v>
      </c>
      <c r="J217" s="1265" t="s">
        <v>473</v>
      </c>
      <c r="K217" s="1265">
        <f>SUMIF('CF.1'!$D:$D,'CFS(연간)'!G217,'CF.1'!$U:$U)</f>
        <v>0</v>
      </c>
      <c r="L217" s="1265">
        <f t="shared" si="17"/>
        <v>0</v>
      </c>
      <c r="M217" s="1266">
        <f t="shared" si="18"/>
        <v>0</v>
      </c>
      <c r="O217" s="1275"/>
      <c r="P217" s="1265">
        <f t="shared" si="16"/>
        <v>0</v>
      </c>
      <c r="Q217" s="1276"/>
    </row>
    <row r="218" spans="4:21" ht="18" customHeight="1">
      <c r="D218" s="1264">
        <v>2022</v>
      </c>
      <c r="E218" s="1265">
        <v>3</v>
      </c>
      <c r="F218" s="1265" t="s">
        <v>632</v>
      </c>
      <c r="G218" s="1265" t="s">
        <v>1147</v>
      </c>
      <c r="H218" s="1265" t="s">
        <v>1148</v>
      </c>
      <c r="I218" s="1265">
        <v>3</v>
      </c>
      <c r="J218" s="1265" t="s">
        <v>473</v>
      </c>
      <c r="K218" s="1265">
        <f>SUMIF('CF.1'!$D:$D,'CFS(연간)'!G218,'CF.1'!$U:$U)</f>
        <v>0</v>
      </c>
      <c r="L218" s="1265">
        <f t="shared" si="17"/>
        <v>0</v>
      </c>
      <c r="M218" s="1266">
        <f t="shared" si="18"/>
        <v>0</v>
      </c>
      <c r="O218" s="1275"/>
      <c r="P218" s="1265">
        <f t="shared" si="16"/>
        <v>0</v>
      </c>
      <c r="Q218" s="1276"/>
    </row>
    <row r="219" spans="4:21" ht="18" customHeight="1">
      <c r="D219" s="1264">
        <v>2022</v>
      </c>
      <c r="E219" s="1265">
        <v>3</v>
      </c>
      <c r="F219" s="1265" t="s">
        <v>632</v>
      </c>
      <c r="G219" s="1265" t="s">
        <v>2568</v>
      </c>
      <c r="H219" s="1265" t="s">
        <v>2567</v>
      </c>
      <c r="I219" s="1265">
        <v>3</v>
      </c>
      <c r="J219" s="1265" t="s">
        <v>473</v>
      </c>
      <c r="K219" s="1265">
        <f>SUMIF('CF.1'!$D:$D,'CFS(연간)'!G219,'CF.1'!$U:$U)</f>
        <v>-20301223536</v>
      </c>
      <c r="L219" s="1265">
        <f t="shared" si="17"/>
        <v>-20301223536</v>
      </c>
      <c r="M219" s="1266">
        <f t="shared" si="18"/>
        <v>0</v>
      </c>
      <c r="O219" s="1275"/>
      <c r="P219" s="1265">
        <f t="shared" si="16"/>
        <v>20301223536</v>
      </c>
      <c r="Q219" s="1276"/>
    </row>
    <row r="220" spans="4:21" ht="18" customHeight="1">
      <c r="D220" s="1264">
        <v>2022</v>
      </c>
      <c r="E220" s="1265">
        <v>3</v>
      </c>
      <c r="F220" s="1265" t="s">
        <v>632</v>
      </c>
      <c r="G220" s="1265" t="s">
        <v>1151</v>
      </c>
      <c r="H220" s="1265" t="s">
        <v>1152</v>
      </c>
      <c r="I220" s="1265">
        <v>3</v>
      </c>
      <c r="J220" s="1265" t="s">
        <v>473</v>
      </c>
      <c r="K220" s="1265">
        <f>SUMIF('CF.1'!$D:$D,'CFS(연간)'!G220,'CF.1'!$U:$U)</f>
        <v>0</v>
      </c>
      <c r="L220" s="1265">
        <f t="shared" si="17"/>
        <v>0</v>
      </c>
      <c r="M220" s="1266">
        <f t="shared" si="18"/>
        <v>0</v>
      </c>
      <c r="O220" s="1275"/>
      <c r="P220" s="1265">
        <f t="shared" si="16"/>
        <v>0</v>
      </c>
      <c r="Q220" s="1276"/>
    </row>
    <row r="221" spans="4:21" ht="18" customHeight="1">
      <c r="D221" s="1264">
        <v>2022</v>
      </c>
      <c r="E221" s="1265">
        <v>3</v>
      </c>
      <c r="F221" s="1265" t="s">
        <v>632</v>
      </c>
      <c r="G221" s="1265" t="s">
        <v>1153</v>
      </c>
      <c r="H221" s="1265" t="s">
        <v>1518</v>
      </c>
      <c r="I221" s="1265">
        <v>3</v>
      </c>
      <c r="J221" s="1265" t="s">
        <v>473</v>
      </c>
      <c r="K221" s="1265">
        <f>SUMIF('CF.1'!$D:$D,'CFS(연간)'!G221,'CF.1'!$U:$U)</f>
        <v>-3011475000</v>
      </c>
      <c r="L221" s="1265">
        <f t="shared" si="17"/>
        <v>-3011475000</v>
      </c>
      <c r="M221" s="1266">
        <f t="shared" si="18"/>
        <v>0</v>
      </c>
      <c r="O221" s="1275"/>
      <c r="P221" s="1265">
        <f t="shared" si="16"/>
        <v>3011475000</v>
      </c>
      <c r="Q221" s="1276"/>
    </row>
    <row r="222" spans="4:21" ht="18" customHeight="1">
      <c r="D222" s="1264">
        <v>2022</v>
      </c>
      <c r="E222" s="1265">
        <v>3</v>
      </c>
      <c r="F222" s="1265" t="s">
        <v>632</v>
      </c>
      <c r="G222" s="1265" t="s">
        <v>1155</v>
      </c>
      <c r="H222" s="1265" t="s">
        <v>1156</v>
      </c>
      <c r="I222" s="1265">
        <v>3</v>
      </c>
      <c r="J222" s="1265" t="s">
        <v>473</v>
      </c>
      <c r="K222" s="1265">
        <f>SUMIF('CF.1'!$D:$D,'CFS(연간)'!G222,'CF.1'!$U:$U)</f>
        <v>0</v>
      </c>
      <c r="L222" s="1265">
        <f t="shared" si="17"/>
        <v>0</v>
      </c>
      <c r="M222" s="1266">
        <f t="shared" si="18"/>
        <v>0</v>
      </c>
      <c r="N222" s="575"/>
      <c r="O222" s="1275"/>
      <c r="P222" s="1265">
        <f t="shared" si="16"/>
        <v>0</v>
      </c>
      <c r="Q222" s="1276"/>
    </row>
    <row r="223" spans="4:21" ht="18" customHeight="1">
      <c r="D223" s="1264">
        <v>2022</v>
      </c>
      <c r="E223" s="1265">
        <v>3</v>
      </c>
      <c r="F223" s="1265" t="s">
        <v>632</v>
      </c>
      <c r="G223" s="1265" t="s">
        <v>1157</v>
      </c>
      <c r="H223" s="1265" t="s">
        <v>1158</v>
      </c>
      <c r="I223" s="1265">
        <v>3</v>
      </c>
      <c r="J223" s="1265" t="s">
        <v>473</v>
      </c>
      <c r="K223" s="1265">
        <f>SUMIF('CF.1'!$D:$D,'CFS(연간)'!G223,'CF.1'!$U:$U)</f>
        <v>0</v>
      </c>
      <c r="L223" s="1265">
        <f t="shared" si="17"/>
        <v>0</v>
      </c>
      <c r="M223" s="1266">
        <f t="shared" si="18"/>
        <v>0</v>
      </c>
      <c r="O223" s="1275"/>
      <c r="P223" s="1265">
        <f t="shared" si="16"/>
        <v>0</v>
      </c>
      <c r="Q223" s="1276"/>
    </row>
    <row r="224" spans="4:21" ht="18" customHeight="1">
      <c r="D224" s="1264">
        <v>2022</v>
      </c>
      <c r="E224" s="1265">
        <v>3</v>
      </c>
      <c r="F224" s="1265" t="s">
        <v>632</v>
      </c>
      <c r="G224" s="1265" t="s">
        <v>1159</v>
      </c>
      <c r="H224" s="1265" t="s">
        <v>1160</v>
      </c>
      <c r="I224" s="1265">
        <v>3</v>
      </c>
      <c r="J224" s="1265" t="s">
        <v>473</v>
      </c>
      <c r="K224" s="1265">
        <f>SUMIF('CF.1'!$D:$D,'CFS(연간)'!G224,'CF.1'!$U:$U)</f>
        <v>0</v>
      </c>
      <c r="L224" s="1265">
        <f t="shared" si="17"/>
        <v>0</v>
      </c>
      <c r="M224" s="1266">
        <f t="shared" si="18"/>
        <v>0</v>
      </c>
      <c r="O224" s="1275"/>
      <c r="P224" s="1265">
        <f t="shared" si="16"/>
        <v>0</v>
      </c>
      <c r="Q224" s="1276"/>
    </row>
    <row r="225" spans="4:17" ht="18" customHeight="1">
      <c r="D225" s="1264">
        <v>2022</v>
      </c>
      <c r="E225" s="1265">
        <v>3</v>
      </c>
      <c r="F225" s="1265" t="s">
        <v>632</v>
      </c>
      <c r="G225" s="1265" t="s">
        <v>1161</v>
      </c>
      <c r="H225" s="1265" t="s">
        <v>1162</v>
      </c>
      <c r="I225" s="1265">
        <v>3</v>
      </c>
      <c r="J225" s="1265" t="s">
        <v>473</v>
      </c>
      <c r="K225" s="1265">
        <f>SUMIF('CF.1'!$D:$D,'CFS(연간)'!G225,'CF.1'!$U:$U)</f>
        <v>0</v>
      </c>
      <c r="L225" s="1265">
        <f t="shared" si="17"/>
        <v>0</v>
      </c>
      <c r="M225" s="1266">
        <f t="shared" si="18"/>
        <v>0</v>
      </c>
      <c r="O225" s="1275"/>
      <c r="P225" s="1265">
        <f t="shared" si="16"/>
        <v>0</v>
      </c>
      <c r="Q225" s="1276"/>
    </row>
    <row r="226" spans="4:17" ht="18" customHeight="1">
      <c r="D226" s="1264">
        <v>2022</v>
      </c>
      <c r="E226" s="1265">
        <v>3</v>
      </c>
      <c r="F226" s="1265" t="s">
        <v>632</v>
      </c>
      <c r="G226" s="1265" t="s">
        <v>1163</v>
      </c>
      <c r="H226" s="1265" t="s">
        <v>1164</v>
      </c>
      <c r="I226" s="1265">
        <v>3</v>
      </c>
      <c r="J226" s="1265" t="s">
        <v>473</v>
      </c>
      <c r="K226" s="1265">
        <f>SUMIF('CF.1'!$D:$D,'CFS(연간)'!G226,'CF.1'!$U:$U)</f>
        <v>0</v>
      </c>
      <c r="L226" s="1265">
        <f t="shared" si="17"/>
        <v>0</v>
      </c>
      <c r="M226" s="1266">
        <f t="shared" si="18"/>
        <v>0</v>
      </c>
      <c r="O226" s="1275"/>
      <c r="P226" s="1265">
        <f t="shared" si="16"/>
        <v>0</v>
      </c>
      <c r="Q226" s="1276"/>
    </row>
    <row r="227" spans="4:17" ht="18" customHeight="1">
      <c r="D227" s="1264">
        <v>2022</v>
      </c>
      <c r="E227" s="1265">
        <v>3</v>
      </c>
      <c r="F227" s="1265" t="s">
        <v>632</v>
      </c>
      <c r="G227" s="1265" t="s">
        <v>1165</v>
      </c>
      <c r="H227" s="1265" t="s">
        <v>1166</v>
      </c>
      <c r="I227" s="1265">
        <v>3</v>
      </c>
      <c r="J227" s="1265" t="s">
        <v>473</v>
      </c>
      <c r="K227" s="1265">
        <f>SUMIF('CF.1'!$D:$D,'CFS(연간)'!G227,'CF.1'!$U:$U)</f>
        <v>0</v>
      </c>
      <c r="L227" s="1265">
        <f t="shared" si="17"/>
        <v>0</v>
      </c>
      <c r="M227" s="1266">
        <f t="shared" si="18"/>
        <v>0</v>
      </c>
      <c r="O227" s="1275"/>
      <c r="P227" s="1265">
        <f t="shared" si="16"/>
        <v>0</v>
      </c>
      <c r="Q227" s="1276"/>
    </row>
    <row r="228" spans="4:17" ht="18" customHeight="1">
      <c r="D228" s="1264">
        <v>2022</v>
      </c>
      <c r="E228" s="1265">
        <v>3</v>
      </c>
      <c r="F228" s="1265" t="s">
        <v>632</v>
      </c>
      <c r="G228" s="1265" t="s">
        <v>1167</v>
      </c>
      <c r="H228" s="1265" t="s">
        <v>1168</v>
      </c>
      <c r="I228" s="1265">
        <v>3</v>
      </c>
      <c r="J228" s="1265" t="s">
        <v>473</v>
      </c>
      <c r="K228" s="1265">
        <f>SUMIF('CF.1'!$D:$D,'CFS(연간)'!G228,'CF.1'!$U:$U)</f>
        <v>0</v>
      </c>
      <c r="L228" s="1265">
        <f t="shared" si="17"/>
        <v>0</v>
      </c>
      <c r="M228" s="1266">
        <f t="shared" si="18"/>
        <v>0</v>
      </c>
      <c r="O228" s="1275"/>
      <c r="P228" s="1265">
        <f t="shared" si="16"/>
        <v>0</v>
      </c>
      <c r="Q228" s="1276"/>
    </row>
    <row r="229" spans="4:17" ht="18" customHeight="1">
      <c r="D229" s="1264">
        <v>2022</v>
      </c>
      <c r="E229" s="1265">
        <v>3</v>
      </c>
      <c r="F229" s="1265" t="s">
        <v>632</v>
      </c>
      <c r="G229" s="1265" t="s">
        <v>1169</v>
      </c>
      <c r="H229" s="1265" t="s">
        <v>1170</v>
      </c>
      <c r="I229" s="1265">
        <v>3</v>
      </c>
      <c r="J229" s="1265" t="s">
        <v>473</v>
      </c>
      <c r="K229" s="1265">
        <f>SUMIF('CF.1'!$D:$D,'CFS(연간)'!G229,'CF.1'!$U:$U)</f>
        <v>0</v>
      </c>
      <c r="L229" s="1265">
        <f t="shared" si="17"/>
        <v>0</v>
      </c>
      <c r="M229" s="1266">
        <f t="shared" si="18"/>
        <v>0</v>
      </c>
      <c r="O229" s="1275"/>
      <c r="P229" s="1265">
        <f t="shared" si="16"/>
        <v>0</v>
      </c>
      <c r="Q229" s="1276"/>
    </row>
    <row r="230" spans="4:17" ht="18" customHeight="1">
      <c r="D230" s="1264">
        <v>2022</v>
      </c>
      <c r="E230" s="1265">
        <v>3</v>
      </c>
      <c r="F230" s="1265" t="s">
        <v>632</v>
      </c>
      <c r="G230" s="1265" t="s">
        <v>1171</v>
      </c>
      <c r="H230" s="1265" t="s">
        <v>1172</v>
      </c>
      <c r="I230" s="1265">
        <v>3</v>
      </c>
      <c r="J230" s="1265" t="s">
        <v>473</v>
      </c>
      <c r="K230" s="1265">
        <f>SUMIF('CF.1'!$D:$D,'CFS(연간)'!G230,'CF.1'!$U:$U)</f>
        <v>0</v>
      </c>
      <c r="L230" s="1265">
        <f t="shared" si="17"/>
        <v>0</v>
      </c>
      <c r="M230" s="1266">
        <f t="shared" si="18"/>
        <v>0</v>
      </c>
      <c r="O230" s="1275"/>
      <c r="P230" s="1265">
        <f t="shared" si="16"/>
        <v>0</v>
      </c>
      <c r="Q230" s="1276"/>
    </row>
    <row r="231" spans="4:17" ht="18" customHeight="1">
      <c r="D231" s="1264">
        <v>2022</v>
      </c>
      <c r="E231" s="1265">
        <v>3</v>
      </c>
      <c r="F231" s="1265" t="s">
        <v>632</v>
      </c>
      <c r="G231" s="1265" t="s">
        <v>1173</v>
      </c>
      <c r="H231" s="1265" t="s">
        <v>1174</v>
      </c>
      <c r="I231" s="1265">
        <v>3</v>
      </c>
      <c r="J231" s="1265" t="s">
        <v>473</v>
      </c>
      <c r="K231" s="1265">
        <f>SUMIF('CF.1'!$D:$D,'CFS(연간)'!G231,'CF.1'!$U:$U)</f>
        <v>0</v>
      </c>
      <c r="L231" s="1265">
        <f t="shared" si="17"/>
        <v>0</v>
      </c>
      <c r="M231" s="1266">
        <f t="shared" si="18"/>
        <v>0</v>
      </c>
      <c r="O231" s="1275"/>
      <c r="P231" s="1265">
        <f t="shared" si="16"/>
        <v>0</v>
      </c>
      <c r="Q231" s="1276"/>
    </row>
    <row r="232" spans="4:17" ht="18" customHeight="1">
      <c r="D232" s="1264">
        <v>2022</v>
      </c>
      <c r="E232" s="1265">
        <v>3</v>
      </c>
      <c r="F232" s="1265" t="s">
        <v>632</v>
      </c>
      <c r="G232" s="1265" t="s">
        <v>1175</v>
      </c>
      <c r="H232" s="1265" t="s">
        <v>1176</v>
      </c>
      <c r="I232" s="1265">
        <v>3</v>
      </c>
      <c r="J232" s="1265" t="s">
        <v>473</v>
      </c>
      <c r="K232" s="1265">
        <f>SUMIF('CF.1'!$D:$D,'CFS(연간)'!G232,'CF.1'!$U:$U)</f>
        <v>0</v>
      </c>
      <c r="L232" s="1265">
        <f t="shared" si="17"/>
        <v>0</v>
      </c>
      <c r="M232" s="1266">
        <f t="shared" si="18"/>
        <v>0</v>
      </c>
      <c r="O232" s="1275"/>
      <c r="P232" s="1265">
        <f t="shared" si="16"/>
        <v>0</v>
      </c>
      <c r="Q232" s="1276"/>
    </row>
    <row r="233" spans="4:17" ht="18" customHeight="1">
      <c r="D233" s="1264">
        <v>2022</v>
      </c>
      <c r="E233" s="1265">
        <v>3</v>
      </c>
      <c r="F233" s="1265" t="s">
        <v>632</v>
      </c>
      <c r="G233" s="1265" t="s">
        <v>1177</v>
      </c>
      <c r="H233" s="1265" t="s">
        <v>1178</v>
      </c>
      <c r="I233" s="1265">
        <v>3</v>
      </c>
      <c r="J233" s="1265" t="s">
        <v>473</v>
      </c>
      <c r="K233" s="1265">
        <f>SUMIF('CF.1'!$D:$D,'CFS(연간)'!G233,'CF.1'!$U:$U)</f>
        <v>0</v>
      </c>
      <c r="L233" s="1265">
        <f t="shared" si="17"/>
        <v>0</v>
      </c>
      <c r="M233" s="1266">
        <f t="shared" si="18"/>
        <v>0</v>
      </c>
      <c r="O233" s="1275"/>
      <c r="P233" s="1265">
        <f t="shared" si="16"/>
        <v>0</v>
      </c>
      <c r="Q233" s="1276"/>
    </row>
    <row r="234" spans="4:17" ht="18" customHeight="1">
      <c r="D234" s="1264">
        <v>2022</v>
      </c>
      <c r="E234" s="1265">
        <v>3</v>
      </c>
      <c r="F234" s="1265" t="s">
        <v>632</v>
      </c>
      <c r="G234" s="1265" t="s">
        <v>1179</v>
      </c>
      <c r="H234" s="1265" t="s">
        <v>1180</v>
      </c>
      <c r="I234" s="1265">
        <v>3</v>
      </c>
      <c r="J234" s="1265" t="s">
        <v>473</v>
      </c>
      <c r="K234" s="1265">
        <f>SUMIF('CF.1'!$D:$D,'CFS(연간)'!G234,'CF.1'!$U:$U)</f>
        <v>0</v>
      </c>
      <c r="L234" s="1265">
        <f t="shared" si="17"/>
        <v>0</v>
      </c>
      <c r="M234" s="1266">
        <f t="shared" si="18"/>
        <v>0</v>
      </c>
      <c r="O234" s="1275"/>
      <c r="P234" s="1265">
        <f t="shared" si="16"/>
        <v>0</v>
      </c>
      <c r="Q234" s="1276"/>
    </row>
    <row r="235" spans="4:17" ht="18" customHeight="1">
      <c r="D235" s="1264">
        <v>2022</v>
      </c>
      <c r="E235" s="1265">
        <v>3</v>
      </c>
      <c r="F235" s="1265" t="s">
        <v>632</v>
      </c>
      <c r="G235" s="1265" t="s">
        <v>1181</v>
      </c>
      <c r="H235" s="1265" t="s">
        <v>1182</v>
      </c>
      <c r="I235" s="1265">
        <v>3</v>
      </c>
      <c r="J235" s="1265" t="s">
        <v>473</v>
      </c>
      <c r="K235" s="1265">
        <f>SUMIF('CF.1'!$D:$D,'CFS(연간)'!G235,'CF.1'!$U:$U)</f>
        <v>0</v>
      </c>
      <c r="L235" s="1265">
        <f t="shared" si="17"/>
        <v>0</v>
      </c>
      <c r="M235" s="1266">
        <f t="shared" si="18"/>
        <v>0</v>
      </c>
      <c r="O235" s="1275"/>
      <c r="P235" s="1265">
        <f t="shared" si="16"/>
        <v>0</v>
      </c>
      <c r="Q235" s="1276"/>
    </row>
    <row r="236" spans="4:17" ht="18" customHeight="1">
      <c r="D236" s="1264">
        <v>2022</v>
      </c>
      <c r="E236" s="1265">
        <v>3</v>
      </c>
      <c r="F236" s="1265" t="s">
        <v>632</v>
      </c>
      <c r="G236" s="1265" t="s">
        <v>1183</v>
      </c>
      <c r="H236" s="1265" t="s">
        <v>1519</v>
      </c>
      <c r="I236" s="1265">
        <v>3</v>
      </c>
      <c r="J236" s="1265" t="s">
        <v>473</v>
      </c>
      <c r="K236" s="1265">
        <f>SUMIF('CF.1'!$D:$D,'CFS(연간)'!G236,'CF.1'!$U:$U)</f>
        <v>-545226388</v>
      </c>
      <c r="L236" s="1265">
        <f t="shared" si="17"/>
        <v>-545226388</v>
      </c>
      <c r="M236" s="1266">
        <f t="shared" si="18"/>
        <v>0</v>
      </c>
      <c r="O236" s="1275"/>
      <c r="P236" s="1265">
        <f t="shared" si="16"/>
        <v>545226388</v>
      </c>
      <c r="Q236" s="1276"/>
    </row>
    <row r="237" spans="4:17" ht="18" customHeight="1">
      <c r="D237" s="1264">
        <v>2022</v>
      </c>
      <c r="E237" s="1265">
        <v>3</v>
      </c>
      <c r="F237" s="1265" t="s">
        <v>632</v>
      </c>
      <c r="G237" s="1265" t="s">
        <v>1184</v>
      </c>
      <c r="H237" s="1265" t="s">
        <v>1185</v>
      </c>
      <c r="I237" s="1265">
        <v>3</v>
      </c>
      <c r="J237" s="1265" t="s">
        <v>473</v>
      </c>
      <c r="K237" s="1265">
        <f>SUMIF('CF.1'!$D:$D,'CFS(연간)'!G237,'CF.1'!$U:$U)</f>
        <v>0</v>
      </c>
      <c r="L237" s="1265">
        <f t="shared" si="17"/>
        <v>0</v>
      </c>
      <c r="M237" s="1266">
        <f t="shared" si="18"/>
        <v>0</v>
      </c>
      <c r="O237" s="1275"/>
      <c r="P237" s="1265">
        <f t="shared" si="16"/>
        <v>0</v>
      </c>
      <c r="Q237" s="1276"/>
    </row>
    <row r="238" spans="4:17" ht="18" customHeight="1">
      <c r="D238" s="1259">
        <v>2022</v>
      </c>
      <c r="E238" s="1254">
        <v>3</v>
      </c>
      <c r="F238" s="1254" t="s">
        <v>632</v>
      </c>
      <c r="G238" s="1254" t="s">
        <v>1186</v>
      </c>
      <c r="H238" s="1254" t="s">
        <v>1187</v>
      </c>
      <c r="I238" s="1254">
        <v>3</v>
      </c>
      <c r="J238" s="1254" t="s">
        <v>473</v>
      </c>
      <c r="K238" s="1254">
        <f>SUMIF('CF.1'!$D:$D,'CFS(연간)'!G238,'CF.1'!$U:$U)</f>
        <v>0</v>
      </c>
      <c r="L238" s="1254">
        <f t="shared" si="17"/>
        <v>0</v>
      </c>
      <c r="M238" s="1260">
        <f t="shared" si="18"/>
        <v>0</v>
      </c>
      <c r="O238" s="1275"/>
      <c r="P238" s="1265">
        <f t="shared" si="16"/>
        <v>0</v>
      </c>
      <c r="Q238" s="1276"/>
    </row>
    <row r="239" spans="4:17" ht="18" customHeight="1">
      <c r="D239" s="1259">
        <v>2022</v>
      </c>
      <c r="E239" s="1254">
        <v>3</v>
      </c>
      <c r="F239" s="1254" t="s">
        <v>632</v>
      </c>
      <c r="G239" s="1254" t="s">
        <v>1188</v>
      </c>
      <c r="H239" s="1254" t="s">
        <v>1189</v>
      </c>
      <c r="I239" s="1254">
        <v>3</v>
      </c>
      <c r="J239" s="1254" t="s">
        <v>473</v>
      </c>
      <c r="K239" s="1254">
        <f>SUMIF('CF.1'!$D:$D,'CFS(연간)'!G239,'CF.1'!$U:$U)</f>
        <v>-100069993</v>
      </c>
      <c r="L239" s="1254">
        <f t="shared" si="17"/>
        <v>-100069993</v>
      </c>
      <c r="M239" s="1260">
        <f t="shared" si="18"/>
        <v>0</v>
      </c>
      <c r="O239" s="1275"/>
      <c r="P239" s="1265">
        <f t="shared" si="16"/>
        <v>100069993</v>
      </c>
      <c r="Q239" s="1276"/>
    </row>
    <row r="240" spans="4:17" ht="18" customHeight="1">
      <c r="D240" s="1259">
        <v>2022</v>
      </c>
      <c r="E240" s="1254">
        <v>3</v>
      </c>
      <c r="F240" s="1254" t="s">
        <v>632</v>
      </c>
      <c r="G240" s="1254" t="s">
        <v>1190</v>
      </c>
      <c r="H240" s="1254" t="s">
        <v>1191</v>
      </c>
      <c r="I240" s="1254">
        <v>3</v>
      </c>
      <c r="J240" s="1254" t="s">
        <v>473</v>
      </c>
      <c r="K240" s="1254">
        <f>SUMIF('CF.1'!$D:$D,'CFS(연간)'!G240,'CF.1'!$U:$U)</f>
        <v>0</v>
      </c>
      <c r="L240" s="1254">
        <f t="shared" si="17"/>
        <v>0</v>
      </c>
      <c r="M240" s="1260">
        <f t="shared" si="18"/>
        <v>0</v>
      </c>
      <c r="O240" s="1275"/>
      <c r="P240" s="1265">
        <f t="shared" si="16"/>
        <v>0</v>
      </c>
      <c r="Q240" s="1276"/>
    </row>
    <row r="241" spans="4:21" ht="18" customHeight="1">
      <c r="D241" s="1259">
        <v>2022</v>
      </c>
      <c r="E241" s="1254">
        <v>3</v>
      </c>
      <c r="F241" s="1254" t="s">
        <v>632</v>
      </c>
      <c r="G241" s="1254" t="s">
        <v>1192</v>
      </c>
      <c r="H241" s="1254" t="s">
        <v>1193</v>
      </c>
      <c r="I241" s="1254">
        <v>3</v>
      </c>
      <c r="J241" s="1254" t="s">
        <v>473</v>
      </c>
      <c r="K241" s="1254">
        <f>SUMIF('CF.1'!$D:$D,'CFS(연간)'!G241,'CF.1'!$U:$U)</f>
        <v>-911571524</v>
      </c>
      <c r="L241" s="1254">
        <f t="shared" si="17"/>
        <v>-911571524</v>
      </c>
      <c r="M241" s="1260">
        <f t="shared" si="18"/>
        <v>0</v>
      </c>
      <c r="O241" s="1275"/>
      <c r="P241" s="1265">
        <f t="shared" si="16"/>
        <v>911571524</v>
      </c>
      <c r="Q241" s="1276"/>
    </row>
    <row r="242" spans="4:21" ht="18" customHeight="1">
      <c r="D242" s="1259">
        <v>2022</v>
      </c>
      <c r="E242" s="1254">
        <v>3</v>
      </c>
      <c r="F242" s="1254" t="s">
        <v>632</v>
      </c>
      <c r="G242" s="1254" t="s">
        <v>1194</v>
      </c>
      <c r="H242" s="1254" t="s">
        <v>1195</v>
      </c>
      <c r="I242" s="1254">
        <v>3</v>
      </c>
      <c r="J242" s="1254" t="s">
        <v>473</v>
      </c>
      <c r="K242" s="1254">
        <f>SUMIF('CF.1'!$D:$D,'CFS(연간)'!G242,'CF.1'!$U:$U)</f>
        <v>0</v>
      </c>
      <c r="L242" s="1254">
        <f t="shared" si="17"/>
        <v>0</v>
      </c>
      <c r="M242" s="1260">
        <f t="shared" si="18"/>
        <v>0</v>
      </c>
      <c r="O242" s="1275"/>
      <c r="P242" s="1265">
        <f t="shared" si="16"/>
        <v>0</v>
      </c>
      <c r="Q242" s="1276"/>
    </row>
    <row r="243" spans="4:21" ht="18" customHeight="1">
      <c r="D243" s="1259">
        <v>2022</v>
      </c>
      <c r="E243" s="1254">
        <v>3</v>
      </c>
      <c r="F243" s="1254" t="s">
        <v>632</v>
      </c>
      <c r="G243" s="1254" t="s">
        <v>1196</v>
      </c>
      <c r="H243" s="1254" t="s">
        <v>1197</v>
      </c>
      <c r="I243" s="1254">
        <v>3</v>
      </c>
      <c r="J243" s="1254" t="s">
        <v>473</v>
      </c>
      <c r="K243" s="1254">
        <f>SUMIF('CF.1'!$D:$D,'CFS(연간)'!G243,'CF.1'!$U:$U)</f>
        <v>0</v>
      </c>
      <c r="L243" s="1254">
        <f t="shared" si="17"/>
        <v>0</v>
      </c>
      <c r="M243" s="1260">
        <f t="shared" si="18"/>
        <v>0</v>
      </c>
      <c r="O243" s="1275"/>
      <c r="P243" s="1265">
        <f t="shared" si="16"/>
        <v>0</v>
      </c>
      <c r="Q243" s="1276"/>
      <c r="U243" s="498">
        <f>S246-T246</f>
        <v>28950000</v>
      </c>
    </row>
    <row r="244" spans="4:21" ht="18" customHeight="1">
      <c r="D244" s="1259">
        <v>2022</v>
      </c>
      <c r="E244" s="1254">
        <v>3</v>
      </c>
      <c r="F244" s="1254" t="s">
        <v>632</v>
      </c>
      <c r="G244" s="1254" t="s">
        <v>1198</v>
      </c>
      <c r="H244" s="1254" t="s">
        <v>1199</v>
      </c>
      <c r="I244" s="1254">
        <v>3</v>
      </c>
      <c r="J244" s="1254" t="s">
        <v>473</v>
      </c>
      <c r="K244" s="1254">
        <f>SUMIF('CF.1'!$D:$D,'CFS(연간)'!G244,'CF.1'!$U:$U)</f>
        <v>0</v>
      </c>
      <c r="L244" s="1254">
        <f t="shared" si="17"/>
        <v>0</v>
      </c>
      <c r="M244" s="1260">
        <f t="shared" si="18"/>
        <v>0</v>
      </c>
      <c r="O244" s="1275"/>
      <c r="P244" s="1265">
        <f t="shared" si="16"/>
        <v>0</v>
      </c>
      <c r="Q244" s="1276"/>
      <c r="U244" s="498">
        <f>S247-T247</f>
        <v>452591957</v>
      </c>
    </row>
    <row r="245" spans="4:21" ht="18" customHeight="1">
      <c r="D245" s="1259">
        <v>2022</v>
      </c>
      <c r="E245" s="1254">
        <v>3</v>
      </c>
      <c r="F245" s="1254" t="s">
        <v>632</v>
      </c>
      <c r="G245" s="1254" t="s">
        <v>1200</v>
      </c>
      <c r="H245" s="1254" t="s">
        <v>1201</v>
      </c>
      <c r="I245" s="1254">
        <v>3</v>
      </c>
      <c r="J245" s="1254" t="s">
        <v>473</v>
      </c>
      <c r="K245" s="1254">
        <f>SUMIF('CF.1'!$D:$D,'CFS(연간)'!G245,'CF.1'!$U:$U)</f>
        <v>-13893621</v>
      </c>
      <c r="L245" s="1254">
        <f t="shared" si="17"/>
        <v>-13893621</v>
      </c>
      <c r="M245" s="1260">
        <f t="shared" si="18"/>
        <v>0</v>
      </c>
      <c r="O245" s="1275"/>
      <c r="P245" s="1265">
        <f t="shared" si="16"/>
        <v>13893621</v>
      </c>
      <c r="Q245" s="1276"/>
    </row>
    <row r="246" spans="4:21" ht="18" customHeight="1">
      <c r="D246" s="1259">
        <v>2022</v>
      </c>
      <c r="E246" s="1254">
        <v>3</v>
      </c>
      <c r="F246" s="1254" t="s">
        <v>632</v>
      </c>
      <c r="G246" s="1254" t="s">
        <v>1202</v>
      </c>
      <c r="H246" s="1254" t="s">
        <v>1203</v>
      </c>
      <c r="I246" s="1254">
        <v>3</v>
      </c>
      <c r="J246" s="1254" t="s">
        <v>473</v>
      </c>
      <c r="K246" s="1254">
        <f>SUMIF('CF.1'!$D:$D,'CFS(연간)'!G246,'CF.1'!$U:$U)</f>
        <v>0</v>
      </c>
      <c r="L246" s="1254">
        <f t="shared" si="17"/>
        <v>0</v>
      </c>
      <c r="M246" s="1260">
        <f t="shared" si="18"/>
        <v>0</v>
      </c>
      <c r="O246" s="1275"/>
      <c r="P246" s="1265">
        <f t="shared" si="16"/>
        <v>0</v>
      </c>
      <c r="Q246" s="1276"/>
      <c r="S246" s="498">
        <v>28950000</v>
      </c>
    </row>
    <row r="247" spans="4:21" ht="18" customHeight="1">
      <c r="D247" s="1259">
        <v>2022</v>
      </c>
      <c r="E247" s="1254">
        <v>3</v>
      </c>
      <c r="F247" s="1254" t="s">
        <v>632</v>
      </c>
      <c r="G247" s="1254" t="s">
        <v>1204</v>
      </c>
      <c r="H247" s="1254" t="s">
        <v>1205</v>
      </c>
      <c r="I247" s="1254">
        <v>3</v>
      </c>
      <c r="J247" s="1254" t="s">
        <v>473</v>
      </c>
      <c r="K247" s="1254">
        <f>SUMIF('CF.1'!$D:$D,'CFS(연간)'!G247,'CF.1'!$U:$U)</f>
        <v>0</v>
      </c>
      <c r="L247" s="1254">
        <f t="shared" si="17"/>
        <v>0</v>
      </c>
      <c r="M247" s="1260">
        <f t="shared" si="18"/>
        <v>0</v>
      </c>
      <c r="O247" s="1275"/>
      <c r="P247" s="1265">
        <f t="shared" si="16"/>
        <v>0</v>
      </c>
      <c r="Q247" s="1276"/>
      <c r="S247" s="498">
        <v>378945107</v>
      </c>
      <c r="T247" s="498">
        <v>-73646850</v>
      </c>
      <c r="U247" s="498">
        <f>S250-T250</f>
        <v>6630726</v>
      </c>
    </row>
    <row r="248" spans="4:21" ht="18" customHeight="1">
      <c r="D248" s="1259">
        <v>2022</v>
      </c>
      <c r="E248" s="1254">
        <v>3</v>
      </c>
      <c r="F248" s="1254" t="s">
        <v>632</v>
      </c>
      <c r="G248" s="1254" t="s">
        <v>1206</v>
      </c>
      <c r="H248" s="1254" t="s">
        <v>1207</v>
      </c>
      <c r="I248" s="1254">
        <v>3</v>
      </c>
      <c r="J248" s="1254" t="s">
        <v>473</v>
      </c>
      <c r="K248" s="1254">
        <f>SUMIF('CF.1'!$D:$D,'CFS(연간)'!G248,'CF.1'!$U:$U)</f>
        <v>0</v>
      </c>
      <c r="L248" s="1254">
        <f t="shared" si="17"/>
        <v>0</v>
      </c>
      <c r="M248" s="1260">
        <f t="shared" si="18"/>
        <v>0</v>
      </c>
      <c r="O248" s="1275"/>
      <c r="P248" s="1265">
        <f t="shared" si="16"/>
        <v>0</v>
      </c>
      <c r="Q248" s="1276"/>
    </row>
    <row r="249" spans="4:21" ht="18" customHeight="1">
      <c r="D249" s="1259">
        <v>2022</v>
      </c>
      <c r="E249" s="1254">
        <v>3</v>
      </c>
      <c r="F249" s="1254" t="s">
        <v>632</v>
      </c>
      <c r="G249" s="1254" t="s">
        <v>1208</v>
      </c>
      <c r="H249" s="1254" t="s">
        <v>1209</v>
      </c>
      <c r="I249" s="1254">
        <v>3</v>
      </c>
      <c r="J249" s="1254" t="s">
        <v>473</v>
      </c>
      <c r="K249" s="1254">
        <f>SUMIF('CF.1'!$D:$D,'CFS(연간)'!G249,'CF.1'!$U:$U)</f>
        <v>-1332219515</v>
      </c>
      <c r="L249" s="1254">
        <f t="shared" si="17"/>
        <v>-1332219515</v>
      </c>
      <c r="M249" s="1260">
        <f t="shared" si="18"/>
        <v>0</v>
      </c>
      <c r="O249" s="1275"/>
      <c r="P249" s="1265">
        <f t="shared" si="16"/>
        <v>1332219515</v>
      </c>
      <c r="Q249" s="1276"/>
    </row>
    <row r="250" spans="4:21" ht="18" customHeight="1">
      <c r="D250" s="1259">
        <v>2022</v>
      </c>
      <c r="E250" s="1254">
        <v>3</v>
      </c>
      <c r="F250" s="1254" t="s">
        <v>632</v>
      </c>
      <c r="G250" s="1254" t="s">
        <v>1210</v>
      </c>
      <c r="H250" s="1254" t="s">
        <v>1211</v>
      </c>
      <c r="I250" s="1254">
        <v>3</v>
      </c>
      <c r="J250" s="1254" t="s">
        <v>473</v>
      </c>
      <c r="K250" s="1254">
        <f>SUMIF('CF.1'!$D:$D,'CFS(연간)'!G250,'CF.1'!$U:$U)</f>
        <v>0</v>
      </c>
      <c r="L250" s="1254">
        <f t="shared" si="17"/>
        <v>0</v>
      </c>
      <c r="M250" s="1260">
        <f t="shared" si="18"/>
        <v>0</v>
      </c>
      <c r="O250" s="1275"/>
      <c r="P250" s="1265">
        <f t="shared" si="16"/>
        <v>0</v>
      </c>
      <c r="Q250" s="1276"/>
      <c r="S250" s="498">
        <v>6176726</v>
      </c>
      <c r="T250" s="498">
        <v>-454000</v>
      </c>
      <c r="U250" s="498">
        <f>S253-T253</f>
        <v>14468724</v>
      </c>
    </row>
    <row r="251" spans="4:21" ht="18" customHeight="1">
      <c r="D251" s="1259">
        <v>2022</v>
      </c>
      <c r="E251" s="1254">
        <v>3</v>
      </c>
      <c r="F251" s="1254" t="s">
        <v>632</v>
      </c>
      <c r="G251" s="1254" t="s">
        <v>1212</v>
      </c>
      <c r="H251" s="1254" t="s">
        <v>1213</v>
      </c>
      <c r="I251" s="1254">
        <v>3</v>
      </c>
      <c r="J251" s="1254" t="s">
        <v>473</v>
      </c>
      <c r="K251" s="1254">
        <f>SUMIF('CF.1'!$D:$D,'CFS(연간)'!G251,'CF.1'!$U:$U)</f>
        <v>0</v>
      </c>
      <c r="L251" s="1254">
        <f t="shared" si="17"/>
        <v>0</v>
      </c>
      <c r="M251" s="1260">
        <f t="shared" si="18"/>
        <v>0</v>
      </c>
      <c r="O251" s="1275"/>
      <c r="P251" s="1265">
        <f t="shared" si="16"/>
        <v>0</v>
      </c>
      <c r="Q251" s="1276"/>
    </row>
    <row r="252" spans="4:21" ht="18" customHeight="1">
      <c r="D252" s="1259">
        <v>2022</v>
      </c>
      <c r="E252" s="1254">
        <v>3</v>
      </c>
      <c r="F252" s="1254" t="s">
        <v>632</v>
      </c>
      <c r="G252" s="1254" t="s">
        <v>1214</v>
      </c>
      <c r="H252" s="1254" t="s">
        <v>1520</v>
      </c>
      <c r="I252" s="1254">
        <v>3</v>
      </c>
      <c r="J252" s="1254" t="s">
        <v>473</v>
      </c>
      <c r="K252" s="1254">
        <f>SUMIF('CF.1'!$D:$D,'CFS(연간)'!G252,'CF.1'!$U:$U)</f>
        <v>0</v>
      </c>
      <c r="L252" s="1254">
        <f t="shared" si="17"/>
        <v>0</v>
      </c>
      <c r="M252" s="1260">
        <f t="shared" si="18"/>
        <v>0</v>
      </c>
      <c r="O252" s="1275"/>
      <c r="P252" s="1265">
        <f t="shared" si="16"/>
        <v>0</v>
      </c>
      <c r="Q252" s="1276"/>
    </row>
    <row r="253" spans="4:21" ht="18" customHeight="1">
      <c r="D253" s="1259">
        <v>2022</v>
      </c>
      <c r="E253" s="1254">
        <v>3</v>
      </c>
      <c r="F253" s="1254" t="s">
        <v>632</v>
      </c>
      <c r="G253" s="1254" t="s">
        <v>1216</v>
      </c>
      <c r="H253" s="1254" t="s">
        <v>1217</v>
      </c>
      <c r="I253" s="1254">
        <v>3</v>
      </c>
      <c r="J253" s="1254" t="s">
        <v>473</v>
      </c>
      <c r="K253" s="1254">
        <f>SUMIF('CF.1'!$D:$D,'CFS(연간)'!G253,'CF.1'!$U:$U)</f>
        <v>0</v>
      </c>
      <c r="L253" s="1254">
        <f t="shared" si="17"/>
        <v>0</v>
      </c>
      <c r="M253" s="1260">
        <f t="shared" si="18"/>
        <v>0</v>
      </c>
      <c r="O253" s="1275"/>
      <c r="P253" s="1265">
        <f t="shared" si="16"/>
        <v>0</v>
      </c>
      <c r="Q253" s="1276"/>
      <c r="S253" s="498">
        <v>27265144</v>
      </c>
      <c r="T253" s="498">
        <v>12796420</v>
      </c>
    </row>
    <row r="254" spans="4:21" ht="18" customHeight="1">
      <c r="D254" s="1259">
        <v>2022</v>
      </c>
      <c r="E254" s="1254">
        <v>3</v>
      </c>
      <c r="F254" s="1254" t="s">
        <v>632</v>
      </c>
      <c r="G254" s="1254" t="s">
        <v>1218</v>
      </c>
      <c r="H254" s="1254" t="s">
        <v>1219</v>
      </c>
      <c r="I254" s="1254">
        <v>3</v>
      </c>
      <c r="J254" s="1254" t="s">
        <v>473</v>
      </c>
      <c r="K254" s="1254">
        <f>SUMIF('CF.1'!$D:$D,'CFS(연간)'!G254,'CF.1'!$U:$U)</f>
        <v>0</v>
      </c>
      <c r="L254" s="1254">
        <f t="shared" si="17"/>
        <v>0</v>
      </c>
      <c r="M254" s="1260">
        <f t="shared" si="18"/>
        <v>0</v>
      </c>
      <c r="O254" s="1275"/>
      <c r="P254" s="1265">
        <f t="shared" si="16"/>
        <v>0</v>
      </c>
      <c r="Q254" s="1276"/>
    </row>
    <row r="255" spans="4:21" ht="18" customHeight="1">
      <c r="D255" s="1259">
        <v>2022</v>
      </c>
      <c r="E255" s="1254">
        <v>3</v>
      </c>
      <c r="F255" s="1254" t="s">
        <v>632</v>
      </c>
      <c r="G255" s="1254" t="s">
        <v>1220</v>
      </c>
      <c r="H255" s="1254" t="s">
        <v>1221</v>
      </c>
      <c r="I255" s="1254">
        <v>3</v>
      </c>
      <c r="J255" s="1254" t="s">
        <v>473</v>
      </c>
      <c r="K255" s="1254">
        <f>SUMIF('CF.1'!$D:$D,'CFS(연간)'!G255,'CF.1'!$U:$U)</f>
        <v>0</v>
      </c>
      <c r="L255" s="1254">
        <f t="shared" si="17"/>
        <v>0</v>
      </c>
      <c r="M255" s="1260">
        <f t="shared" si="18"/>
        <v>0</v>
      </c>
      <c r="O255" s="1275"/>
      <c r="P255" s="1265">
        <f t="shared" si="16"/>
        <v>0</v>
      </c>
      <c r="Q255" s="1276"/>
    </row>
    <row r="256" spans="4:21" ht="18" customHeight="1">
      <c r="D256" s="1259">
        <v>2022</v>
      </c>
      <c r="E256" s="1254">
        <v>3</v>
      </c>
      <c r="F256" s="1254" t="s">
        <v>632</v>
      </c>
      <c r="G256" s="1254" t="s">
        <v>1222</v>
      </c>
      <c r="H256" s="1254" t="s">
        <v>1223</v>
      </c>
      <c r="I256" s="1254">
        <v>3</v>
      </c>
      <c r="J256" s="1254" t="s">
        <v>473</v>
      </c>
      <c r="K256" s="1254">
        <f>SUMIF('CF.1'!$D:$D,'CFS(연간)'!G256,'CF.1'!$U:$U)</f>
        <v>0</v>
      </c>
      <c r="L256" s="1254">
        <f t="shared" si="17"/>
        <v>0</v>
      </c>
      <c r="M256" s="1260">
        <f t="shared" si="18"/>
        <v>0</v>
      </c>
      <c r="O256" s="1275"/>
      <c r="P256" s="1265">
        <f t="shared" si="16"/>
        <v>0</v>
      </c>
      <c r="Q256" s="1276"/>
    </row>
    <row r="257" spans="4:17" ht="18" customHeight="1">
      <c r="D257" s="1259">
        <v>2022</v>
      </c>
      <c r="E257" s="1254">
        <v>3</v>
      </c>
      <c r="F257" s="1254" t="s">
        <v>632</v>
      </c>
      <c r="G257" s="1254" t="s">
        <v>1232</v>
      </c>
      <c r="H257" s="1254" t="s">
        <v>1233</v>
      </c>
      <c r="I257" s="1254">
        <v>3</v>
      </c>
      <c r="J257" s="1254" t="s">
        <v>473</v>
      </c>
      <c r="K257" s="1254">
        <f>SUMIF('CF.1'!$D:$D,'CFS(연간)'!G257,'CF.1'!$U:$U)</f>
        <v>0</v>
      </c>
      <c r="L257" s="1254">
        <f t="shared" si="17"/>
        <v>0</v>
      </c>
      <c r="M257" s="1260">
        <f t="shared" si="18"/>
        <v>0</v>
      </c>
      <c r="O257" s="1275"/>
      <c r="P257" s="1265">
        <f t="shared" si="16"/>
        <v>0</v>
      </c>
      <c r="Q257" s="1276"/>
    </row>
    <row r="258" spans="4:17" ht="18" customHeight="1">
      <c r="D258" s="1261">
        <v>2022</v>
      </c>
      <c r="E258" s="1262">
        <v>3</v>
      </c>
      <c r="F258" s="1262" t="s">
        <v>632</v>
      </c>
      <c r="G258" s="1262" t="s">
        <v>1234</v>
      </c>
      <c r="H258" s="1262" t="s">
        <v>1235</v>
      </c>
      <c r="I258" s="1262">
        <v>1</v>
      </c>
      <c r="J258" s="1262" t="s">
        <v>473</v>
      </c>
      <c r="K258" s="1262">
        <f>K259+K280</f>
        <v>-2079841945</v>
      </c>
      <c r="L258" s="1262">
        <f>L259+L280</f>
        <v>-2079841945</v>
      </c>
      <c r="M258" s="1263">
        <f>M259+M280</f>
        <v>0</v>
      </c>
      <c r="O258" s="1275"/>
      <c r="P258" s="1265">
        <f t="shared" si="16"/>
        <v>2079841945</v>
      </c>
      <c r="Q258" s="1276"/>
    </row>
    <row r="259" spans="4:17" ht="18" customHeight="1">
      <c r="D259" s="1261">
        <v>2022</v>
      </c>
      <c r="E259" s="1262">
        <v>3</v>
      </c>
      <c r="F259" s="1262" t="s">
        <v>632</v>
      </c>
      <c r="G259" s="1262" t="s">
        <v>1236</v>
      </c>
      <c r="H259" s="1262" t="s">
        <v>1237</v>
      </c>
      <c r="I259" s="1262">
        <v>2</v>
      </c>
      <c r="J259" s="1262" t="s">
        <v>473</v>
      </c>
      <c r="K259" s="1262">
        <f>SUM(K260:K279)</f>
        <v>2468977</v>
      </c>
      <c r="L259" s="1262">
        <f>SUM(L260:L279)</f>
        <v>2468977</v>
      </c>
      <c r="M259" s="1263">
        <f>SUM(M260:M279)</f>
        <v>0</v>
      </c>
      <c r="O259" s="1275"/>
      <c r="P259" s="1265">
        <f t="shared" si="16"/>
        <v>-2468977</v>
      </c>
      <c r="Q259" s="1276"/>
    </row>
    <row r="260" spans="4:17" ht="18" customHeight="1">
      <c r="D260" s="1264">
        <v>2022</v>
      </c>
      <c r="E260" s="1265">
        <v>3</v>
      </c>
      <c r="F260" s="1265" t="s">
        <v>632</v>
      </c>
      <c r="G260" s="1265" t="s">
        <v>1238</v>
      </c>
      <c r="H260" s="1265" t="s">
        <v>1239</v>
      </c>
      <c r="I260" s="1265">
        <v>3</v>
      </c>
      <c r="J260" s="1265" t="s">
        <v>473</v>
      </c>
      <c r="K260" s="1265">
        <f>SUMIF('CF.1'!$D:$D,'CFS(연간)'!G260,'CF.1'!$U:$U)</f>
        <v>0</v>
      </c>
      <c r="L260" s="1265">
        <f t="shared" ref="L260:L279" si="19">K260</f>
        <v>0</v>
      </c>
      <c r="M260" s="1266">
        <f t="shared" ref="M260:M279" si="20">L260-K260</f>
        <v>0</v>
      </c>
      <c r="N260" s="575"/>
      <c r="O260" s="1275"/>
      <c r="P260" s="1265">
        <f t="shared" si="16"/>
        <v>0</v>
      </c>
      <c r="Q260" s="1276"/>
    </row>
    <row r="261" spans="4:17" ht="18" customHeight="1">
      <c r="D261" s="1259">
        <v>2022</v>
      </c>
      <c r="E261" s="1254">
        <v>3</v>
      </c>
      <c r="F261" s="1254" t="s">
        <v>632</v>
      </c>
      <c r="G261" s="1254" t="s">
        <v>1240</v>
      </c>
      <c r="H261" s="1254" t="s">
        <v>1241</v>
      </c>
      <c r="I261" s="1254">
        <v>3</v>
      </c>
      <c r="J261" s="1254" t="s">
        <v>473</v>
      </c>
      <c r="K261" s="1254">
        <f>SUMIF('CF.1'!$D:$D,'CFS(연간)'!G261,'CF.1'!$U:$U)</f>
        <v>0</v>
      </c>
      <c r="L261" s="1254">
        <f t="shared" si="19"/>
        <v>0</v>
      </c>
      <c r="M261" s="1260">
        <f t="shared" si="20"/>
        <v>0</v>
      </c>
      <c r="O261" s="1275"/>
      <c r="P261" s="1265">
        <f t="shared" si="16"/>
        <v>0</v>
      </c>
      <c r="Q261" s="1276"/>
    </row>
    <row r="262" spans="4:17" ht="18" customHeight="1">
      <c r="D262" s="1259">
        <v>2022</v>
      </c>
      <c r="E262" s="1254">
        <v>3</v>
      </c>
      <c r="F262" s="1254" t="s">
        <v>632</v>
      </c>
      <c r="G262" s="1254" t="s">
        <v>1242</v>
      </c>
      <c r="H262" s="1254" t="s">
        <v>1243</v>
      </c>
      <c r="I262" s="1254">
        <v>3</v>
      </c>
      <c r="J262" s="1254" t="s">
        <v>473</v>
      </c>
      <c r="K262" s="1254">
        <f>SUMIF('CF.1'!$D:$D,'CFS(연간)'!G262,'CF.1'!$U:$U)</f>
        <v>0</v>
      </c>
      <c r="L262" s="1254">
        <f t="shared" si="19"/>
        <v>0</v>
      </c>
      <c r="M262" s="1260">
        <f t="shared" si="20"/>
        <v>0</v>
      </c>
      <c r="O262" s="1275"/>
      <c r="P262" s="1265">
        <f t="shared" si="16"/>
        <v>0</v>
      </c>
      <c r="Q262" s="1276"/>
    </row>
    <row r="263" spans="4:17" ht="18" customHeight="1">
      <c r="D263" s="1259">
        <v>2022</v>
      </c>
      <c r="E263" s="1254">
        <v>3</v>
      </c>
      <c r="F263" s="1254" t="s">
        <v>632</v>
      </c>
      <c r="G263" s="1254" t="s">
        <v>1244</v>
      </c>
      <c r="H263" s="1254" t="s">
        <v>1245</v>
      </c>
      <c r="I263" s="1254">
        <v>3</v>
      </c>
      <c r="J263" s="1254" t="s">
        <v>473</v>
      </c>
      <c r="K263" s="1254">
        <f>SUMIF('CF.1'!$D:$D,'CFS(연간)'!G263,'CF.1'!$U:$U)</f>
        <v>0</v>
      </c>
      <c r="L263" s="1254">
        <f t="shared" si="19"/>
        <v>0</v>
      </c>
      <c r="M263" s="1260">
        <f t="shared" si="20"/>
        <v>0</v>
      </c>
      <c r="O263" s="1275"/>
      <c r="P263" s="1265">
        <f t="shared" ref="P263:P314" si="21">O263-L263</f>
        <v>0</v>
      </c>
      <c r="Q263" s="1276"/>
    </row>
    <row r="264" spans="4:17" ht="18" customHeight="1">
      <c r="D264" s="1259">
        <v>2022</v>
      </c>
      <c r="E264" s="1254">
        <v>3</v>
      </c>
      <c r="F264" s="1254" t="s">
        <v>632</v>
      </c>
      <c r="G264" s="1254" t="s">
        <v>1246</v>
      </c>
      <c r="H264" s="1254" t="s">
        <v>1247</v>
      </c>
      <c r="I264" s="1254">
        <v>3</v>
      </c>
      <c r="J264" s="1254" t="s">
        <v>473</v>
      </c>
      <c r="K264" s="1254">
        <f>SUMIF('CF.1'!$D:$D,'CFS(연간)'!G264,'CF.1'!$U:$U)</f>
        <v>0</v>
      </c>
      <c r="L264" s="1254">
        <f t="shared" si="19"/>
        <v>0</v>
      </c>
      <c r="M264" s="1260">
        <f t="shared" si="20"/>
        <v>0</v>
      </c>
      <c r="O264" s="1253"/>
      <c r="P264" s="1254">
        <f t="shared" si="21"/>
        <v>0</v>
      </c>
      <c r="Q264" s="1255"/>
    </row>
    <row r="265" spans="4:17" ht="18" customHeight="1">
      <c r="D265" s="1259">
        <v>2022</v>
      </c>
      <c r="E265" s="1254">
        <v>3</v>
      </c>
      <c r="F265" s="1254" t="s">
        <v>632</v>
      </c>
      <c r="G265" s="1254" t="s">
        <v>1248</v>
      </c>
      <c r="H265" s="1254" t="s">
        <v>1249</v>
      </c>
      <c r="I265" s="1254">
        <v>3</v>
      </c>
      <c r="J265" s="1254" t="s">
        <v>473</v>
      </c>
      <c r="K265" s="1254">
        <f>SUMIF('CF.1'!$D:$D,'CFS(연간)'!G265,'CF.1'!$U:$U)</f>
        <v>0</v>
      </c>
      <c r="L265" s="1254">
        <f t="shared" si="19"/>
        <v>0</v>
      </c>
      <c r="M265" s="1260">
        <f t="shared" si="20"/>
        <v>0</v>
      </c>
      <c r="O265" s="1253"/>
      <c r="P265" s="1254">
        <f t="shared" si="21"/>
        <v>0</v>
      </c>
      <c r="Q265" s="1255"/>
    </row>
    <row r="266" spans="4:17" ht="18" customHeight="1">
      <c r="D266" s="1259">
        <v>2022</v>
      </c>
      <c r="E266" s="1254">
        <v>3</v>
      </c>
      <c r="F266" s="1254" t="s">
        <v>632</v>
      </c>
      <c r="G266" s="1254" t="s">
        <v>1250</v>
      </c>
      <c r="H266" s="1254" t="s">
        <v>1251</v>
      </c>
      <c r="I266" s="1254">
        <v>3</v>
      </c>
      <c r="J266" s="1254" t="s">
        <v>473</v>
      </c>
      <c r="K266" s="1254">
        <f>SUMIF('CF.1'!$D:$D,'CFS(연간)'!G266,'CF.1'!$U:$U)</f>
        <v>0</v>
      </c>
      <c r="L266" s="1254">
        <f t="shared" si="19"/>
        <v>0</v>
      </c>
      <c r="M266" s="1260">
        <f t="shared" si="20"/>
        <v>0</v>
      </c>
      <c r="O266" s="1253"/>
      <c r="P266" s="1254">
        <f t="shared" si="21"/>
        <v>0</v>
      </c>
      <c r="Q266" s="1255"/>
    </row>
    <row r="267" spans="4:17" ht="18" customHeight="1">
      <c r="D267" s="1259">
        <v>2022</v>
      </c>
      <c r="E267" s="1254">
        <v>3</v>
      </c>
      <c r="F267" s="1254" t="s">
        <v>632</v>
      </c>
      <c r="G267" s="1254" t="s">
        <v>1252</v>
      </c>
      <c r="H267" s="1254" t="s">
        <v>1253</v>
      </c>
      <c r="I267" s="1254">
        <v>3</v>
      </c>
      <c r="J267" s="1254" t="s">
        <v>473</v>
      </c>
      <c r="K267" s="1254">
        <f>SUMIF('CF.1'!$D:$D,'CFS(연간)'!G267,'CF.1'!$U:$U)</f>
        <v>0</v>
      </c>
      <c r="L267" s="1254">
        <f t="shared" si="19"/>
        <v>0</v>
      </c>
      <c r="M267" s="1260">
        <f t="shared" si="20"/>
        <v>0</v>
      </c>
      <c r="O267" s="1253"/>
      <c r="P267" s="1254">
        <f t="shared" si="21"/>
        <v>0</v>
      </c>
      <c r="Q267" s="1255"/>
    </row>
    <row r="268" spans="4:17" ht="18" customHeight="1">
      <c r="D268" s="1259">
        <v>2022</v>
      </c>
      <c r="E268" s="1254">
        <v>3</v>
      </c>
      <c r="F268" s="1254" t="s">
        <v>632</v>
      </c>
      <c r="G268" s="1254" t="s">
        <v>1254</v>
      </c>
      <c r="H268" s="1254" t="s">
        <v>1255</v>
      </c>
      <c r="I268" s="1254">
        <v>3</v>
      </c>
      <c r="J268" s="1254" t="s">
        <v>473</v>
      </c>
      <c r="K268" s="1254">
        <f>SUMIF('CF.1'!$D:$D,'CFS(연간)'!G268,'CF.1'!$U:$U)</f>
        <v>0</v>
      </c>
      <c r="L268" s="1254">
        <f t="shared" si="19"/>
        <v>0</v>
      </c>
      <c r="M268" s="1260">
        <f t="shared" si="20"/>
        <v>0</v>
      </c>
      <c r="O268" s="1253"/>
      <c r="P268" s="1254">
        <f t="shared" si="21"/>
        <v>0</v>
      </c>
      <c r="Q268" s="1255"/>
    </row>
    <row r="269" spans="4:17" ht="18" customHeight="1">
      <c r="D269" s="1259">
        <v>2022</v>
      </c>
      <c r="E269" s="1254">
        <v>3</v>
      </c>
      <c r="F269" s="1254" t="s">
        <v>632</v>
      </c>
      <c r="G269" s="1254" t="s">
        <v>1256</v>
      </c>
      <c r="H269" s="1254" t="s">
        <v>1031</v>
      </c>
      <c r="I269" s="1254">
        <v>3</v>
      </c>
      <c r="J269" s="1254" t="s">
        <v>473</v>
      </c>
      <c r="K269" s="1254">
        <f>SUMIF('CF.1'!$D:$D,'CFS(연간)'!G269,'CF.1'!$U:$U)</f>
        <v>0</v>
      </c>
      <c r="L269" s="1254">
        <f t="shared" si="19"/>
        <v>0</v>
      </c>
      <c r="M269" s="1260">
        <f t="shared" si="20"/>
        <v>0</v>
      </c>
      <c r="O269" s="1253"/>
      <c r="P269" s="1254">
        <f t="shared" si="21"/>
        <v>0</v>
      </c>
      <c r="Q269" s="1255"/>
    </row>
    <row r="270" spans="4:17" ht="18" customHeight="1">
      <c r="D270" s="1259">
        <v>2022</v>
      </c>
      <c r="E270" s="1254">
        <v>3</v>
      </c>
      <c r="F270" s="1254" t="s">
        <v>632</v>
      </c>
      <c r="G270" s="1254" t="s">
        <v>1257</v>
      </c>
      <c r="H270" s="1254" t="s">
        <v>1033</v>
      </c>
      <c r="I270" s="1254">
        <v>3</v>
      </c>
      <c r="J270" s="1254" t="s">
        <v>473</v>
      </c>
      <c r="K270" s="1254">
        <f>SUMIF('CF.1'!$D:$D,'CFS(연간)'!G270,'CF.1'!$U:$U)</f>
        <v>0</v>
      </c>
      <c r="L270" s="1254">
        <f t="shared" si="19"/>
        <v>0</v>
      </c>
      <c r="M270" s="1260">
        <f t="shared" si="20"/>
        <v>0</v>
      </c>
      <c r="O270" s="1253"/>
      <c r="P270" s="1254">
        <f t="shared" si="21"/>
        <v>0</v>
      </c>
      <c r="Q270" s="1255"/>
    </row>
    <row r="271" spans="4:17" ht="18" customHeight="1">
      <c r="D271" s="1259">
        <v>2022</v>
      </c>
      <c r="E271" s="1254">
        <v>3</v>
      </c>
      <c r="F271" s="1254" t="s">
        <v>632</v>
      </c>
      <c r="G271" s="1254" t="s">
        <v>1258</v>
      </c>
      <c r="H271" s="1254" t="s">
        <v>1259</v>
      </c>
      <c r="I271" s="1254">
        <v>3</v>
      </c>
      <c r="J271" s="1254" t="s">
        <v>473</v>
      </c>
      <c r="K271" s="1254">
        <f>SUMIF('CF.1'!$D:$D,'CFS(연간)'!G271,'CF.1'!$U:$U)</f>
        <v>2468977</v>
      </c>
      <c r="L271" s="1254">
        <f t="shared" si="19"/>
        <v>2468977</v>
      </c>
      <c r="M271" s="1260">
        <f t="shared" si="20"/>
        <v>0</v>
      </c>
      <c r="O271" s="1253"/>
      <c r="P271" s="1254">
        <f t="shared" si="21"/>
        <v>-2468977</v>
      </c>
      <c r="Q271" s="1255"/>
    </row>
    <row r="272" spans="4:17" ht="18" customHeight="1">
      <c r="D272" s="1259">
        <v>2022</v>
      </c>
      <c r="E272" s="1254">
        <v>3</v>
      </c>
      <c r="F272" s="1254" t="s">
        <v>632</v>
      </c>
      <c r="G272" s="1254" t="s">
        <v>1260</v>
      </c>
      <c r="H272" s="1254" t="s">
        <v>1261</v>
      </c>
      <c r="I272" s="1254">
        <v>3</v>
      </c>
      <c r="J272" s="1254" t="s">
        <v>473</v>
      </c>
      <c r="K272" s="1254">
        <f>SUMIF('CF.1'!$D:$D,'CFS(연간)'!G272,'CF.1'!$U:$U)</f>
        <v>0</v>
      </c>
      <c r="L272" s="1254">
        <f t="shared" si="19"/>
        <v>0</v>
      </c>
      <c r="M272" s="1260">
        <f t="shared" si="20"/>
        <v>0</v>
      </c>
      <c r="O272" s="1253"/>
      <c r="P272" s="1254">
        <f t="shared" si="21"/>
        <v>0</v>
      </c>
      <c r="Q272" s="1255"/>
    </row>
    <row r="273" spans="4:17" ht="18" customHeight="1">
      <c r="D273" s="1259">
        <v>2022</v>
      </c>
      <c r="E273" s="1254">
        <v>3</v>
      </c>
      <c r="F273" s="1254" t="s">
        <v>632</v>
      </c>
      <c r="G273" s="1254" t="s">
        <v>1262</v>
      </c>
      <c r="H273" s="1254" t="s">
        <v>1263</v>
      </c>
      <c r="I273" s="1254">
        <v>3</v>
      </c>
      <c r="J273" s="1254" t="s">
        <v>473</v>
      </c>
      <c r="K273" s="1254">
        <f>SUMIF('CF.1'!$D:$D,'CFS(연간)'!G273,'CF.1'!$U:$U)</f>
        <v>0</v>
      </c>
      <c r="L273" s="1254">
        <f t="shared" si="19"/>
        <v>0</v>
      </c>
      <c r="M273" s="1260">
        <f t="shared" si="20"/>
        <v>0</v>
      </c>
      <c r="O273" s="1253"/>
      <c r="P273" s="1254">
        <f t="shared" si="21"/>
        <v>0</v>
      </c>
      <c r="Q273" s="1255"/>
    </row>
    <row r="274" spans="4:17" ht="18" customHeight="1">
      <c r="D274" s="1259">
        <v>2022</v>
      </c>
      <c r="E274" s="1254">
        <v>3</v>
      </c>
      <c r="F274" s="1254" t="s">
        <v>632</v>
      </c>
      <c r="G274" s="1254" t="s">
        <v>1264</v>
      </c>
      <c r="H274" s="1254" t="s">
        <v>1265</v>
      </c>
      <c r="I274" s="1254">
        <v>3</v>
      </c>
      <c r="J274" s="1254" t="s">
        <v>473</v>
      </c>
      <c r="K274" s="1254">
        <f>SUMIF('CF.1'!$D:$D,'CFS(연간)'!G274,'CF.1'!$U:$U)</f>
        <v>0</v>
      </c>
      <c r="L274" s="1254">
        <f t="shared" si="19"/>
        <v>0</v>
      </c>
      <c r="M274" s="1260">
        <f t="shared" si="20"/>
        <v>0</v>
      </c>
      <c r="O274" s="1253"/>
      <c r="P274" s="1254">
        <f t="shared" si="21"/>
        <v>0</v>
      </c>
      <c r="Q274" s="1255"/>
    </row>
    <row r="275" spans="4:17" ht="18" customHeight="1">
      <c r="D275" s="1259">
        <v>2022</v>
      </c>
      <c r="E275" s="1254">
        <v>3</v>
      </c>
      <c r="F275" s="1254" t="s">
        <v>632</v>
      </c>
      <c r="G275" s="1254" t="s">
        <v>1266</v>
      </c>
      <c r="H275" s="1254" t="s">
        <v>1267</v>
      </c>
      <c r="I275" s="1254">
        <v>3</v>
      </c>
      <c r="J275" s="1254" t="s">
        <v>473</v>
      </c>
      <c r="K275" s="1254">
        <f>SUMIF('CF.1'!$D:$D,'CFS(연간)'!G275,'CF.1'!$U:$U)</f>
        <v>0</v>
      </c>
      <c r="L275" s="1254">
        <f t="shared" si="19"/>
        <v>0</v>
      </c>
      <c r="M275" s="1260">
        <f t="shared" si="20"/>
        <v>0</v>
      </c>
      <c r="O275" s="1253"/>
      <c r="P275" s="1254">
        <f t="shared" si="21"/>
        <v>0</v>
      </c>
      <c r="Q275" s="1255"/>
    </row>
    <row r="276" spans="4:17" ht="18" customHeight="1">
      <c r="D276" s="1259">
        <v>2022</v>
      </c>
      <c r="E276" s="1254">
        <v>3</v>
      </c>
      <c r="F276" s="1254" t="s">
        <v>632</v>
      </c>
      <c r="G276" s="1254" t="s">
        <v>1268</v>
      </c>
      <c r="H276" s="1254" t="s">
        <v>1269</v>
      </c>
      <c r="I276" s="1254">
        <v>3</v>
      </c>
      <c r="J276" s="1254" t="s">
        <v>473</v>
      </c>
      <c r="K276" s="1254">
        <f>SUMIF('CF.1'!$D:$D,'CFS(연간)'!G276,'CF.1'!$U:$U)</f>
        <v>0</v>
      </c>
      <c r="L276" s="1254">
        <f t="shared" si="19"/>
        <v>0</v>
      </c>
      <c r="M276" s="1260">
        <f t="shared" si="20"/>
        <v>0</v>
      </c>
      <c r="O276" s="1253"/>
      <c r="P276" s="1254">
        <f t="shared" si="21"/>
        <v>0</v>
      </c>
      <c r="Q276" s="1255"/>
    </row>
    <row r="277" spans="4:17" ht="18" customHeight="1">
      <c r="D277" s="1259">
        <v>2022</v>
      </c>
      <c r="E277" s="1254">
        <v>3</v>
      </c>
      <c r="F277" s="1254" t="s">
        <v>632</v>
      </c>
      <c r="G277" s="1254" t="s">
        <v>1270</v>
      </c>
      <c r="H277" s="1254" t="s">
        <v>1271</v>
      </c>
      <c r="I277" s="1254">
        <v>3</v>
      </c>
      <c r="J277" s="1254" t="s">
        <v>473</v>
      </c>
      <c r="K277" s="1254">
        <f>SUMIF('CF.1'!$D:$D,'CFS(연간)'!G277,'CF.1'!$U:$U)</f>
        <v>0</v>
      </c>
      <c r="L277" s="1254">
        <f t="shared" si="19"/>
        <v>0</v>
      </c>
      <c r="M277" s="1260">
        <f t="shared" si="20"/>
        <v>0</v>
      </c>
      <c r="O277" s="1253"/>
      <c r="P277" s="1254">
        <f t="shared" si="21"/>
        <v>0</v>
      </c>
      <c r="Q277" s="1255"/>
    </row>
    <row r="278" spans="4:17" ht="18" customHeight="1">
      <c r="D278" s="1259">
        <v>2022</v>
      </c>
      <c r="E278" s="1254">
        <v>3</v>
      </c>
      <c r="F278" s="1254" t="s">
        <v>632</v>
      </c>
      <c r="G278" s="1254" t="s">
        <v>1521</v>
      </c>
      <c r="H278" s="1254" t="s">
        <v>1522</v>
      </c>
      <c r="I278" s="1254">
        <v>3</v>
      </c>
      <c r="J278" s="1254" t="s">
        <v>473</v>
      </c>
      <c r="K278" s="1254">
        <f>SUMIF('CF.1'!$D:$D,'CFS(연간)'!G278,'CF.1'!$U:$U)</f>
        <v>0</v>
      </c>
      <c r="L278" s="1254">
        <f t="shared" si="19"/>
        <v>0</v>
      </c>
      <c r="M278" s="1260">
        <f t="shared" si="20"/>
        <v>0</v>
      </c>
      <c r="O278" s="1253"/>
      <c r="P278" s="1254">
        <f t="shared" si="21"/>
        <v>0</v>
      </c>
      <c r="Q278" s="1255"/>
    </row>
    <row r="279" spans="4:17" ht="18" customHeight="1">
      <c r="D279" s="1259">
        <v>2022</v>
      </c>
      <c r="E279" s="1254">
        <v>3</v>
      </c>
      <c r="F279" s="1254" t="s">
        <v>632</v>
      </c>
      <c r="G279" s="1254" t="s">
        <v>1276</v>
      </c>
      <c r="H279" s="1254" t="s">
        <v>1277</v>
      </c>
      <c r="I279" s="1254">
        <v>3</v>
      </c>
      <c r="J279" s="1254" t="s">
        <v>473</v>
      </c>
      <c r="K279" s="1254">
        <f>SUMIF('CF.1'!$D:$D,'CFS(연간)'!G279,'CF.1'!$U:$U)</f>
        <v>0</v>
      </c>
      <c r="L279" s="1254">
        <f t="shared" si="19"/>
        <v>0</v>
      </c>
      <c r="M279" s="1260">
        <f t="shared" si="20"/>
        <v>0</v>
      </c>
      <c r="O279" s="1253"/>
      <c r="P279" s="1254">
        <f t="shared" si="21"/>
        <v>0</v>
      </c>
      <c r="Q279" s="1255"/>
    </row>
    <row r="280" spans="4:17" ht="18" customHeight="1">
      <c r="D280" s="1261">
        <v>2022</v>
      </c>
      <c r="E280" s="1262">
        <v>3</v>
      </c>
      <c r="F280" s="1262" t="s">
        <v>632</v>
      </c>
      <c r="G280" s="1262" t="s">
        <v>1278</v>
      </c>
      <c r="H280" s="1262" t="s">
        <v>1279</v>
      </c>
      <c r="I280" s="1262">
        <v>2</v>
      </c>
      <c r="J280" s="1262" t="s">
        <v>473</v>
      </c>
      <c r="K280" s="1262">
        <f>SUM(K281:K298)</f>
        <v>-2082310922</v>
      </c>
      <c r="L280" s="1262">
        <f>SUM(L281:L298)</f>
        <v>-2082310922</v>
      </c>
      <c r="M280" s="1263">
        <f>SUM(M281:M298)</f>
        <v>0</v>
      </c>
      <c r="O280" s="1253"/>
      <c r="P280" s="1254">
        <f t="shared" si="21"/>
        <v>2082310922</v>
      </c>
      <c r="Q280" s="1255"/>
    </row>
    <row r="281" spans="4:17" ht="18" customHeight="1">
      <c r="D281" s="1259">
        <v>2022</v>
      </c>
      <c r="E281" s="1254">
        <v>3</v>
      </c>
      <c r="F281" s="1254" t="s">
        <v>632</v>
      </c>
      <c r="G281" s="1254" t="s">
        <v>1280</v>
      </c>
      <c r="H281" s="1254" t="s">
        <v>1281</v>
      </c>
      <c r="I281" s="1254">
        <v>3</v>
      </c>
      <c r="J281" s="1254" t="s">
        <v>473</v>
      </c>
      <c r="K281" s="1254">
        <f>SUMIF('CF.1'!$D:$D,'CFS(연간)'!G281,'CF.1'!$U:$U)</f>
        <v>0</v>
      </c>
      <c r="L281" s="1254">
        <f t="shared" ref="L281:L298" si="22">K281</f>
        <v>0</v>
      </c>
      <c r="M281" s="1260">
        <f t="shared" ref="M281:M301" si="23">L281-K281</f>
        <v>0</v>
      </c>
      <c r="O281" s="1253"/>
      <c r="P281" s="1254">
        <f t="shared" si="21"/>
        <v>0</v>
      </c>
      <c r="Q281" s="1255"/>
    </row>
    <row r="282" spans="4:17" ht="18" customHeight="1">
      <c r="D282" s="1259">
        <v>2022</v>
      </c>
      <c r="E282" s="1254">
        <v>3</v>
      </c>
      <c r="F282" s="1254" t="s">
        <v>632</v>
      </c>
      <c r="G282" s="1254" t="s">
        <v>1282</v>
      </c>
      <c r="H282" s="1254" t="s">
        <v>1283</v>
      </c>
      <c r="I282" s="1254">
        <v>3</v>
      </c>
      <c r="J282" s="1254" t="s">
        <v>473</v>
      </c>
      <c r="K282" s="1254">
        <f>SUMIF('CF.1'!$D:$D,'CFS(연간)'!G282,'CF.1'!$U:$U)</f>
        <v>0</v>
      </c>
      <c r="L282" s="1254">
        <f t="shared" si="22"/>
        <v>0</v>
      </c>
      <c r="M282" s="1260">
        <f t="shared" si="23"/>
        <v>0</v>
      </c>
      <c r="O282" s="1253"/>
      <c r="P282" s="1254">
        <f t="shared" si="21"/>
        <v>0</v>
      </c>
      <c r="Q282" s="1255"/>
    </row>
    <row r="283" spans="4:17" ht="18" customHeight="1">
      <c r="D283" s="1259">
        <v>2022</v>
      </c>
      <c r="E283" s="1254">
        <v>3</v>
      </c>
      <c r="F283" s="1254" t="s">
        <v>632</v>
      </c>
      <c r="G283" s="1254" t="s">
        <v>1284</v>
      </c>
      <c r="H283" s="1254" t="s">
        <v>1285</v>
      </c>
      <c r="I283" s="1254">
        <v>3</v>
      </c>
      <c r="J283" s="1254" t="s">
        <v>473</v>
      </c>
      <c r="K283" s="1254">
        <f>SUMIF('CF.1'!$D:$D,'CFS(연간)'!G283,'CF.1'!$U:$U)</f>
        <v>0</v>
      </c>
      <c r="L283" s="1254">
        <f t="shared" si="22"/>
        <v>0</v>
      </c>
      <c r="M283" s="1260">
        <f t="shared" si="23"/>
        <v>0</v>
      </c>
      <c r="O283" s="1253"/>
      <c r="P283" s="1254">
        <f t="shared" si="21"/>
        <v>0</v>
      </c>
      <c r="Q283" s="1255"/>
    </row>
    <row r="284" spans="4:17" ht="18" customHeight="1">
      <c r="D284" s="1259">
        <v>2022</v>
      </c>
      <c r="E284" s="1254">
        <v>3</v>
      </c>
      <c r="F284" s="1254" t="s">
        <v>632</v>
      </c>
      <c r="G284" s="1254" t="s">
        <v>1286</v>
      </c>
      <c r="H284" s="1254" t="s">
        <v>1287</v>
      </c>
      <c r="I284" s="1254">
        <v>3</v>
      </c>
      <c r="J284" s="1254" t="s">
        <v>473</v>
      </c>
      <c r="K284" s="1254">
        <f>SUMIF('CF.1'!$D:$D,'CFS(연간)'!G284,'CF.1'!$U:$U)</f>
        <v>0</v>
      </c>
      <c r="L284" s="1254">
        <f t="shared" si="22"/>
        <v>0</v>
      </c>
      <c r="M284" s="1260">
        <f t="shared" si="23"/>
        <v>0</v>
      </c>
      <c r="O284" s="1253"/>
      <c r="P284" s="1254">
        <f t="shared" si="21"/>
        <v>0</v>
      </c>
      <c r="Q284" s="1255"/>
    </row>
    <row r="285" spans="4:17" ht="18" customHeight="1">
      <c r="D285" s="1259">
        <v>2022</v>
      </c>
      <c r="E285" s="1254">
        <v>3</v>
      </c>
      <c r="F285" s="1254" t="s">
        <v>632</v>
      </c>
      <c r="G285" s="1254" t="s">
        <v>1288</v>
      </c>
      <c r="H285" s="1254" t="s">
        <v>1289</v>
      </c>
      <c r="I285" s="1254">
        <v>3</v>
      </c>
      <c r="J285" s="1254" t="s">
        <v>473</v>
      </c>
      <c r="K285" s="1254">
        <f>SUMIF('CF.1'!$D:$D,'CFS(연간)'!G285,'CF.1'!$U:$U)</f>
        <v>0</v>
      </c>
      <c r="L285" s="1254">
        <f t="shared" si="22"/>
        <v>0</v>
      </c>
      <c r="M285" s="1260">
        <f t="shared" si="23"/>
        <v>0</v>
      </c>
      <c r="O285" s="1253"/>
      <c r="P285" s="1254">
        <f t="shared" si="21"/>
        <v>0</v>
      </c>
      <c r="Q285" s="1255"/>
    </row>
    <row r="286" spans="4:17" ht="18" customHeight="1">
      <c r="D286" s="1259">
        <v>2022</v>
      </c>
      <c r="E286" s="1254">
        <v>3</v>
      </c>
      <c r="F286" s="1254" t="s">
        <v>632</v>
      </c>
      <c r="G286" s="1254" t="s">
        <v>1290</v>
      </c>
      <c r="H286" s="1254" t="s">
        <v>1291</v>
      </c>
      <c r="I286" s="1254">
        <v>3</v>
      </c>
      <c r="J286" s="1254" t="s">
        <v>473</v>
      </c>
      <c r="K286" s="1254">
        <f>SUMIF('CF.1'!$D:$D,'CFS(연간)'!G286,'CF.1'!$U:$U)</f>
        <v>0</v>
      </c>
      <c r="L286" s="1254">
        <f t="shared" si="22"/>
        <v>0</v>
      </c>
      <c r="M286" s="1260">
        <f t="shared" si="23"/>
        <v>0</v>
      </c>
      <c r="O286" s="1253"/>
      <c r="P286" s="1254">
        <f t="shared" si="21"/>
        <v>0</v>
      </c>
      <c r="Q286" s="1255"/>
    </row>
    <row r="287" spans="4:17" ht="18" customHeight="1">
      <c r="D287" s="1259">
        <v>2022</v>
      </c>
      <c r="E287" s="1254">
        <v>3</v>
      </c>
      <c r="F287" s="1254" t="s">
        <v>632</v>
      </c>
      <c r="G287" s="1254" t="s">
        <v>1292</v>
      </c>
      <c r="H287" s="1254" t="s">
        <v>1140</v>
      </c>
      <c r="I287" s="1254">
        <v>3</v>
      </c>
      <c r="J287" s="1254" t="s">
        <v>473</v>
      </c>
      <c r="K287" s="1254">
        <f>SUMIF('CF.1'!$D:$D,'CFS(연간)'!G287,'CF.1'!$U:$U)</f>
        <v>0</v>
      </c>
      <c r="L287" s="1254">
        <f t="shared" si="22"/>
        <v>0</v>
      </c>
      <c r="M287" s="1260">
        <f t="shared" si="23"/>
        <v>0</v>
      </c>
      <c r="O287" s="1253"/>
      <c r="P287" s="1254">
        <f t="shared" si="21"/>
        <v>0</v>
      </c>
      <c r="Q287" s="1255"/>
    </row>
    <row r="288" spans="4:17" ht="18" customHeight="1">
      <c r="D288" s="1259">
        <v>2022</v>
      </c>
      <c r="E288" s="1254">
        <v>3</v>
      </c>
      <c r="F288" s="1254" t="s">
        <v>632</v>
      </c>
      <c r="G288" s="1254" t="s">
        <v>1293</v>
      </c>
      <c r="H288" s="1254" t="s">
        <v>1142</v>
      </c>
      <c r="I288" s="1254">
        <v>3</v>
      </c>
      <c r="J288" s="1254" t="s">
        <v>473</v>
      </c>
      <c r="K288" s="1254">
        <f>SUMIF('CF.1'!$D:$D,'CFS(연간)'!G288,'CF.1'!$U:$U)</f>
        <v>0</v>
      </c>
      <c r="L288" s="1254">
        <f t="shared" si="22"/>
        <v>0</v>
      </c>
      <c r="M288" s="1260">
        <f t="shared" si="23"/>
        <v>0</v>
      </c>
      <c r="O288" s="1253"/>
      <c r="P288" s="1254">
        <f t="shared" si="21"/>
        <v>0</v>
      </c>
      <c r="Q288" s="1255"/>
    </row>
    <row r="289" spans="4:17" ht="18" customHeight="1">
      <c r="D289" s="1259">
        <v>2022</v>
      </c>
      <c r="E289" s="1254">
        <v>3</v>
      </c>
      <c r="F289" s="1254" t="s">
        <v>632</v>
      </c>
      <c r="G289" s="1254" t="s">
        <v>1294</v>
      </c>
      <c r="H289" s="1254" t="s">
        <v>1295</v>
      </c>
      <c r="I289" s="1254">
        <v>3</v>
      </c>
      <c r="J289" s="509" t="s">
        <v>473</v>
      </c>
      <c r="K289" s="1254">
        <f>SUMIF('CF.1'!$D:$D,'CFS(연간)'!G289,'CF.1'!$U:$U)</f>
        <v>0</v>
      </c>
      <c r="L289" s="1254">
        <f t="shared" si="22"/>
        <v>0</v>
      </c>
      <c r="M289" s="1260">
        <f t="shared" si="23"/>
        <v>0</v>
      </c>
      <c r="O289" s="1253"/>
      <c r="P289" s="1254">
        <f t="shared" si="21"/>
        <v>0</v>
      </c>
      <c r="Q289" s="1255"/>
    </row>
    <row r="290" spans="4:17" ht="18" customHeight="1">
      <c r="D290" s="1259">
        <v>2022</v>
      </c>
      <c r="E290" s="1254">
        <v>3</v>
      </c>
      <c r="F290" s="1254" t="s">
        <v>632</v>
      </c>
      <c r="G290" s="1254" t="s">
        <v>1296</v>
      </c>
      <c r="H290" s="1254" t="s">
        <v>1297</v>
      </c>
      <c r="I290" s="1254">
        <v>3</v>
      </c>
      <c r="J290" s="1254" t="s">
        <v>473</v>
      </c>
      <c r="K290" s="1254">
        <f>SUMIF('CF.1'!$D:$D,'CFS(연간)'!G290,'CF.1'!$U:$U)</f>
        <v>0</v>
      </c>
      <c r="L290" s="1254">
        <f t="shared" si="22"/>
        <v>0</v>
      </c>
      <c r="M290" s="1260">
        <f t="shared" si="23"/>
        <v>0</v>
      </c>
      <c r="O290" s="1253"/>
      <c r="P290" s="1254">
        <f t="shared" si="21"/>
        <v>0</v>
      </c>
      <c r="Q290" s="1255"/>
    </row>
    <row r="291" spans="4:17" ht="18" customHeight="1">
      <c r="D291" s="1259">
        <v>2022</v>
      </c>
      <c r="E291" s="1254">
        <v>3</v>
      </c>
      <c r="F291" s="1254" t="s">
        <v>632</v>
      </c>
      <c r="G291" s="1254" t="s">
        <v>1298</v>
      </c>
      <c r="H291" s="1254" t="s">
        <v>1299</v>
      </c>
      <c r="I291" s="1254">
        <v>3</v>
      </c>
      <c r="J291" s="1254" t="s">
        <v>473</v>
      </c>
      <c r="K291" s="1254">
        <f>SUMIF('CF.1'!$D:$D,'CFS(연간)'!G291,'CF.1'!$U:$U)</f>
        <v>0</v>
      </c>
      <c r="L291" s="1254">
        <f t="shared" si="22"/>
        <v>0</v>
      </c>
      <c r="M291" s="1260">
        <f t="shared" si="23"/>
        <v>0</v>
      </c>
      <c r="O291" s="1253"/>
      <c r="P291" s="1254">
        <f t="shared" si="21"/>
        <v>0</v>
      </c>
      <c r="Q291" s="1255"/>
    </row>
    <row r="292" spans="4:17" ht="18" customHeight="1">
      <c r="D292" s="1259">
        <v>2022</v>
      </c>
      <c r="E292" s="1254">
        <v>3</v>
      </c>
      <c r="F292" s="1254" t="s">
        <v>632</v>
      </c>
      <c r="G292" s="1254" t="s">
        <v>1300</v>
      </c>
      <c r="H292" s="1254" t="s">
        <v>1523</v>
      </c>
      <c r="I292" s="1254">
        <v>3</v>
      </c>
      <c r="J292" s="1254" t="s">
        <v>473</v>
      </c>
      <c r="K292" s="1254">
        <f>SUMIF('CF.1'!$D:$D,'CFS(연간)'!G292,'CF.1'!$U:$U)</f>
        <v>0</v>
      </c>
      <c r="L292" s="1254">
        <f t="shared" si="22"/>
        <v>0</v>
      </c>
      <c r="M292" s="1260">
        <f t="shared" si="23"/>
        <v>0</v>
      </c>
      <c r="O292" s="1253"/>
      <c r="P292" s="1254">
        <f t="shared" si="21"/>
        <v>0</v>
      </c>
      <c r="Q292" s="1255"/>
    </row>
    <row r="293" spans="4:17" ht="18" customHeight="1">
      <c r="D293" s="1259">
        <v>2022</v>
      </c>
      <c r="E293" s="1254">
        <v>3</v>
      </c>
      <c r="F293" s="1254" t="s">
        <v>632</v>
      </c>
      <c r="G293" s="1254" t="s">
        <v>1302</v>
      </c>
      <c r="H293" s="1254" t="s">
        <v>1303</v>
      </c>
      <c r="I293" s="1254">
        <v>3</v>
      </c>
      <c r="J293" s="1254" t="s">
        <v>473</v>
      </c>
      <c r="K293" s="1254">
        <f>SUMIF('CF.1'!$D:$D,'CFS(연간)'!G293,'CF.1'!$U:$U)</f>
        <v>0</v>
      </c>
      <c r="L293" s="1254">
        <f t="shared" si="22"/>
        <v>0</v>
      </c>
      <c r="M293" s="1260">
        <f t="shared" si="23"/>
        <v>0</v>
      </c>
      <c r="O293" s="1253"/>
      <c r="P293" s="1254">
        <f t="shared" si="21"/>
        <v>0</v>
      </c>
      <c r="Q293" s="1255"/>
    </row>
    <row r="294" spans="4:17" ht="18" customHeight="1">
      <c r="D294" s="1259">
        <v>2022</v>
      </c>
      <c r="E294" s="1254">
        <v>3</v>
      </c>
      <c r="F294" s="1254" t="s">
        <v>632</v>
      </c>
      <c r="G294" s="1254" t="s">
        <v>1304</v>
      </c>
      <c r="H294" s="1254" t="s">
        <v>1305</v>
      </c>
      <c r="I294" s="1254">
        <v>3</v>
      </c>
      <c r="J294" s="1254" t="s">
        <v>473</v>
      </c>
      <c r="K294" s="1254">
        <f>SUMIF('CF.1'!$D:$D,'CFS(연간)'!G294,'CF.1'!$U:$U)</f>
        <v>0</v>
      </c>
      <c r="L294" s="1254">
        <f t="shared" si="22"/>
        <v>0</v>
      </c>
      <c r="M294" s="1260">
        <f t="shared" si="23"/>
        <v>0</v>
      </c>
      <c r="O294" s="1253"/>
      <c r="P294" s="1254">
        <f t="shared" si="21"/>
        <v>0</v>
      </c>
      <c r="Q294" s="1255"/>
    </row>
    <row r="295" spans="4:17" ht="18" customHeight="1">
      <c r="D295" s="1259">
        <v>2022</v>
      </c>
      <c r="E295" s="1254">
        <v>3</v>
      </c>
      <c r="F295" s="1254" t="s">
        <v>632</v>
      </c>
      <c r="G295" s="1254" t="s">
        <v>1306</v>
      </c>
      <c r="H295" s="1254" t="s">
        <v>1307</v>
      </c>
      <c r="I295" s="1254">
        <v>3</v>
      </c>
      <c r="J295" s="1254" t="s">
        <v>473</v>
      </c>
      <c r="K295" s="1254">
        <f>SUMIF('CF.1'!$D:$D,'CFS(연간)'!G295,'CF.1'!$U:$U)</f>
        <v>-2082310922</v>
      </c>
      <c r="L295" s="1254">
        <f t="shared" si="22"/>
        <v>-2082310922</v>
      </c>
      <c r="M295" s="1260">
        <f t="shared" si="23"/>
        <v>0</v>
      </c>
      <c r="O295" s="1253"/>
      <c r="P295" s="1254">
        <f t="shared" si="21"/>
        <v>2082310922</v>
      </c>
      <c r="Q295" s="1255"/>
    </row>
    <row r="296" spans="4:17" ht="18" customHeight="1">
      <c r="D296" s="1259">
        <v>2022</v>
      </c>
      <c r="E296" s="1254">
        <v>3</v>
      </c>
      <c r="F296" s="1254" t="s">
        <v>632</v>
      </c>
      <c r="G296" s="1254" t="s">
        <v>1308</v>
      </c>
      <c r="H296" s="1254" t="s">
        <v>1309</v>
      </c>
      <c r="I296" s="1254">
        <v>3</v>
      </c>
      <c r="J296" s="1254" t="s">
        <v>473</v>
      </c>
      <c r="K296" s="1254">
        <f>SUMIF('CF.1'!$D:$D,'CFS(연간)'!G296,'CF.1'!$U:$U)</f>
        <v>0</v>
      </c>
      <c r="L296" s="1254">
        <f t="shared" si="22"/>
        <v>0</v>
      </c>
      <c r="M296" s="1260">
        <f t="shared" si="23"/>
        <v>0</v>
      </c>
      <c r="O296" s="1253"/>
      <c r="P296" s="1254">
        <f t="shared" si="21"/>
        <v>0</v>
      </c>
      <c r="Q296" s="1255"/>
    </row>
    <row r="297" spans="4:17" ht="18" customHeight="1">
      <c r="D297" s="1259">
        <v>2022</v>
      </c>
      <c r="E297" s="1254">
        <v>3</v>
      </c>
      <c r="F297" s="1254" t="s">
        <v>632</v>
      </c>
      <c r="G297" s="1254" t="s">
        <v>1524</v>
      </c>
      <c r="H297" s="1254" t="s">
        <v>1525</v>
      </c>
      <c r="I297" s="1254">
        <v>3</v>
      </c>
      <c r="J297" s="1254" t="s">
        <v>473</v>
      </c>
      <c r="K297" s="1254">
        <f>SUMIF('CF.1'!$D:$D,'CFS(연간)'!G297,'CF.1'!$U:$U)</f>
        <v>0</v>
      </c>
      <c r="L297" s="1254">
        <f t="shared" si="22"/>
        <v>0</v>
      </c>
      <c r="M297" s="1260">
        <f t="shared" si="23"/>
        <v>0</v>
      </c>
      <c r="O297" s="1253"/>
      <c r="P297" s="1254">
        <f t="shared" si="21"/>
        <v>0</v>
      </c>
      <c r="Q297" s="1255"/>
    </row>
    <row r="298" spans="4:17" ht="18" customHeight="1">
      <c r="D298" s="1259">
        <v>2022</v>
      </c>
      <c r="E298" s="1254">
        <v>3</v>
      </c>
      <c r="F298" s="1254" t="s">
        <v>632</v>
      </c>
      <c r="G298" s="1254" t="s">
        <v>1312</v>
      </c>
      <c r="H298" s="1254" t="s">
        <v>1313</v>
      </c>
      <c r="I298" s="1254">
        <v>3</v>
      </c>
      <c r="J298" s="1254" t="s">
        <v>473</v>
      </c>
      <c r="K298" s="1254">
        <f>SUMIF('CF.1'!$D:$D,'CFS(연간)'!G298,'CF.1'!$U:$U)</f>
        <v>0</v>
      </c>
      <c r="L298" s="1254">
        <f t="shared" si="22"/>
        <v>0</v>
      </c>
      <c r="M298" s="1260">
        <f t="shared" si="23"/>
        <v>0</v>
      </c>
      <c r="O298" s="1253"/>
      <c r="P298" s="1254">
        <f t="shared" si="21"/>
        <v>0</v>
      </c>
      <c r="Q298" s="1255"/>
    </row>
    <row r="299" spans="4:17" ht="18" customHeight="1">
      <c r="D299" s="1261">
        <v>2022</v>
      </c>
      <c r="E299" s="1262">
        <v>3</v>
      </c>
      <c r="F299" s="1262" t="s">
        <v>632</v>
      </c>
      <c r="G299" s="1262" t="s">
        <v>1314</v>
      </c>
      <c r="H299" s="1262" t="s">
        <v>1315</v>
      </c>
      <c r="I299" s="1262">
        <v>1</v>
      </c>
      <c r="J299" s="1262" t="s">
        <v>473</v>
      </c>
      <c r="K299" s="1262">
        <f t="shared" ref="K299:M300" si="24">K300</f>
        <v>1334300764</v>
      </c>
      <c r="L299" s="1262">
        <f t="shared" si="24"/>
        <v>1322534764</v>
      </c>
      <c r="M299" s="1263">
        <f t="shared" si="24"/>
        <v>-11766000</v>
      </c>
      <c r="O299" s="1253"/>
      <c r="P299" s="1254">
        <f t="shared" si="21"/>
        <v>-1322534764</v>
      </c>
      <c r="Q299" s="1255"/>
    </row>
    <row r="300" spans="4:17" ht="18" customHeight="1">
      <c r="D300" s="1261">
        <v>2022</v>
      </c>
      <c r="E300" s="1262">
        <v>3</v>
      </c>
      <c r="F300" s="1262" t="s">
        <v>632</v>
      </c>
      <c r="G300" s="1262" t="s">
        <v>1316</v>
      </c>
      <c r="H300" s="1262" t="s">
        <v>1315</v>
      </c>
      <c r="I300" s="1262">
        <v>2</v>
      </c>
      <c r="J300" s="1262" t="s">
        <v>473</v>
      </c>
      <c r="K300" s="1262">
        <f t="shared" si="24"/>
        <v>1334300764</v>
      </c>
      <c r="L300" s="1262">
        <f t="shared" si="24"/>
        <v>1322534764</v>
      </c>
      <c r="M300" s="1263">
        <f t="shared" si="24"/>
        <v>-11766000</v>
      </c>
      <c r="O300" s="1253"/>
      <c r="P300" s="1254">
        <f t="shared" si="21"/>
        <v>-1322534764</v>
      </c>
      <c r="Q300" s="1255"/>
    </row>
    <row r="301" spans="4:17" ht="18" customHeight="1">
      <c r="D301" s="1259">
        <v>2022</v>
      </c>
      <c r="E301" s="1254">
        <v>3</v>
      </c>
      <c r="F301" s="1254" t="s">
        <v>632</v>
      </c>
      <c r="G301" s="1254" t="s">
        <v>1317</v>
      </c>
      <c r="H301" s="1254" t="s">
        <v>1318</v>
      </c>
      <c r="I301" s="1254">
        <v>3</v>
      </c>
      <c r="J301" s="1254" t="s">
        <v>473</v>
      </c>
      <c r="K301" s="1265">
        <f>SUMIF('CF.1'!$D:$D,'CFS(연간)'!G301,'CF.1'!$U:$U)</f>
        <v>1334300764</v>
      </c>
      <c r="L301" s="1265">
        <v>1322534764</v>
      </c>
      <c r="M301" s="1266">
        <f t="shared" si="23"/>
        <v>-11766000</v>
      </c>
      <c r="O301" s="1253"/>
      <c r="P301" s="1254">
        <f t="shared" si="21"/>
        <v>-1322534764</v>
      </c>
      <c r="Q301" s="1255"/>
    </row>
    <row r="302" spans="4:17" ht="18" customHeight="1">
      <c r="D302" s="1277">
        <v>2022</v>
      </c>
      <c r="E302" s="1278">
        <v>3</v>
      </c>
      <c r="F302" s="1278" t="s">
        <v>632</v>
      </c>
      <c r="G302" s="1278" t="s">
        <v>1319</v>
      </c>
      <c r="H302" s="1278" t="s">
        <v>1526</v>
      </c>
      <c r="I302" s="1278">
        <v>1</v>
      </c>
      <c r="J302" s="1278" t="s">
        <v>473</v>
      </c>
      <c r="K302" s="1278">
        <f t="shared" ref="K302:M303" si="25">K303</f>
        <v>0</v>
      </c>
      <c r="L302" s="1278">
        <f t="shared" si="25"/>
        <v>0</v>
      </c>
      <c r="M302" s="1279">
        <f t="shared" si="25"/>
        <v>0</v>
      </c>
      <c r="O302" s="1253"/>
      <c r="P302" s="1254">
        <f t="shared" si="21"/>
        <v>0</v>
      </c>
      <c r="Q302" s="1255"/>
    </row>
    <row r="303" spans="4:17" ht="18" customHeight="1">
      <c r="D303" s="1277">
        <v>2022</v>
      </c>
      <c r="E303" s="1278">
        <v>3</v>
      </c>
      <c r="F303" s="1278" t="s">
        <v>632</v>
      </c>
      <c r="G303" s="1278" t="s">
        <v>1321</v>
      </c>
      <c r="H303" s="1278" t="s">
        <v>1526</v>
      </c>
      <c r="I303" s="1278">
        <v>2</v>
      </c>
      <c r="J303" s="1278" t="s">
        <v>473</v>
      </c>
      <c r="K303" s="1278">
        <f t="shared" si="25"/>
        <v>0</v>
      </c>
      <c r="L303" s="1278">
        <f t="shared" si="25"/>
        <v>0</v>
      </c>
      <c r="M303" s="1279">
        <f t="shared" si="25"/>
        <v>0</v>
      </c>
      <c r="O303" s="1253"/>
      <c r="P303" s="1254">
        <f t="shared" si="21"/>
        <v>0</v>
      </c>
      <c r="Q303" s="1255"/>
    </row>
    <row r="304" spans="4:17" ht="18" customHeight="1">
      <c r="D304" s="1259">
        <v>2022</v>
      </c>
      <c r="E304" s="1254">
        <v>3</v>
      </c>
      <c r="F304" s="1254" t="s">
        <v>632</v>
      </c>
      <c r="G304" s="1254" t="s">
        <v>1322</v>
      </c>
      <c r="H304" s="1254" t="s">
        <v>1527</v>
      </c>
      <c r="I304" s="1254">
        <v>3</v>
      </c>
      <c r="J304" s="1254" t="s">
        <v>473</v>
      </c>
      <c r="K304" s="1254">
        <f>SUMIF('CF.1'!$D:$D,'CFS(연간)'!G304,'CF.1'!$U:$U)</f>
        <v>0</v>
      </c>
      <c r="L304" s="1254">
        <f>K304</f>
        <v>0</v>
      </c>
      <c r="M304" s="1260">
        <f t="shared" ref="M304:M314" si="26">L304-K304</f>
        <v>0</v>
      </c>
      <c r="O304" s="1253"/>
      <c r="P304" s="1254">
        <f t="shared" si="21"/>
        <v>0</v>
      </c>
      <c r="Q304" s="1255"/>
    </row>
    <row r="305" spans="4:17" ht="18" customHeight="1">
      <c r="D305" s="1277">
        <v>2022</v>
      </c>
      <c r="E305" s="1278">
        <v>3</v>
      </c>
      <c r="F305" s="1278" t="s">
        <v>632</v>
      </c>
      <c r="G305" s="1278" t="s">
        <v>1324</v>
      </c>
      <c r="H305" s="1278" t="s">
        <v>1325</v>
      </c>
      <c r="I305" s="1278">
        <v>1</v>
      </c>
      <c r="J305" s="1278" t="s">
        <v>473</v>
      </c>
      <c r="K305" s="1278">
        <f>K299+K258+K155+K5</f>
        <v>7830315776</v>
      </c>
      <c r="L305" s="1278">
        <f>L299+L258+L155+L5</f>
        <v>7521243776</v>
      </c>
      <c r="M305" s="1279">
        <f t="shared" si="26"/>
        <v>-309072000</v>
      </c>
      <c r="O305" s="1253"/>
      <c r="P305" s="1254">
        <f t="shared" si="21"/>
        <v>-7521243776</v>
      </c>
      <c r="Q305" s="1255"/>
    </row>
    <row r="306" spans="4:17" ht="18" customHeight="1">
      <c r="D306" s="1277">
        <v>2022</v>
      </c>
      <c r="E306" s="1278">
        <v>3</v>
      </c>
      <c r="F306" s="1278" t="s">
        <v>632</v>
      </c>
      <c r="G306" s="1278" t="s">
        <v>1326</v>
      </c>
      <c r="H306" s="1278" t="s">
        <v>1327</v>
      </c>
      <c r="I306" s="1278">
        <v>1</v>
      </c>
      <c r="J306" s="1278" t="s">
        <v>473</v>
      </c>
      <c r="K306" s="1278">
        <f>K307</f>
        <v>132018644520</v>
      </c>
      <c r="L306" s="1278">
        <f>L307</f>
        <v>132327716520</v>
      </c>
      <c r="M306" s="1279">
        <f t="shared" si="26"/>
        <v>309072000</v>
      </c>
      <c r="O306" s="1253"/>
      <c r="P306" s="1254">
        <f t="shared" si="21"/>
        <v>-132327716520</v>
      </c>
      <c r="Q306" s="1255"/>
    </row>
    <row r="307" spans="4:17" ht="18" customHeight="1">
      <c r="D307" s="1277">
        <v>2022</v>
      </c>
      <c r="E307" s="1278">
        <v>3</v>
      </c>
      <c r="F307" s="1278" t="s">
        <v>632</v>
      </c>
      <c r="G307" s="1278" t="s">
        <v>1328</v>
      </c>
      <c r="H307" s="1278" t="s">
        <v>1327</v>
      </c>
      <c r="I307" s="1278">
        <v>2</v>
      </c>
      <c r="J307" s="1278" t="s">
        <v>473</v>
      </c>
      <c r="K307" s="1278">
        <f>K308</f>
        <v>132018644520</v>
      </c>
      <c r="L307" s="1278">
        <f>L308</f>
        <v>132327716520</v>
      </c>
      <c r="M307" s="1279">
        <f t="shared" si="26"/>
        <v>309072000</v>
      </c>
      <c r="O307" s="1253"/>
      <c r="P307" s="1254">
        <f t="shared" si="21"/>
        <v>-132327716520</v>
      </c>
      <c r="Q307" s="1255"/>
    </row>
    <row r="308" spans="4:17" ht="18" customHeight="1">
      <c r="D308" s="1259">
        <v>2022</v>
      </c>
      <c r="E308" s="1254">
        <v>3</v>
      </c>
      <c r="F308" s="1254" t="s">
        <v>632</v>
      </c>
      <c r="G308" s="1254" t="s">
        <v>1329</v>
      </c>
      <c r="H308" s="1254" t="s">
        <v>1330</v>
      </c>
      <c r="I308" s="1254">
        <v>3</v>
      </c>
      <c r="J308" s="1254" t="s">
        <v>473</v>
      </c>
      <c r="K308" s="1265">
        <f>SUMIF('CF.1'!$D:$D,'CFS(연간)'!G308,'CF.1'!$U:$U)</f>
        <v>132018644520</v>
      </c>
      <c r="L308" s="1265">
        <v>132327716520</v>
      </c>
      <c r="M308" s="1266">
        <f t="shared" si="26"/>
        <v>309072000</v>
      </c>
      <c r="O308" s="1253"/>
      <c r="P308" s="1254">
        <f t="shared" si="21"/>
        <v>-132327716520</v>
      </c>
      <c r="Q308" s="1255"/>
    </row>
    <row r="309" spans="4:17" ht="18" customHeight="1">
      <c r="D309" s="1277">
        <v>2022</v>
      </c>
      <c r="E309" s="1278">
        <v>3</v>
      </c>
      <c r="F309" s="1278" t="s">
        <v>632</v>
      </c>
      <c r="G309" s="1278" t="s">
        <v>1331</v>
      </c>
      <c r="H309" s="1278" t="s">
        <v>1332</v>
      </c>
      <c r="I309" s="1278">
        <v>1</v>
      </c>
      <c r="J309" s="1278" t="s">
        <v>473</v>
      </c>
      <c r="K309" s="1278">
        <f t="shared" ref="K309:M310" si="27">K310</f>
        <v>145337843155</v>
      </c>
      <c r="L309" s="1278">
        <f t="shared" si="27"/>
        <v>145337843155</v>
      </c>
      <c r="M309" s="1279">
        <f t="shared" si="27"/>
        <v>0</v>
      </c>
      <c r="O309" s="1253"/>
      <c r="P309" s="1254">
        <f t="shared" si="21"/>
        <v>-145337843155</v>
      </c>
      <c r="Q309" s="1255"/>
    </row>
    <row r="310" spans="4:17" ht="18" customHeight="1">
      <c r="D310" s="1277">
        <v>2022</v>
      </c>
      <c r="E310" s="1278">
        <v>3</v>
      </c>
      <c r="F310" s="1278" t="s">
        <v>632</v>
      </c>
      <c r="G310" s="1278" t="s">
        <v>1333</v>
      </c>
      <c r="H310" s="1278" t="s">
        <v>1332</v>
      </c>
      <c r="I310" s="1278">
        <v>2</v>
      </c>
      <c r="J310" s="1278" t="s">
        <v>473</v>
      </c>
      <c r="K310" s="1278">
        <f t="shared" si="27"/>
        <v>145337843155</v>
      </c>
      <c r="L310" s="1278">
        <f t="shared" si="27"/>
        <v>145337843155</v>
      </c>
      <c r="M310" s="1279">
        <f t="shared" si="27"/>
        <v>0</v>
      </c>
      <c r="O310" s="1253"/>
      <c r="P310" s="1254">
        <f t="shared" si="21"/>
        <v>-145337843155</v>
      </c>
      <c r="Q310" s="1255"/>
    </row>
    <row r="311" spans="4:17" ht="18" customHeight="1">
      <c r="D311" s="1259">
        <v>2022</v>
      </c>
      <c r="E311" s="1254">
        <v>3</v>
      </c>
      <c r="F311" s="1254" t="s">
        <v>632</v>
      </c>
      <c r="G311" s="1254" t="s">
        <v>1334</v>
      </c>
      <c r="H311" s="1254" t="s">
        <v>1335</v>
      </c>
      <c r="I311" s="1254">
        <v>3</v>
      </c>
      <c r="J311" s="1254" t="s">
        <v>473</v>
      </c>
      <c r="K311" s="1254">
        <f>SUMIF('CF.1'!$D:$D,'CFS(연간)'!G311,'CF.1'!$U:$U)</f>
        <v>145337843155</v>
      </c>
      <c r="L311" s="1254">
        <f>K311</f>
        <v>145337843155</v>
      </c>
      <c r="M311" s="1260">
        <f t="shared" si="26"/>
        <v>0</v>
      </c>
      <c r="O311" s="1253"/>
      <c r="P311" s="1254">
        <f t="shared" si="21"/>
        <v>-145337843155</v>
      </c>
      <c r="Q311" s="1255"/>
    </row>
    <row r="312" spans="4:17" ht="18" customHeight="1">
      <c r="D312" s="1277">
        <v>2022</v>
      </c>
      <c r="E312" s="1278">
        <v>3</v>
      </c>
      <c r="F312" s="1278" t="s">
        <v>632</v>
      </c>
      <c r="G312" s="1278" t="s">
        <v>1336</v>
      </c>
      <c r="H312" s="1278" t="s">
        <v>1337</v>
      </c>
      <c r="I312" s="1278">
        <v>1</v>
      </c>
      <c r="J312" s="1278" t="s">
        <v>473</v>
      </c>
      <c r="K312" s="1278">
        <v>0</v>
      </c>
      <c r="L312" s="1278">
        <v>0</v>
      </c>
      <c r="M312" s="1279">
        <f t="shared" si="26"/>
        <v>0</v>
      </c>
      <c r="O312" s="1253"/>
      <c r="P312" s="1254">
        <f t="shared" si="21"/>
        <v>0</v>
      </c>
      <c r="Q312" s="1255"/>
    </row>
    <row r="313" spans="4:17" ht="18" customHeight="1">
      <c r="D313" s="1277">
        <v>2022</v>
      </c>
      <c r="E313" s="1278">
        <v>3</v>
      </c>
      <c r="F313" s="1278" t="s">
        <v>632</v>
      </c>
      <c r="G313" s="1278" t="s">
        <v>1338</v>
      </c>
      <c r="H313" s="1278" t="s">
        <v>1337</v>
      </c>
      <c r="I313" s="1278">
        <v>2</v>
      </c>
      <c r="J313" s="1278" t="s">
        <v>473</v>
      </c>
      <c r="K313" s="1278">
        <v>0</v>
      </c>
      <c r="L313" s="1278">
        <v>0</v>
      </c>
      <c r="M313" s="1279">
        <f t="shared" si="26"/>
        <v>0</v>
      </c>
      <c r="O313" s="1253"/>
      <c r="P313" s="1254">
        <f t="shared" si="21"/>
        <v>0</v>
      </c>
      <c r="Q313" s="1255"/>
    </row>
    <row r="314" spans="4:17" ht="18" customHeight="1" thickBot="1">
      <c r="D314" s="1280">
        <v>2022</v>
      </c>
      <c r="E314" s="1281">
        <v>3</v>
      </c>
      <c r="F314" s="1281" t="s">
        <v>632</v>
      </c>
      <c r="G314" s="1281" t="s">
        <v>1339</v>
      </c>
      <c r="H314" s="1281" t="s">
        <v>1340</v>
      </c>
      <c r="I314" s="1281">
        <v>3</v>
      </c>
      <c r="J314" s="1281" t="s">
        <v>473</v>
      </c>
      <c r="K314" s="1281">
        <f>SUMIF('CF.1'!$D:$D,'CFS(연간)'!G314,'CF.1'!$U:$U)</f>
        <v>0</v>
      </c>
      <c r="L314" s="1282">
        <f>K314</f>
        <v>0</v>
      </c>
      <c r="M314" s="1283">
        <f t="shared" si="26"/>
        <v>0</v>
      </c>
      <c r="O314" s="1284"/>
      <c r="P314" s="1285">
        <f t="shared" si="21"/>
        <v>0</v>
      </c>
      <c r="Q314" s="1286"/>
    </row>
    <row r="315" spans="4:17" ht="18" customHeight="1" thickBot="1">
      <c r="D315" s="1287"/>
      <c r="E315" s="1288"/>
      <c r="F315" s="1288"/>
      <c r="G315" s="1288"/>
      <c r="H315" s="1288"/>
      <c r="I315" s="1288"/>
      <c r="J315" s="1288"/>
      <c r="K315" s="1288">
        <f>K305+K306-K311</f>
        <v>-5488882859</v>
      </c>
      <c r="L315" s="1288">
        <f>L305+L306-L311</f>
        <v>-5488882859</v>
      </c>
      <c r="M315" s="1289"/>
    </row>
  </sheetData>
  <autoFilter ref="D4:M315" xr:uid="{00000000-0009-0000-0000-000014000000}"/>
  <phoneticPr fontId="22" type="noConversion"/>
  <pageMargins left="0.7" right="0.7" top="0.75" bottom="0.75" header="0.3" footer="0.3"/>
  <pageSetup orientation="portrait" r:id="rId1"/>
  <ignoredErrors>
    <ignoredError sqref="K310:M310 K280:K309 L206:N206 L8:M8 L112:N116 K62:M65 L149:N168 L210:N219 M209:N209 L302:N304 L309:N309 M308:N308 L105:N110 L306:N307 M305:N305 L208:N208 M207:N207 K66:M68 L169:N204 L220:N300 P112:P116 P105:P110 M301:N301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 filterMode="1">
    <tabColor rgb="FFFFFF00"/>
  </sheetPr>
  <dimension ref="A2:O182"/>
  <sheetViews>
    <sheetView showGridLines="0" zoomScale="85" zoomScaleNormal="85" workbookViewId="0">
      <pane xSplit="5" ySplit="4" topLeftCell="F26" activePane="bottomRight" state="frozen"/>
      <selection activeCell="V34" sqref="V34"/>
      <selection pane="topRight" activeCell="V34" sqref="V34"/>
      <selection pane="bottomLeft" activeCell="V34" sqref="V34"/>
      <selection pane="bottomRight" activeCell="L2" sqref="L2"/>
    </sheetView>
  </sheetViews>
  <sheetFormatPr defaultColWidth="8.75" defaultRowHeight="18" customHeight="1"/>
  <cols>
    <col min="1" max="3" width="2.375" style="710" customWidth="1"/>
    <col min="4" max="4" width="15.25" style="1214" bestFit="1" customWidth="1"/>
    <col min="5" max="5" width="12.375" style="1215" bestFit="1" customWidth="1"/>
    <col min="6" max="6" width="32.75" style="1216" bestFit="1" customWidth="1"/>
    <col min="7" max="7" width="12.375" style="1214" bestFit="1" customWidth="1"/>
    <col min="8" max="8" width="11.875" style="1214" customWidth="1"/>
    <col min="9" max="9" width="15.25" style="1214" bestFit="1" customWidth="1"/>
    <col min="10" max="10" width="15.625" style="1238" customWidth="1"/>
    <col min="11" max="11" width="17.375" style="1214" bestFit="1" customWidth="1"/>
    <col min="12" max="12" width="15.625" style="1239" customWidth="1"/>
    <col min="13" max="13" width="10.125" style="562" bestFit="1" customWidth="1"/>
    <col min="14" max="14" width="2.25" style="509" customWidth="1"/>
    <col min="15" max="15" width="13.5" style="509" bestFit="1" customWidth="1"/>
    <col min="16" max="17" width="12.625" style="509" bestFit="1" customWidth="1"/>
    <col min="18" max="16384" width="8.75" style="509"/>
  </cols>
  <sheetData>
    <row r="2" spans="1:15" ht="18" customHeight="1">
      <c r="J2" s="1217"/>
      <c r="K2" s="1217"/>
      <c r="L2" s="1217">
        <f>SUBTOTAL(9,L5:L174)</f>
        <v>281479038632</v>
      </c>
      <c r="O2" s="562"/>
    </row>
    <row r="3" spans="1:15" s="935" customFormat="1" ht="18" customHeight="1" thickBot="1">
      <c r="A3" s="934"/>
      <c r="B3" s="934"/>
      <c r="C3" s="934"/>
      <c r="D3" s="1217"/>
      <c r="E3" s="1218"/>
      <c r="F3" s="1219"/>
      <c r="G3" s="1217"/>
      <c r="H3" s="1217"/>
      <c r="I3" s="1217"/>
      <c r="J3" s="1217">
        <f>SUM(J5:J174)</f>
        <v>0</v>
      </c>
      <c r="K3" s="1217"/>
      <c r="L3" s="1217">
        <f>SUM(L5:L174)</f>
        <v>0</v>
      </c>
    </row>
    <row r="4" spans="1:15" s="935" customFormat="1" ht="18" customHeight="1">
      <c r="A4" s="934"/>
      <c r="B4" s="934"/>
      <c r="C4" s="934"/>
      <c r="D4" s="536" t="s">
        <v>626</v>
      </c>
      <c r="E4" s="1220" t="s">
        <v>627</v>
      </c>
      <c r="F4" s="537" t="s">
        <v>628</v>
      </c>
      <c r="G4" s="537" t="s">
        <v>629</v>
      </c>
      <c r="H4" s="537" t="s">
        <v>630</v>
      </c>
      <c r="I4" s="537" t="s">
        <v>631</v>
      </c>
      <c r="J4" s="537" t="s">
        <v>2360</v>
      </c>
      <c r="K4" s="537" t="s">
        <v>631</v>
      </c>
      <c r="L4" s="1221" t="str">
        <f>T_BS!X3</f>
        <v>2022.12.31</v>
      </c>
      <c r="M4" s="935" t="s">
        <v>2048</v>
      </c>
    </row>
    <row r="5" spans="1:15" ht="18" hidden="1" customHeight="1">
      <c r="C5" s="710">
        <v>1</v>
      </c>
      <c r="D5" s="1222" t="s">
        <v>1887</v>
      </c>
      <c r="E5" s="1223">
        <v>1101</v>
      </c>
      <c r="F5" s="670" t="s">
        <v>633</v>
      </c>
      <c r="G5" s="1224">
        <v>1000</v>
      </c>
      <c r="H5" s="1224"/>
      <c r="I5" s="1224" t="s">
        <v>473</v>
      </c>
      <c r="J5" s="668">
        <f t="shared" ref="J5:J23" si="0">+L5</f>
        <v>0</v>
      </c>
      <c r="K5" s="1224" t="s">
        <v>473</v>
      </c>
      <c r="L5" s="1225">
        <f>ROUND(SUMIF(T_BS!$F:$F,T198_TB!E5,T_BS!$X:$X),0)</f>
        <v>0</v>
      </c>
      <c r="M5" s="740" t="s">
        <v>0</v>
      </c>
    </row>
    <row r="6" spans="1:15" ht="18" customHeight="1">
      <c r="C6" s="710">
        <v>1</v>
      </c>
      <c r="D6" s="1222" t="s">
        <v>632</v>
      </c>
      <c r="E6" s="1223">
        <v>1102</v>
      </c>
      <c r="F6" s="670" t="s">
        <v>634</v>
      </c>
      <c r="G6" s="1224">
        <v>1000</v>
      </c>
      <c r="H6" s="1224"/>
      <c r="I6" s="1224" t="s">
        <v>473</v>
      </c>
      <c r="J6" s="668">
        <f t="shared" si="0"/>
        <v>145092190441</v>
      </c>
      <c r="K6" s="1224" t="s">
        <v>473</v>
      </c>
      <c r="L6" s="1225">
        <f>ROUND(SUMIF(T_BS!$F:$F,T198_TB!E6,T_BS!$X:$X),0)</f>
        <v>145092190441</v>
      </c>
      <c r="M6" s="740" t="s">
        <v>0</v>
      </c>
    </row>
    <row r="7" spans="1:15" s="710" customFormat="1" ht="18" customHeight="1">
      <c r="C7" s="710">
        <v>1</v>
      </c>
      <c r="D7" s="1222" t="s">
        <v>632</v>
      </c>
      <c r="E7" s="1223">
        <v>1201</v>
      </c>
      <c r="F7" s="670" t="s">
        <v>636</v>
      </c>
      <c r="G7" s="1224">
        <v>1000</v>
      </c>
      <c r="H7" s="1224"/>
      <c r="I7" s="1224" t="s">
        <v>473</v>
      </c>
      <c r="J7" s="668">
        <f t="shared" si="0"/>
        <v>23030221350</v>
      </c>
      <c r="K7" s="1224" t="s">
        <v>473</v>
      </c>
      <c r="L7" s="1225">
        <f>ROUND(SUMIF(T_BS!$F:$F,T198_TB!E7,T_BS!$X:$X),0)</f>
        <v>23030221350</v>
      </c>
      <c r="M7" s="740" t="s">
        <v>0</v>
      </c>
      <c r="O7" s="509"/>
    </row>
    <row r="8" spans="1:15" s="710" customFormat="1" ht="18" customHeight="1">
      <c r="C8" s="710">
        <v>1</v>
      </c>
      <c r="D8" s="1222" t="s">
        <v>632</v>
      </c>
      <c r="E8" s="1223">
        <v>1202</v>
      </c>
      <c r="F8" s="670" t="s">
        <v>637</v>
      </c>
      <c r="G8" s="1224">
        <v>1000</v>
      </c>
      <c r="H8" s="1224"/>
      <c r="I8" s="1224" t="s">
        <v>473</v>
      </c>
      <c r="J8" s="668">
        <f t="shared" si="0"/>
        <v>-1008283464</v>
      </c>
      <c r="K8" s="1224" t="s">
        <v>473</v>
      </c>
      <c r="L8" s="1225">
        <f>ROUND(SUMIF(T_BS!$F:$F,T198_TB!E8,T_BS!$X:$X),0)</f>
        <v>-1008283464</v>
      </c>
      <c r="M8" s="740" t="s">
        <v>0</v>
      </c>
      <c r="O8" s="509"/>
    </row>
    <row r="9" spans="1:15" s="710" customFormat="1" ht="18" customHeight="1">
      <c r="C9" s="710">
        <v>1</v>
      </c>
      <c r="D9" s="1222" t="s">
        <v>632</v>
      </c>
      <c r="E9" s="1223">
        <v>1203</v>
      </c>
      <c r="F9" s="670" t="s">
        <v>638</v>
      </c>
      <c r="G9" s="1224">
        <v>1000</v>
      </c>
      <c r="H9" s="1224"/>
      <c r="I9" s="1224" t="s">
        <v>473</v>
      </c>
      <c r="J9" s="668">
        <f t="shared" si="0"/>
        <v>1943468131</v>
      </c>
      <c r="K9" s="1224" t="s">
        <v>473</v>
      </c>
      <c r="L9" s="1225">
        <f>ROUND(SUMIF(T_BS!$F:$F,T198_TB!E9,T_BS!$X:$X),0)</f>
        <v>1943468131</v>
      </c>
      <c r="M9" s="740" t="s">
        <v>0</v>
      </c>
      <c r="O9" s="509"/>
    </row>
    <row r="10" spans="1:15" s="710" customFormat="1" ht="18" customHeight="1">
      <c r="C10" s="710">
        <v>1</v>
      </c>
      <c r="D10" s="1222" t="s">
        <v>632</v>
      </c>
      <c r="E10" s="1223">
        <v>1208</v>
      </c>
      <c r="F10" s="670" t="s">
        <v>639</v>
      </c>
      <c r="G10" s="1224">
        <v>1000</v>
      </c>
      <c r="H10" s="1224"/>
      <c r="I10" s="1224" t="s">
        <v>473</v>
      </c>
      <c r="J10" s="668">
        <f t="shared" si="0"/>
        <v>29865105638</v>
      </c>
      <c r="K10" s="1224" t="s">
        <v>473</v>
      </c>
      <c r="L10" s="1225">
        <f>ROUND(SUMIF(T_BS!$F:$F,T198_TB!E10,T_BS!$X:$X),0)</f>
        <v>29865105638</v>
      </c>
      <c r="M10" s="740" t="s">
        <v>0</v>
      </c>
      <c r="O10" s="509"/>
    </row>
    <row r="11" spans="1:15" s="710" customFormat="1" ht="18" customHeight="1">
      <c r="C11" s="710">
        <v>1</v>
      </c>
      <c r="D11" s="1222" t="s">
        <v>632</v>
      </c>
      <c r="E11" s="1223">
        <v>1209</v>
      </c>
      <c r="F11" s="670" t="s">
        <v>1782</v>
      </c>
      <c r="G11" s="1224">
        <v>1000</v>
      </c>
      <c r="H11" s="1224"/>
      <c r="I11" s="1224" t="s">
        <v>473</v>
      </c>
      <c r="J11" s="668">
        <f t="shared" si="0"/>
        <v>-4373517551</v>
      </c>
      <c r="K11" s="1224" t="s">
        <v>473</v>
      </c>
      <c r="L11" s="1225">
        <f>ROUND(SUMIF(T_BS!$F:$F,T198_TB!E11,T_BS!$X:$X),0)</f>
        <v>-4373517551</v>
      </c>
      <c r="M11" s="740" t="s">
        <v>0</v>
      </c>
      <c r="O11" s="509"/>
    </row>
    <row r="12" spans="1:15" s="710" customFormat="1" ht="18" customHeight="1">
      <c r="C12" s="710">
        <v>1</v>
      </c>
      <c r="D12" s="1222" t="s">
        <v>632</v>
      </c>
      <c r="E12" s="1223">
        <v>1212</v>
      </c>
      <c r="F12" s="670" t="s">
        <v>36</v>
      </c>
      <c r="G12" s="1224">
        <v>1000</v>
      </c>
      <c r="H12" s="1224"/>
      <c r="I12" s="1224" t="s">
        <v>473</v>
      </c>
      <c r="J12" s="668">
        <f t="shared" si="0"/>
        <v>458253688</v>
      </c>
      <c r="K12" s="1224" t="s">
        <v>473</v>
      </c>
      <c r="L12" s="1225">
        <f>ROUND(SUMIF(T_BS!$F:$F,T198_TB!E12,T_BS!$X:$X),0)</f>
        <v>458253688</v>
      </c>
      <c r="M12" s="740" t="s">
        <v>0</v>
      </c>
      <c r="O12" s="509"/>
    </row>
    <row r="13" spans="1:15" s="710" customFormat="1" ht="18" customHeight="1">
      <c r="C13" s="710">
        <v>1</v>
      </c>
      <c r="D13" s="1222" t="s">
        <v>632</v>
      </c>
      <c r="E13" s="1223">
        <v>1213</v>
      </c>
      <c r="F13" s="670" t="s">
        <v>37</v>
      </c>
      <c r="G13" s="1224">
        <v>1000</v>
      </c>
      <c r="H13" s="1224"/>
      <c r="I13" s="1224" t="s">
        <v>473</v>
      </c>
      <c r="J13" s="668">
        <f t="shared" si="0"/>
        <v>145587351</v>
      </c>
      <c r="K13" s="1224" t="s">
        <v>473</v>
      </c>
      <c r="L13" s="1225">
        <f>ROUND(SUMIF(T_BS!$F:$F,T198_TB!E13,T_BS!$X:$X),0)</f>
        <v>145587351</v>
      </c>
      <c r="M13" s="740" t="s">
        <v>0</v>
      </c>
      <c r="O13" s="509"/>
    </row>
    <row r="14" spans="1:15" s="710" customFormat="1" ht="18" hidden="1" customHeight="1">
      <c r="C14" s="710">
        <v>1</v>
      </c>
      <c r="D14" s="1222" t="s">
        <v>632</v>
      </c>
      <c r="E14" s="1223">
        <v>1221</v>
      </c>
      <c r="F14" s="670" t="s">
        <v>1877</v>
      </c>
      <c r="G14" s="1224">
        <v>1000</v>
      </c>
      <c r="H14" s="1224"/>
      <c r="I14" s="1224" t="s">
        <v>473</v>
      </c>
      <c r="J14" s="668">
        <f t="shared" si="0"/>
        <v>0</v>
      </c>
      <c r="K14" s="1224" t="s">
        <v>473</v>
      </c>
      <c r="L14" s="1225">
        <f>ROUND(SUMIF(T_BS!$F:$F,T198_TB!E14,T_BS!$X:$X),0)</f>
        <v>0</v>
      </c>
      <c r="M14" s="740" t="s">
        <v>0</v>
      </c>
      <c r="O14" s="509"/>
    </row>
    <row r="15" spans="1:15" s="710" customFormat="1" ht="18" customHeight="1">
      <c r="D15" s="1222" t="s">
        <v>632</v>
      </c>
      <c r="E15" s="1223">
        <v>1301</v>
      </c>
      <c r="F15" s="670" t="s">
        <v>43</v>
      </c>
      <c r="G15" s="1224">
        <v>1000</v>
      </c>
      <c r="H15" s="1224"/>
      <c r="I15" s="1224" t="s">
        <v>473</v>
      </c>
      <c r="J15" s="668">
        <f t="shared" si="0"/>
        <v>9807120155</v>
      </c>
      <c r="K15" s="1224" t="s">
        <v>473</v>
      </c>
      <c r="L15" s="1225">
        <f>ROUND(SUMIF(T_BS!$F:$F,T198_TB!E15,T_BS!$X:$X),0)</f>
        <v>9807120155</v>
      </c>
      <c r="M15" s="740" t="s">
        <v>0</v>
      </c>
      <c r="O15" s="509"/>
    </row>
    <row r="16" spans="1:15" s="710" customFormat="1" ht="18" customHeight="1">
      <c r="D16" s="1222" t="s">
        <v>632</v>
      </c>
      <c r="E16" s="1223">
        <v>1302</v>
      </c>
      <c r="F16" s="670" t="s">
        <v>44</v>
      </c>
      <c r="G16" s="1224">
        <v>1000</v>
      </c>
      <c r="H16" s="1224"/>
      <c r="I16" s="1224" t="s">
        <v>473</v>
      </c>
      <c r="J16" s="668">
        <f t="shared" si="0"/>
        <v>-5535764881</v>
      </c>
      <c r="K16" s="1224" t="s">
        <v>473</v>
      </c>
      <c r="L16" s="1225">
        <f>ROUND(SUMIF(T_BS!$F:$F,T198_TB!E16,T_BS!$X:$X),0)</f>
        <v>-5535764881</v>
      </c>
      <c r="M16" s="740" t="s">
        <v>0</v>
      </c>
      <c r="O16" s="509"/>
    </row>
    <row r="17" spans="3:15" s="710" customFormat="1" ht="18" customHeight="1">
      <c r="C17" s="710">
        <v>1</v>
      </c>
      <c r="D17" s="1222" t="s">
        <v>632</v>
      </c>
      <c r="E17" s="1223">
        <v>1303</v>
      </c>
      <c r="F17" s="670" t="s">
        <v>45</v>
      </c>
      <c r="G17" s="1224">
        <v>1000</v>
      </c>
      <c r="H17" s="1224"/>
      <c r="I17" s="1224" t="s">
        <v>473</v>
      </c>
      <c r="J17" s="668">
        <f t="shared" si="0"/>
        <v>4905559095</v>
      </c>
      <c r="K17" s="1224" t="s">
        <v>473</v>
      </c>
      <c r="L17" s="1225">
        <f>ROUND(SUMIF(T_BS!$F:$F,T198_TB!E17,T_BS!$X:$X),0)</f>
        <v>4905559095</v>
      </c>
      <c r="M17" s="740" t="s">
        <v>0</v>
      </c>
      <c r="O17" s="509"/>
    </row>
    <row r="18" spans="3:15" s="710" customFormat="1" ht="18" customHeight="1">
      <c r="C18" s="710">
        <v>1</v>
      </c>
      <c r="D18" s="1222" t="s">
        <v>632</v>
      </c>
      <c r="E18" s="1223">
        <v>1304</v>
      </c>
      <c r="F18" s="670" t="s">
        <v>46</v>
      </c>
      <c r="G18" s="1224">
        <v>1000</v>
      </c>
      <c r="H18" s="1224"/>
      <c r="I18" s="1224" t="s">
        <v>473</v>
      </c>
      <c r="J18" s="668">
        <f t="shared" si="0"/>
        <v>-1363326587</v>
      </c>
      <c r="K18" s="1224" t="s">
        <v>473</v>
      </c>
      <c r="L18" s="1225">
        <f>ROUND(SUMIF(T_BS!$F:$F,T198_TB!E18,T_BS!$X:$X),0)</f>
        <v>-1363326587</v>
      </c>
      <c r="M18" s="740" t="s">
        <v>0</v>
      </c>
      <c r="O18" s="509"/>
    </row>
    <row r="19" spans="3:15" s="710" customFormat="1" ht="18" customHeight="1">
      <c r="C19" s="710">
        <v>1</v>
      </c>
      <c r="D19" s="1222" t="s">
        <v>632</v>
      </c>
      <c r="E19" s="1223">
        <v>1305</v>
      </c>
      <c r="F19" s="670" t="s">
        <v>47</v>
      </c>
      <c r="G19" s="1224">
        <v>1000</v>
      </c>
      <c r="H19" s="1224"/>
      <c r="I19" s="1224" t="s">
        <v>473</v>
      </c>
      <c r="J19" s="668">
        <f t="shared" si="0"/>
        <v>1856703638</v>
      </c>
      <c r="K19" s="1224" t="s">
        <v>473</v>
      </c>
      <c r="L19" s="1225">
        <f>ROUND(SUMIF(T_BS!$F:$F,T198_TB!E19,T_BS!$X:$X),0)</f>
        <v>1856703638</v>
      </c>
      <c r="M19" s="740" t="s">
        <v>0</v>
      </c>
      <c r="O19" s="509"/>
    </row>
    <row r="20" spans="3:15" s="710" customFormat="1" ht="18" customHeight="1">
      <c r="C20" s="710">
        <v>1</v>
      </c>
      <c r="D20" s="1222" t="s">
        <v>632</v>
      </c>
      <c r="E20" s="1223">
        <v>1306</v>
      </c>
      <c r="F20" s="670" t="s">
        <v>48</v>
      </c>
      <c r="G20" s="1224">
        <v>1000</v>
      </c>
      <c r="H20" s="1224"/>
      <c r="I20" s="1224" t="s">
        <v>473</v>
      </c>
      <c r="J20" s="668">
        <f t="shared" si="0"/>
        <v>-798916255</v>
      </c>
      <c r="K20" s="1224" t="s">
        <v>473</v>
      </c>
      <c r="L20" s="1225">
        <f>ROUND(SUMIF(T_BS!$F:$F,T198_TB!E20,T_BS!$X:$X),0)</f>
        <v>-798916255</v>
      </c>
      <c r="M20" s="740" t="s">
        <v>0</v>
      </c>
      <c r="O20" s="509"/>
    </row>
    <row r="21" spans="3:15" s="710" customFormat="1" ht="18" customHeight="1">
      <c r="C21" s="710">
        <v>1</v>
      </c>
      <c r="D21" s="1222" t="s">
        <v>632</v>
      </c>
      <c r="E21" s="1223">
        <v>1307</v>
      </c>
      <c r="F21" s="670" t="s">
        <v>49</v>
      </c>
      <c r="G21" s="1224">
        <v>1000</v>
      </c>
      <c r="H21" s="1224"/>
      <c r="I21" s="1224" t="s">
        <v>473</v>
      </c>
      <c r="J21" s="668">
        <f t="shared" si="0"/>
        <v>10160468205</v>
      </c>
      <c r="K21" s="1224" t="s">
        <v>473</v>
      </c>
      <c r="L21" s="1225">
        <f>ROUND(SUMIF(T_BS!$F:$F,T198_TB!E21,T_BS!$X:$X),0)</f>
        <v>10160468205</v>
      </c>
      <c r="M21" s="740" t="s">
        <v>0</v>
      </c>
      <c r="O21" s="509"/>
    </row>
    <row r="22" spans="3:15" s="710" customFormat="1" ht="18" customHeight="1">
      <c r="C22" s="710">
        <v>1</v>
      </c>
      <c r="D22" s="1222" t="s">
        <v>632</v>
      </c>
      <c r="E22" s="1223">
        <v>1308</v>
      </c>
      <c r="F22" s="670" t="s">
        <v>50</v>
      </c>
      <c r="G22" s="1224">
        <v>1000</v>
      </c>
      <c r="H22" s="1224"/>
      <c r="I22" s="1224" t="s">
        <v>473</v>
      </c>
      <c r="J22" s="668">
        <f t="shared" si="0"/>
        <v>-5398238122</v>
      </c>
      <c r="K22" s="1224" t="s">
        <v>473</v>
      </c>
      <c r="L22" s="1225">
        <f>ROUND(SUMIF(T_BS!$F:$F,T198_TB!E22,T_BS!$X:$X),0)</f>
        <v>-5398238122</v>
      </c>
      <c r="M22" s="740" t="s">
        <v>0</v>
      </c>
      <c r="O22" s="509"/>
    </row>
    <row r="23" spans="3:15" s="710" customFormat="1" ht="18" customHeight="1">
      <c r="C23" s="710">
        <v>1</v>
      </c>
      <c r="D23" s="1222" t="s">
        <v>632</v>
      </c>
      <c r="E23" s="1223">
        <v>1401</v>
      </c>
      <c r="F23" s="670" t="s">
        <v>54</v>
      </c>
      <c r="G23" s="1224">
        <v>1000</v>
      </c>
      <c r="H23" s="1224"/>
      <c r="I23" s="1224" t="s">
        <v>473</v>
      </c>
      <c r="J23" s="668">
        <f t="shared" si="0"/>
        <v>365160691</v>
      </c>
      <c r="K23" s="1224" t="s">
        <v>473</v>
      </c>
      <c r="L23" s="1225">
        <f>ROUND(SUMIF(T_BS!$F:$F,T198_TB!E23,T_BS!$X:$X),0)</f>
        <v>365160691</v>
      </c>
      <c r="M23" s="740" t="s">
        <v>0</v>
      </c>
      <c r="O23" s="509"/>
    </row>
    <row r="24" spans="3:15" s="925" customFormat="1" ht="18" hidden="1" customHeight="1">
      <c r="C24" s="925">
        <v>1</v>
      </c>
      <c r="D24" s="1222" t="s">
        <v>632</v>
      </c>
      <c r="E24" s="1223">
        <v>1501</v>
      </c>
      <c r="F24" s="670" t="s">
        <v>2392</v>
      </c>
      <c r="G24" s="1224">
        <v>1000</v>
      </c>
      <c r="H24" s="1224"/>
      <c r="I24" s="1224" t="s">
        <v>473</v>
      </c>
      <c r="J24" s="668">
        <f t="shared" ref="J24:J70" si="1">+L24</f>
        <v>0</v>
      </c>
      <c r="K24" s="1224" t="s">
        <v>473</v>
      </c>
      <c r="L24" s="1225">
        <f>ROUND(SUMIF(T_BS!$F:$F,T198_TB!E24,T_BS!$X:$X),0)</f>
        <v>0</v>
      </c>
      <c r="M24" s="740" t="s">
        <v>0</v>
      </c>
      <c r="O24" s="509"/>
    </row>
    <row r="25" spans="3:15" s="710" customFormat="1" ht="18" customHeight="1">
      <c r="C25" s="710">
        <v>1</v>
      </c>
      <c r="D25" s="1222" t="s">
        <v>632</v>
      </c>
      <c r="E25" s="1223">
        <v>1601</v>
      </c>
      <c r="F25" s="670" t="s">
        <v>640</v>
      </c>
      <c r="G25" s="1224">
        <v>1000</v>
      </c>
      <c r="H25" s="1224"/>
      <c r="I25" s="1224" t="s">
        <v>473</v>
      </c>
      <c r="J25" s="668">
        <f t="shared" ref="J25:J33" si="2">+L25</f>
        <v>3652634586</v>
      </c>
      <c r="K25" s="1224" t="s">
        <v>473</v>
      </c>
      <c r="L25" s="1225">
        <f>ROUND(SUMIF(T_BS!$F:$F,T198_TB!E25,T_BS!$X:$X),0)</f>
        <v>3652634586</v>
      </c>
      <c r="M25" s="740" t="s">
        <v>0</v>
      </c>
      <c r="O25" s="509"/>
    </row>
    <row r="26" spans="3:15" s="710" customFormat="1" ht="18" customHeight="1">
      <c r="C26" s="710">
        <v>1</v>
      </c>
      <c r="D26" s="1222" t="s">
        <v>632</v>
      </c>
      <c r="E26" s="1223">
        <v>1605</v>
      </c>
      <c r="F26" s="670" t="s">
        <v>641</v>
      </c>
      <c r="G26" s="1224">
        <v>1000</v>
      </c>
      <c r="H26" s="1224"/>
      <c r="I26" s="1224" t="s">
        <v>473</v>
      </c>
      <c r="J26" s="668">
        <f t="shared" si="2"/>
        <v>1804231412</v>
      </c>
      <c r="K26" s="1224" t="s">
        <v>473</v>
      </c>
      <c r="L26" s="1225">
        <f>ROUND(SUMIF(T_BS!$F:$F,T198_TB!E26,T_BS!$X:$X),0)</f>
        <v>1804231412</v>
      </c>
      <c r="M26" s="740" t="s">
        <v>0</v>
      </c>
      <c r="O26" s="509"/>
    </row>
    <row r="27" spans="3:15" ht="18" customHeight="1">
      <c r="C27" s="710">
        <v>1</v>
      </c>
      <c r="D27" s="1222" t="s">
        <v>632</v>
      </c>
      <c r="E27" s="1232">
        <v>1607</v>
      </c>
      <c r="F27" s="1233" t="s">
        <v>689</v>
      </c>
      <c r="G27" s="1224">
        <v>1000</v>
      </c>
      <c r="H27" s="1224"/>
      <c r="I27" s="1224" t="s">
        <v>473</v>
      </c>
      <c r="J27" s="668">
        <f t="shared" si="2"/>
        <v>59132028</v>
      </c>
      <c r="K27" s="1224" t="s">
        <v>473</v>
      </c>
      <c r="L27" s="1225">
        <f>ROUND(SUMIF(T_BS!$F:$F,T198_TB!E27,T_BS!$X:$X),0)</f>
        <v>59132028</v>
      </c>
      <c r="M27" s="740" t="s">
        <v>0</v>
      </c>
    </row>
    <row r="28" spans="3:15" s="710" customFormat="1" ht="18" customHeight="1">
      <c r="C28" s="710">
        <v>1</v>
      </c>
      <c r="D28" s="1814" t="s">
        <v>632</v>
      </c>
      <c r="E28" s="1815">
        <v>2101</v>
      </c>
      <c r="F28" s="1816" t="s">
        <v>1878</v>
      </c>
      <c r="G28" s="1817">
        <v>1000</v>
      </c>
      <c r="H28" s="1817"/>
      <c r="I28" s="1817" t="s">
        <v>473</v>
      </c>
      <c r="J28" s="1818">
        <f t="shared" si="2"/>
        <v>1257560</v>
      </c>
      <c r="K28" s="1817" t="s">
        <v>473</v>
      </c>
      <c r="L28" s="1819">
        <f>ROUND(SUMIF(T_BS!$F:$F,T198_TB!E28,T_BS!$X:$X),0)</f>
        <v>1257560</v>
      </c>
      <c r="M28" s="740" t="s">
        <v>0</v>
      </c>
      <c r="O28" s="509"/>
    </row>
    <row r="29" spans="3:15" s="710" customFormat="1" ht="18" customHeight="1">
      <c r="C29" s="710">
        <v>1</v>
      </c>
      <c r="D29" s="1222" t="s">
        <v>632</v>
      </c>
      <c r="E29" s="1223" t="s">
        <v>1872</v>
      </c>
      <c r="F29" s="670" t="s">
        <v>75</v>
      </c>
      <c r="G29" s="1224">
        <v>1000</v>
      </c>
      <c r="H29" s="1224"/>
      <c r="I29" s="1224" t="s">
        <v>473</v>
      </c>
      <c r="J29" s="668">
        <f t="shared" si="2"/>
        <v>2895348972</v>
      </c>
      <c r="K29" s="1224" t="s">
        <v>473</v>
      </c>
      <c r="L29" s="1225">
        <f>ROUND(SUMIF(T_BS!$F:$F,T198_TB!E29,T_BS!$X:$X),0)</f>
        <v>2895348972</v>
      </c>
      <c r="M29" s="740" t="s">
        <v>0</v>
      </c>
      <c r="O29" s="509"/>
    </row>
    <row r="30" spans="3:15" s="710" customFormat="1" ht="18" customHeight="1">
      <c r="C30" s="710">
        <v>1</v>
      </c>
      <c r="D30" s="1222" t="s">
        <v>632</v>
      </c>
      <c r="E30" s="1223" t="s">
        <v>1873</v>
      </c>
      <c r="F30" s="670" t="s">
        <v>1879</v>
      </c>
      <c r="G30" s="1224">
        <v>1000</v>
      </c>
      <c r="H30" s="1224"/>
      <c r="I30" s="1224" t="s">
        <v>473</v>
      </c>
      <c r="J30" s="668">
        <f t="shared" si="2"/>
        <v>-318376441</v>
      </c>
      <c r="K30" s="1224" t="s">
        <v>473</v>
      </c>
      <c r="L30" s="1225">
        <f>ROUND(SUMIF(T_BS!$F:$F,T198_TB!E30,T_BS!$X:$X),0)</f>
        <v>-318376441</v>
      </c>
      <c r="M30" s="740" t="s">
        <v>0</v>
      </c>
      <c r="O30" s="509"/>
    </row>
    <row r="31" spans="3:15" s="710" customFormat="1" ht="18" customHeight="1">
      <c r="D31" s="1222" t="s">
        <v>632</v>
      </c>
      <c r="E31" s="1227">
        <v>2202</v>
      </c>
      <c r="F31" s="678" t="s">
        <v>83</v>
      </c>
      <c r="G31" s="1224">
        <v>1000</v>
      </c>
      <c r="H31" s="1224"/>
      <c r="I31" s="1224" t="s">
        <v>473</v>
      </c>
      <c r="J31" s="668">
        <f t="shared" si="2"/>
        <v>2881225685</v>
      </c>
      <c r="K31" s="1224" t="s">
        <v>473</v>
      </c>
      <c r="L31" s="1225">
        <f>ROUND(SUMIF(T_BS!$F:$F,T198_TB!E31,T_BS!$X:$X),0)</f>
        <v>2881225685</v>
      </c>
      <c r="M31" s="740" t="s">
        <v>0</v>
      </c>
      <c r="O31" s="509"/>
    </row>
    <row r="32" spans="3:15" s="710" customFormat="1" ht="18" hidden="1" customHeight="1">
      <c r="C32" s="710">
        <v>1</v>
      </c>
      <c r="D32" s="1222" t="s">
        <v>632</v>
      </c>
      <c r="E32" s="1223">
        <v>2302</v>
      </c>
      <c r="F32" s="670" t="s">
        <v>136</v>
      </c>
      <c r="G32" s="1224">
        <v>1000</v>
      </c>
      <c r="H32" s="1224"/>
      <c r="I32" s="1224" t="s">
        <v>473</v>
      </c>
      <c r="J32" s="668">
        <f t="shared" si="2"/>
        <v>0</v>
      </c>
      <c r="K32" s="1224" t="s">
        <v>473</v>
      </c>
      <c r="L32" s="1225">
        <f>ROUND(SUMIF(T_BS!$F:$F,T198_TB!E32,T_BS!$X:$X),0)</f>
        <v>0</v>
      </c>
      <c r="M32" s="740" t="s">
        <v>0</v>
      </c>
      <c r="N32" s="925"/>
      <c r="O32" s="509"/>
    </row>
    <row r="33" spans="3:15" s="710" customFormat="1" ht="18" hidden="1" customHeight="1">
      <c r="C33" s="710">
        <v>1</v>
      </c>
      <c r="D33" s="1222" t="s">
        <v>632</v>
      </c>
      <c r="E33" s="1223">
        <v>2311</v>
      </c>
      <c r="F33" s="670" t="s">
        <v>1694</v>
      </c>
      <c r="G33" s="1224">
        <v>1000</v>
      </c>
      <c r="H33" s="1224"/>
      <c r="I33" s="1224" t="s">
        <v>473</v>
      </c>
      <c r="J33" s="668">
        <f t="shared" si="2"/>
        <v>0</v>
      </c>
      <c r="K33" s="1224" t="s">
        <v>473</v>
      </c>
      <c r="L33" s="1225">
        <f>ROUND(SUMIF(T_BS!$F:$F,T198_TB!E33,T_BS!$X:$X),0)</f>
        <v>0</v>
      </c>
      <c r="M33" s="740" t="s">
        <v>0</v>
      </c>
      <c r="O33" s="509"/>
    </row>
    <row r="34" spans="3:15" s="710" customFormat="1" ht="18" hidden="1" customHeight="1">
      <c r="C34" s="710">
        <v>1</v>
      </c>
      <c r="D34" s="1222" t="s">
        <v>632</v>
      </c>
      <c r="E34" s="1223">
        <v>2321</v>
      </c>
      <c r="F34" s="670" t="s">
        <v>1704</v>
      </c>
      <c r="G34" s="1224">
        <v>1000</v>
      </c>
      <c r="H34" s="1224"/>
      <c r="I34" s="1224" t="s">
        <v>473</v>
      </c>
      <c r="J34" s="668">
        <f t="shared" si="1"/>
        <v>0</v>
      </c>
      <c r="K34" s="1224" t="s">
        <v>473</v>
      </c>
      <c r="L34" s="1225">
        <f>ROUND(SUMIF(T_BS!$F:$F,T198_TB!E34,T_BS!$X:$X),0)</f>
        <v>0</v>
      </c>
      <c r="M34" s="740" t="s">
        <v>0</v>
      </c>
      <c r="O34" s="509"/>
    </row>
    <row r="35" spans="3:15" s="710" customFormat="1" ht="18" hidden="1" customHeight="1">
      <c r="C35" s="710">
        <v>1</v>
      </c>
      <c r="D35" s="1222" t="s">
        <v>632</v>
      </c>
      <c r="E35" s="1223">
        <v>2322</v>
      </c>
      <c r="F35" s="670" t="s">
        <v>1705</v>
      </c>
      <c r="G35" s="1224">
        <v>1000</v>
      </c>
      <c r="H35" s="1224"/>
      <c r="I35" s="1224" t="s">
        <v>473</v>
      </c>
      <c r="J35" s="668">
        <f t="shared" ref="J35:J55" si="3">+L35</f>
        <v>0</v>
      </c>
      <c r="K35" s="1224" t="s">
        <v>473</v>
      </c>
      <c r="L35" s="1225">
        <f>ROUND(SUMIF(T_BS!$F:$F,T198_TB!E35,T_BS!$X:$X),0)</f>
        <v>0</v>
      </c>
      <c r="M35" s="740" t="s">
        <v>0</v>
      </c>
      <c r="O35" s="509"/>
    </row>
    <row r="36" spans="3:15" s="710" customFormat="1" ht="18" customHeight="1">
      <c r="C36" s="710">
        <v>1</v>
      </c>
      <c r="D36" s="1222" t="s">
        <v>632</v>
      </c>
      <c r="E36" s="1223">
        <v>2401</v>
      </c>
      <c r="F36" s="1226" t="s">
        <v>84</v>
      </c>
      <c r="G36" s="1224">
        <v>1000</v>
      </c>
      <c r="H36" s="1224"/>
      <c r="I36" s="1224" t="s">
        <v>473</v>
      </c>
      <c r="J36" s="668">
        <f t="shared" si="3"/>
        <v>9363637</v>
      </c>
      <c r="K36" s="1224" t="s">
        <v>473</v>
      </c>
      <c r="L36" s="1225">
        <f>ROUND(SUMIF(T_BS!$F:$F,T198_TB!E36,T_BS!$X:$X),0)</f>
        <v>9363637</v>
      </c>
      <c r="M36" s="740" t="s">
        <v>0</v>
      </c>
      <c r="O36" s="509"/>
    </row>
    <row r="37" spans="3:15" s="710" customFormat="1" ht="18" customHeight="1">
      <c r="C37" s="710">
        <v>1</v>
      </c>
      <c r="D37" s="1222" t="s">
        <v>632</v>
      </c>
      <c r="E37" s="1223">
        <v>2402</v>
      </c>
      <c r="F37" s="1226" t="s">
        <v>642</v>
      </c>
      <c r="G37" s="1224">
        <v>1000</v>
      </c>
      <c r="H37" s="1224"/>
      <c r="I37" s="1224" t="s">
        <v>473</v>
      </c>
      <c r="J37" s="668">
        <f t="shared" si="3"/>
        <v>-5953029</v>
      </c>
      <c r="K37" s="1224" t="s">
        <v>473</v>
      </c>
      <c r="L37" s="1225">
        <f>ROUND(SUMIF(T_BS!$F:$F,T198_TB!E37,T_BS!$X:$X),0)</f>
        <v>-5953029</v>
      </c>
      <c r="M37" s="740" t="s">
        <v>0</v>
      </c>
      <c r="O37" s="509"/>
    </row>
    <row r="38" spans="3:15" s="710" customFormat="1" ht="18" customHeight="1">
      <c r="C38" s="710">
        <v>1</v>
      </c>
      <c r="D38" s="1222" t="s">
        <v>632</v>
      </c>
      <c r="E38" s="1223">
        <v>2404</v>
      </c>
      <c r="F38" s="1226" t="s">
        <v>86</v>
      </c>
      <c r="G38" s="1224">
        <v>1000</v>
      </c>
      <c r="H38" s="1224"/>
      <c r="I38" s="1224" t="s">
        <v>473</v>
      </c>
      <c r="J38" s="668">
        <f t="shared" si="3"/>
        <v>149137249</v>
      </c>
      <c r="K38" s="1224" t="s">
        <v>473</v>
      </c>
      <c r="L38" s="1225">
        <f>ROUND(SUMIF(T_BS!$F:$F,T198_TB!E38,T_BS!$X:$X),0)</f>
        <v>149137249</v>
      </c>
      <c r="M38" s="740" t="s">
        <v>0</v>
      </c>
      <c r="O38" s="509"/>
    </row>
    <row r="39" spans="3:15" s="710" customFormat="1" ht="18" customHeight="1">
      <c r="C39" s="710">
        <v>1</v>
      </c>
      <c r="D39" s="1222" t="s">
        <v>632</v>
      </c>
      <c r="E39" s="1223">
        <v>2405</v>
      </c>
      <c r="F39" s="670" t="s">
        <v>643</v>
      </c>
      <c r="G39" s="1224">
        <v>1000</v>
      </c>
      <c r="H39" s="1224"/>
      <c r="I39" s="1224" t="s">
        <v>473</v>
      </c>
      <c r="J39" s="668">
        <f t="shared" si="3"/>
        <v>-126560515</v>
      </c>
      <c r="K39" s="1224" t="s">
        <v>473</v>
      </c>
      <c r="L39" s="1225">
        <f>ROUND(SUMIF(T_BS!$F:$F,T198_TB!E39,T_BS!$X:$X),0)</f>
        <v>-126560515</v>
      </c>
      <c r="M39" s="740" t="s">
        <v>0</v>
      </c>
      <c r="O39" s="509"/>
    </row>
    <row r="40" spans="3:15" s="710" customFormat="1" ht="18" hidden="1" customHeight="1">
      <c r="C40" s="710">
        <v>1</v>
      </c>
      <c r="D40" s="1222" t="s">
        <v>632</v>
      </c>
      <c r="E40" s="1223">
        <v>2406</v>
      </c>
      <c r="F40" s="670" t="s">
        <v>644</v>
      </c>
      <c r="G40" s="1224">
        <v>1000</v>
      </c>
      <c r="H40" s="1224"/>
      <c r="I40" s="1224" t="s">
        <v>473</v>
      </c>
      <c r="J40" s="668">
        <f t="shared" si="3"/>
        <v>0</v>
      </c>
      <c r="K40" s="1224" t="s">
        <v>473</v>
      </c>
      <c r="L40" s="1225">
        <f>ROUND(SUMIF(T_BS!$F:$F,T198_TB!E40,T_BS!$X:$X),0)</f>
        <v>0</v>
      </c>
      <c r="M40" s="740" t="s">
        <v>0</v>
      </c>
      <c r="O40" s="509"/>
    </row>
    <row r="41" spans="3:15" s="710" customFormat="1" ht="18" customHeight="1">
      <c r="C41" s="710">
        <v>1</v>
      </c>
      <c r="D41" s="1222" t="s">
        <v>632</v>
      </c>
      <c r="E41" s="1223">
        <v>2407</v>
      </c>
      <c r="F41" s="670" t="s">
        <v>89</v>
      </c>
      <c r="G41" s="1224">
        <v>1000</v>
      </c>
      <c r="H41" s="1224"/>
      <c r="I41" s="1224" t="s">
        <v>473</v>
      </c>
      <c r="J41" s="668">
        <f t="shared" si="3"/>
        <v>2298521701</v>
      </c>
      <c r="K41" s="1224" t="s">
        <v>473</v>
      </c>
      <c r="L41" s="1225">
        <f>ROUND(SUMIF(T_BS!$F:$F,T198_TB!E41,T_BS!$X:$X),0)</f>
        <v>2298521701</v>
      </c>
      <c r="M41" s="740" t="s">
        <v>0</v>
      </c>
      <c r="O41" s="509"/>
    </row>
    <row r="42" spans="3:15" s="710" customFormat="1" ht="18" customHeight="1">
      <c r="C42" s="710">
        <v>1</v>
      </c>
      <c r="D42" s="1222" t="s">
        <v>632</v>
      </c>
      <c r="E42" s="1223">
        <v>2408</v>
      </c>
      <c r="F42" s="670" t="s">
        <v>645</v>
      </c>
      <c r="G42" s="1224">
        <v>1000</v>
      </c>
      <c r="H42" s="1224"/>
      <c r="I42" s="1224" t="s">
        <v>473</v>
      </c>
      <c r="J42" s="668">
        <f t="shared" si="3"/>
        <v>-1643266351</v>
      </c>
      <c r="K42" s="1224" t="s">
        <v>473</v>
      </c>
      <c r="L42" s="1225">
        <f>ROUND(SUMIF(T_BS!$F:$F,T198_TB!E42,T_BS!$X:$X),0)</f>
        <v>-1643266351</v>
      </c>
      <c r="M42" s="740" t="s">
        <v>0</v>
      </c>
      <c r="O42" s="509"/>
    </row>
    <row r="43" spans="3:15" s="710" customFormat="1" ht="18" hidden="1" customHeight="1">
      <c r="C43" s="710">
        <v>1</v>
      </c>
      <c r="D43" s="1222" t="s">
        <v>632</v>
      </c>
      <c r="E43" s="1223">
        <v>2409</v>
      </c>
      <c r="F43" s="670" t="s">
        <v>646</v>
      </c>
      <c r="G43" s="1224">
        <v>1000</v>
      </c>
      <c r="H43" s="1224"/>
      <c r="I43" s="1224" t="s">
        <v>473</v>
      </c>
      <c r="J43" s="668">
        <f t="shared" si="3"/>
        <v>0</v>
      </c>
      <c r="K43" s="1224" t="s">
        <v>473</v>
      </c>
      <c r="L43" s="1225">
        <f>ROUND(SUMIF(T_BS!$F:$F,T198_TB!E43,T_BS!$X:$X),0)</f>
        <v>0</v>
      </c>
      <c r="M43" s="740" t="s">
        <v>0</v>
      </c>
      <c r="O43" s="509"/>
    </row>
    <row r="44" spans="3:15" s="710" customFormat="1" ht="18" customHeight="1">
      <c r="C44" s="710">
        <v>1</v>
      </c>
      <c r="D44" s="1222" t="s">
        <v>632</v>
      </c>
      <c r="E44" s="1223">
        <v>2413</v>
      </c>
      <c r="F44" s="670" t="s">
        <v>95</v>
      </c>
      <c r="G44" s="1224">
        <v>1000</v>
      </c>
      <c r="H44" s="1224"/>
      <c r="I44" s="1224" t="s">
        <v>473</v>
      </c>
      <c r="J44" s="668">
        <f t="shared" si="3"/>
        <v>4972335555</v>
      </c>
      <c r="K44" s="1224" t="s">
        <v>473</v>
      </c>
      <c r="L44" s="1225">
        <f>ROUND(SUMIF(T_BS!$F:$F,T198_TB!E44,T_BS!$X:$X),0)</f>
        <v>4972335555</v>
      </c>
      <c r="M44" s="740" t="s">
        <v>0</v>
      </c>
      <c r="O44" s="509"/>
    </row>
    <row r="45" spans="3:15" s="710" customFormat="1" ht="18" customHeight="1">
      <c r="C45" s="710">
        <v>1</v>
      </c>
      <c r="D45" s="1222" t="s">
        <v>632</v>
      </c>
      <c r="E45" s="1223">
        <v>2414</v>
      </c>
      <c r="F45" s="670" t="s">
        <v>647</v>
      </c>
      <c r="G45" s="1224">
        <v>1000</v>
      </c>
      <c r="H45" s="1224"/>
      <c r="I45" s="1224" t="s">
        <v>473</v>
      </c>
      <c r="J45" s="668">
        <f t="shared" si="3"/>
        <v>-3330185504</v>
      </c>
      <c r="K45" s="1224" t="s">
        <v>473</v>
      </c>
      <c r="L45" s="1225">
        <f>ROUND(SUMIF(T_BS!$F:$F,T198_TB!E45,T_BS!$X:$X),0)</f>
        <v>-3330185504</v>
      </c>
      <c r="M45" s="740" t="s">
        <v>0</v>
      </c>
      <c r="O45" s="509"/>
    </row>
    <row r="46" spans="3:15" s="710" customFormat="1" ht="18" customHeight="1">
      <c r="C46" s="710">
        <v>1</v>
      </c>
      <c r="D46" s="1222" t="s">
        <v>632</v>
      </c>
      <c r="E46" s="1223">
        <v>2415</v>
      </c>
      <c r="F46" s="670" t="s">
        <v>648</v>
      </c>
      <c r="G46" s="1224">
        <v>1000</v>
      </c>
      <c r="H46" s="1224"/>
      <c r="I46" s="1224" t="s">
        <v>473</v>
      </c>
      <c r="J46" s="668">
        <f t="shared" si="3"/>
        <v>-9616222</v>
      </c>
      <c r="K46" s="1224" t="s">
        <v>473</v>
      </c>
      <c r="L46" s="1225">
        <f>ROUND(SUMIF(T_BS!$F:$F,T198_TB!E46,T_BS!$X:$X),0)</f>
        <v>-9616222</v>
      </c>
      <c r="M46" s="740" t="s">
        <v>0</v>
      </c>
      <c r="O46" s="509"/>
    </row>
    <row r="47" spans="3:15" s="710" customFormat="1" ht="18" customHeight="1">
      <c r="C47" s="710">
        <v>1</v>
      </c>
      <c r="D47" s="1222" t="s">
        <v>632</v>
      </c>
      <c r="E47" s="1223">
        <v>2419</v>
      </c>
      <c r="F47" s="670" t="s">
        <v>533</v>
      </c>
      <c r="G47" s="1224">
        <v>1000</v>
      </c>
      <c r="H47" s="1224"/>
      <c r="I47" s="1224" t="s">
        <v>473</v>
      </c>
      <c r="J47" s="668">
        <f t="shared" si="3"/>
        <v>179248982</v>
      </c>
      <c r="K47" s="1224" t="s">
        <v>473</v>
      </c>
      <c r="L47" s="1225">
        <f>ROUND(SUMIF(T_BS!$F:$F,T198_TB!E47,T_BS!$X:$X),0)</f>
        <v>179248982</v>
      </c>
      <c r="M47" s="740" t="s">
        <v>0</v>
      </c>
      <c r="O47" s="509"/>
    </row>
    <row r="48" spans="3:15" s="710" customFormat="1" ht="18" customHeight="1">
      <c r="C48" s="710">
        <v>1</v>
      </c>
      <c r="D48" s="1222" t="s">
        <v>632</v>
      </c>
      <c r="E48" s="1223">
        <v>2501</v>
      </c>
      <c r="F48" s="670" t="s">
        <v>649</v>
      </c>
      <c r="G48" s="1224">
        <v>1000</v>
      </c>
      <c r="H48" s="1224"/>
      <c r="I48" s="1224" t="s">
        <v>473</v>
      </c>
      <c r="J48" s="668">
        <f t="shared" si="3"/>
        <v>1629520216</v>
      </c>
      <c r="K48" s="1224" t="s">
        <v>473</v>
      </c>
      <c r="L48" s="1225">
        <f>ROUND(SUMIF(T_BS!$F:$F,T198_TB!E48,T_BS!$X:$X),0)</f>
        <v>1629520216</v>
      </c>
      <c r="M48" s="740" t="s">
        <v>0</v>
      </c>
      <c r="O48" s="509"/>
    </row>
    <row r="49" spans="3:15" s="710" customFormat="1" ht="18" customHeight="1">
      <c r="C49" s="710">
        <v>1</v>
      </c>
      <c r="D49" s="1222" t="s">
        <v>632</v>
      </c>
      <c r="E49" s="1223">
        <v>2503</v>
      </c>
      <c r="F49" s="670" t="s">
        <v>110</v>
      </c>
      <c r="G49" s="1224">
        <v>1000</v>
      </c>
      <c r="H49" s="1224"/>
      <c r="I49" s="1224" t="s">
        <v>473</v>
      </c>
      <c r="J49" s="668">
        <f t="shared" si="3"/>
        <v>1326320253</v>
      </c>
      <c r="K49" s="1224" t="s">
        <v>473</v>
      </c>
      <c r="L49" s="1225">
        <f>ROUND(SUMIF(T_BS!$F:$F,T198_TB!E49,T_BS!$X:$X),0)</f>
        <v>1326320253</v>
      </c>
      <c r="M49" s="740" t="s">
        <v>0</v>
      </c>
      <c r="O49" s="509"/>
    </row>
    <row r="50" spans="3:15" s="710" customFormat="1" ht="18" customHeight="1">
      <c r="C50" s="710">
        <v>1</v>
      </c>
      <c r="D50" s="1222" t="s">
        <v>632</v>
      </c>
      <c r="E50" s="1223">
        <v>2505</v>
      </c>
      <c r="F50" s="670" t="s">
        <v>123</v>
      </c>
      <c r="G50" s="1224">
        <v>1000</v>
      </c>
      <c r="H50" s="1224"/>
      <c r="I50" s="1224" t="s">
        <v>473</v>
      </c>
      <c r="J50" s="668">
        <f t="shared" si="3"/>
        <v>1381712180</v>
      </c>
      <c r="K50" s="1224" t="s">
        <v>473</v>
      </c>
      <c r="L50" s="1225">
        <f>ROUND(SUMIF(T_BS!$F:$F,T198_TB!E50,T_BS!$X:$X),0)</f>
        <v>1381712180</v>
      </c>
      <c r="M50" s="740" t="s">
        <v>0</v>
      </c>
      <c r="O50" s="509"/>
    </row>
    <row r="51" spans="3:15" s="710" customFormat="1" ht="18" customHeight="1">
      <c r="C51" s="710">
        <v>1</v>
      </c>
      <c r="D51" s="1222" t="s">
        <v>632</v>
      </c>
      <c r="E51" s="1223">
        <v>2507</v>
      </c>
      <c r="F51" s="670" t="s">
        <v>650</v>
      </c>
      <c r="G51" s="1224">
        <v>1000</v>
      </c>
      <c r="H51" s="1224"/>
      <c r="I51" s="1224" t="s">
        <v>473</v>
      </c>
      <c r="J51" s="668">
        <f t="shared" si="3"/>
        <v>1114407078</v>
      </c>
      <c r="K51" s="1224" t="s">
        <v>473</v>
      </c>
      <c r="L51" s="1225">
        <f>ROUND(SUMIF(T_BS!$F:$F,T198_TB!E51,T_BS!$X:$X),0)</f>
        <v>1114407078</v>
      </c>
      <c r="M51" s="740" t="s">
        <v>0</v>
      </c>
      <c r="O51" s="509"/>
    </row>
    <row r="52" spans="3:15" s="710" customFormat="1" ht="18" customHeight="1">
      <c r="C52" s="710">
        <v>1</v>
      </c>
      <c r="D52" s="1222" t="s">
        <v>632</v>
      </c>
      <c r="E52" s="1223">
        <v>2508</v>
      </c>
      <c r="F52" s="670" t="s">
        <v>129</v>
      </c>
      <c r="G52" s="1224">
        <v>1000</v>
      </c>
      <c r="H52" s="1224"/>
      <c r="I52" s="1224" t="s">
        <v>473</v>
      </c>
      <c r="J52" s="668">
        <f t="shared" si="3"/>
        <v>7368587349</v>
      </c>
      <c r="K52" s="1224" t="s">
        <v>473</v>
      </c>
      <c r="L52" s="1225">
        <f>ROUND(SUMIF(T_BS!$F:$F,T198_TB!E52,T_BS!$X:$X),0)</f>
        <v>7368587349</v>
      </c>
      <c r="M52" s="740" t="s">
        <v>0</v>
      </c>
      <c r="O52" s="509"/>
    </row>
    <row r="53" spans="3:15" s="710" customFormat="1" ht="18" customHeight="1">
      <c r="C53" s="710">
        <v>1</v>
      </c>
      <c r="D53" s="1222" t="s">
        <v>632</v>
      </c>
      <c r="E53" s="1223">
        <v>2509</v>
      </c>
      <c r="F53" s="670" t="s">
        <v>1886</v>
      </c>
      <c r="G53" s="1224">
        <v>1000</v>
      </c>
      <c r="H53" s="1224"/>
      <c r="I53" s="1224" t="s">
        <v>473</v>
      </c>
      <c r="J53" s="668">
        <f t="shared" si="3"/>
        <v>462235490</v>
      </c>
      <c r="K53" s="1224" t="s">
        <v>473</v>
      </c>
      <c r="L53" s="1225">
        <f>ROUND(SUMIF(T_BS!$F:$F,T198_TB!E53,T_BS!$X:$X),0)</f>
        <v>462235490</v>
      </c>
      <c r="M53" s="740" t="s">
        <v>0</v>
      </c>
      <c r="O53" s="509"/>
    </row>
    <row r="54" spans="3:15" s="710" customFormat="1" ht="18" customHeight="1">
      <c r="C54" s="710">
        <v>1</v>
      </c>
      <c r="D54" s="1222" t="s">
        <v>632</v>
      </c>
      <c r="E54" s="1223">
        <v>2603</v>
      </c>
      <c r="F54" s="670" t="s">
        <v>2387</v>
      </c>
      <c r="G54" s="1224">
        <v>1000</v>
      </c>
      <c r="H54" s="1224"/>
      <c r="I54" s="1224" t="s">
        <v>473</v>
      </c>
      <c r="J54" s="668">
        <f t="shared" si="3"/>
        <v>30634127818</v>
      </c>
      <c r="K54" s="1224" t="s">
        <v>473</v>
      </c>
      <c r="L54" s="1225">
        <f>ROUND(SUMIF(T_BS!$F:$F,T198_TB!E54,T_BS!$X:$X),0)</f>
        <v>30634127818</v>
      </c>
      <c r="M54" s="740" t="s">
        <v>0</v>
      </c>
      <c r="O54" s="509"/>
    </row>
    <row r="55" spans="3:15" s="925" customFormat="1" ht="18" hidden="1" customHeight="1">
      <c r="C55" s="925">
        <v>1</v>
      </c>
      <c r="D55" s="1222" t="s">
        <v>632</v>
      </c>
      <c r="E55" s="1223">
        <v>2604</v>
      </c>
      <c r="F55" s="670" t="s">
        <v>2388</v>
      </c>
      <c r="G55" s="1224">
        <v>1000</v>
      </c>
      <c r="H55" s="1224"/>
      <c r="I55" s="1224" t="s">
        <v>473</v>
      </c>
      <c r="J55" s="668">
        <f t="shared" si="3"/>
        <v>0</v>
      </c>
      <c r="K55" s="1224" t="s">
        <v>473</v>
      </c>
      <c r="L55" s="1225">
        <f>ROUND(SUMIF(T_BS!$F:$F,T198_TB!E55,T_BS!$X:$X),0)</f>
        <v>0</v>
      </c>
      <c r="M55" s="740" t="s">
        <v>0</v>
      </c>
      <c r="O55" s="509"/>
    </row>
    <row r="56" spans="3:15" s="710" customFormat="1" ht="18" hidden="1" customHeight="1">
      <c r="C56" s="710">
        <v>1</v>
      </c>
      <c r="D56" s="1222" t="s">
        <v>632</v>
      </c>
      <c r="E56" s="1223">
        <v>2650</v>
      </c>
      <c r="F56" s="670" t="s">
        <v>1778</v>
      </c>
      <c r="G56" s="1224">
        <v>1000</v>
      </c>
      <c r="H56" s="1224"/>
      <c r="I56" s="1224" t="s">
        <v>473</v>
      </c>
      <c r="J56" s="668">
        <f t="shared" si="1"/>
        <v>0</v>
      </c>
      <c r="K56" s="1224" t="s">
        <v>473</v>
      </c>
      <c r="L56" s="1225">
        <f>ROUND(SUMIF(T_BS!$F:$F,T198_TB!E56,T_BS!$X:$X),0)</f>
        <v>0</v>
      </c>
      <c r="M56" s="740" t="s">
        <v>0</v>
      </c>
      <c r="O56" s="509"/>
    </row>
    <row r="57" spans="3:15" s="710" customFormat="1" ht="18" customHeight="1">
      <c r="C57" s="710">
        <v>1</v>
      </c>
      <c r="D57" s="1222" t="s">
        <v>632</v>
      </c>
      <c r="E57" s="1223">
        <v>2701</v>
      </c>
      <c r="F57" s="670" t="s">
        <v>101</v>
      </c>
      <c r="G57" s="1224">
        <v>1000</v>
      </c>
      <c r="H57" s="1224"/>
      <c r="I57" s="1224" t="s">
        <v>473</v>
      </c>
      <c r="J57" s="668">
        <f t="shared" si="1"/>
        <v>14275478413</v>
      </c>
      <c r="K57" s="1224" t="s">
        <v>473</v>
      </c>
      <c r="L57" s="1225">
        <f>ROUND(SUMIF(T_BS!$F:$F,T198_TB!E57,T_BS!$X:$X),0)</f>
        <v>14275478413</v>
      </c>
      <c r="M57" s="740" t="s">
        <v>0</v>
      </c>
      <c r="O57" s="509"/>
    </row>
    <row r="58" spans="3:15" s="710" customFormat="1" ht="18" customHeight="1">
      <c r="C58" s="710">
        <v>1</v>
      </c>
      <c r="D58" s="1222" t="s">
        <v>632</v>
      </c>
      <c r="E58" s="1223">
        <v>2702</v>
      </c>
      <c r="F58" s="670" t="s">
        <v>1588</v>
      </c>
      <c r="G58" s="1224">
        <v>1000</v>
      </c>
      <c r="H58" s="1224"/>
      <c r="I58" s="1224" t="s">
        <v>473</v>
      </c>
      <c r="J58" s="668">
        <f t="shared" si="1"/>
        <v>-8637566662</v>
      </c>
      <c r="K58" s="1224" t="s">
        <v>473</v>
      </c>
      <c r="L58" s="1225">
        <f>ROUND(SUMIF(T_BS!$F:$F,T198_TB!E58,T_BS!$X:$X),0)</f>
        <v>-8637566662</v>
      </c>
      <c r="M58" s="740" t="s">
        <v>0</v>
      </c>
      <c r="O58" s="509"/>
    </row>
    <row r="59" spans="3:15" s="710" customFormat="1" ht="18" customHeight="1">
      <c r="C59" s="710">
        <v>1</v>
      </c>
      <c r="D59" s="1222" t="s">
        <v>632</v>
      </c>
      <c r="E59" s="1223">
        <v>2801</v>
      </c>
      <c r="F59" s="1226" t="s">
        <v>103</v>
      </c>
      <c r="G59" s="1224">
        <v>1000</v>
      </c>
      <c r="H59" s="1224"/>
      <c r="I59" s="1224" t="s">
        <v>473</v>
      </c>
      <c r="J59" s="668">
        <f t="shared" si="1"/>
        <v>154590759</v>
      </c>
      <c r="K59" s="1224" t="s">
        <v>473</v>
      </c>
      <c r="L59" s="1225">
        <f>ROUND(SUMIF(T_BS!$F:$F,T198_TB!E59,T_BS!$X:$X),0)</f>
        <v>154590759</v>
      </c>
      <c r="M59" s="740" t="s">
        <v>0</v>
      </c>
      <c r="O59" s="509"/>
    </row>
    <row r="60" spans="3:15" s="710" customFormat="1" ht="18" customHeight="1">
      <c r="C60" s="710">
        <v>1</v>
      </c>
      <c r="D60" s="1222" t="s">
        <v>632</v>
      </c>
      <c r="E60" s="1223">
        <v>2802</v>
      </c>
      <c r="F60" s="1226" t="s">
        <v>1589</v>
      </c>
      <c r="G60" s="1224">
        <v>1000</v>
      </c>
      <c r="H60" s="1224"/>
      <c r="I60" s="1224" t="s">
        <v>473</v>
      </c>
      <c r="J60" s="668">
        <f t="shared" si="1"/>
        <v>-68557268</v>
      </c>
      <c r="K60" s="1224" t="s">
        <v>473</v>
      </c>
      <c r="L60" s="1225">
        <f>ROUND(SUMIF(T_BS!$F:$F,T198_TB!E60,T_BS!$X:$X),0)</f>
        <v>-68557268</v>
      </c>
      <c r="M60" s="740" t="s">
        <v>0</v>
      </c>
      <c r="O60" s="509"/>
    </row>
    <row r="61" spans="3:15" s="710" customFormat="1" ht="18" customHeight="1">
      <c r="C61" s="710">
        <v>1</v>
      </c>
      <c r="D61" s="1222" t="s">
        <v>632</v>
      </c>
      <c r="E61" s="1227">
        <v>2811</v>
      </c>
      <c r="F61" s="1228" t="s">
        <v>2676</v>
      </c>
      <c r="G61" s="1224">
        <v>1000</v>
      </c>
      <c r="H61" s="1224"/>
      <c r="I61" s="1224" t="s">
        <v>473</v>
      </c>
      <c r="J61" s="668">
        <f t="shared" si="1"/>
        <v>401358265</v>
      </c>
      <c r="K61" s="1224" t="s">
        <v>473</v>
      </c>
      <c r="L61" s="1225">
        <f>ROUND(SUMIF(T_BS!$F:$F,T198_TB!E61,T_BS!$X:$X),0)</f>
        <v>401358265</v>
      </c>
      <c r="M61" s="740" t="s">
        <v>0</v>
      </c>
      <c r="O61" s="509"/>
    </row>
    <row r="62" spans="3:15" s="710" customFormat="1" ht="18" customHeight="1">
      <c r="C62" s="710">
        <v>1</v>
      </c>
      <c r="D62" s="1222" t="s">
        <v>632</v>
      </c>
      <c r="E62" s="1227">
        <v>2812</v>
      </c>
      <c r="F62" s="1228" t="s">
        <v>2677</v>
      </c>
      <c r="G62" s="1224">
        <v>1000</v>
      </c>
      <c r="H62" s="1224"/>
      <c r="I62" s="1224" t="s">
        <v>473</v>
      </c>
      <c r="J62" s="668">
        <f t="shared" si="1"/>
        <v>-102639165</v>
      </c>
      <c r="K62" s="1224" t="s">
        <v>473</v>
      </c>
      <c r="L62" s="1225">
        <f>ROUND(SUMIF(T_BS!$F:$F,T198_TB!E62,T_BS!$X:$X),0)</f>
        <v>-102639165</v>
      </c>
      <c r="M62" s="740" t="s">
        <v>0</v>
      </c>
      <c r="O62" s="509"/>
    </row>
    <row r="63" spans="3:15" s="710" customFormat="1" ht="18" hidden="1" customHeight="1">
      <c r="C63" s="710">
        <v>1</v>
      </c>
      <c r="D63" s="1222" t="s">
        <v>632</v>
      </c>
      <c r="E63" s="1223" t="s">
        <v>1876</v>
      </c>
      <c r="F63" s="670" t="s">
        <v>1785</v>
      </c>
      <c r="G63" s="1224">
        <v>1000</v>
      </c>
      <c r="H63" s="1224"/>
      <c r="I63" s="1224" t="s">
        <v>473</v>
      </c>
      <c r="J63" s="668">
        <f t="shared" si="1"/>
        <v>0</v>
      </c>
      <c r="K63" s="1224" t="s">
        <v>473</v>
      </c>
      <c r="L63" s="1225">
        <f>ROUND(SUMIF(T_BS!$F:$F,T198_TB!E63,T_BS!$X:$X),0)</f>
        <v>0</v>
      </c>
      <c r="M63" s="740" t="s">
        <v>0</v>
      </c>
      <c r="O63" s="509"/>
    </row>
    <row r="64" spans="3:15" s="710" customFormat="1" ht="18" hidden="1" customHeight="1">
      <c r="C64" s="710">
        <v>1</v>
      </c>
      <c r="D64" s="1222" t="s">
        <v>632</v>
      </c>
      <c r="E64" s="1223">
        <v>112900</v>
      </c>
      <c r="F64" s="670" t="s">
        <v>2673</v>
      </c>
      <c r="G64" s="1224">
        <v>1000</v>
      </c>
      <c r="H64" s="1224"/>
      <c r="I64" s="1224" t="s">
        <v>473</v>
      </c>
      <c r="J64" s="668">
        <f>+L64</f>
        <v>0</v>
      </c>
      <c r="K64" s="1224" t="s">
        <v>473</v>
      </c>
      <c r="L64" s="1225">
        <f>ROUND(SUMIF(T_BS!$F:$F,T198_TB!E64,T_BS!$X:$X),0)</f>
        <v>0</v>
      </c>
      <c r="M64" s="740" t="s">
        <v>2409</v>
      </c>
      <c r="O64" s="509"/>
    </row>
    <row r="65" spans="3:15" s="710" customFormat="1" ht="18" hidden="1" customHeight="1">
      <c r="C65" s="710">
        <v>1</v>
      </c>
      <c r="D65" s="1222" t="s">
        <v>632</v>
      </c>
      <c r="E65" s="1223">
        <v>3101</v>
      </c>
      <c r="F65" s="670" t="s">
        <v>651</v>
      </c>
      <c r="G65" s="1224">
        <v>1000</v>
      </c>
      <c r="H65" s="1224"/>
      <c r="I65" s="1224" t="s">
        <v>473</v>
      </c>
      <c r="J65" s="668">
        <f t="shared" si="1"/>
        <v>-41239359069</v>
      </c>
      <c r="K65" s="1224" t="s">
        <v>473</v>
      </c>
      <c r="L65" s="1225">
        <f>-ROUND(SUMIF(T_BS!$F:$F,T198_TB!E65,T_BS!$X:$X),0)</f>
        <v>-41239359069</v>
      </c>
      <c r="M65" s="740" t="s">
        <v>8</v>
      </c>
      <c r="O65" s="509"/>
    </row>
    <row r="66" spans="3:15" s="710" customFormat="1" ht="18" hidden="1" customHeight="1">
      <c r="C66" s="710">
        <v>1</v>
      </c>
      <c r="D66" s="1222" t="s">
        <v>632</v>
      </c>
      <c r="E66" s="1223">
        <v>3102</v>
      </c>
      <c r="F66" s="670" t="s">
        <v>653</v>
      </c>
      <c r="G66" s="1224">
        <v>1000</v>
      </c>
      <c r="H66" s="1224"/>
      <c r="I66" s="1224" t="s">
        <v>473</v>
      </c>
      <c r="J66" s="668">
        <f t="shared" si="1"/>
        <v>-42139722387</v>
      </c>
      <c r="K66" s="1224" t="s">
        <v>473</v>
      </c>
      <c r="L66" s="1225">
        <f>-ROUND(SUMIF(T_BS!$F:$F,T198_TB!E66,T_BS!$X:$X),0)</f>
        <v>-42139722387</v>
      </c>
      <c r="M66" s="740" t="s">
        <v>8</v>
      </c>
      <c r="O66" s="509"/>
    </row>
    <row r="67" spans="3:15" s="710" customFormat="1" ht="18" hidden="1" customHeight="1">
      <c r="C67" s="710">
        <v>1</v>
      </c>
      <c r="D67" s="1222" t="s">
        <v>632</v>
      </c>
      <c r="E67" s="1223">
        <v>3103</v>
      </c>
      <c r="F67" s="670" t="s">
        <v>657</v>
      </c>
      <c r="G67" s="1224">
        <v>1000</v>
      </c>
      <c r="H67" s="1224"/>
      <c r="I67" s="1224" t="s">
        <v>473</v>
      </c>
      <c r="J67" s="668">
        <f>+L67</f>
        <v>-3607088577</v>
      </c>
      <c r="K67" s="1224" t="s">
        <v>473</v>
      </c>
      <c r="L67" s="1225">
        <f>-ROUND(SUMIF(T_BS!$F:$F,T198_TB!E67,T_BS!$X:$X),0)</f>
        <v>-3607088577</v>
      </c>
      <c r="M67" s="740" t="s">
        <v>8</v>
      </c>
      <c r="O67" s="509"/>
    </row>
    <row r="68" spans="3:15" s="710" customFormat="1" ht="18" hidden="1" customHeight="1">
      <c r="C68" s="710">
        <v>1</v>
      </c>
      <c r="D68" s="1222" t="s">
        <v>632</v>
      </c>
      <c r="E68" s="1223">
        <v>3201</v>
      </c>
      <c r="F68" s="670" t="s">
        <v>656</v>
      </c>
      <c r="G68" s="1224">
        <v>1000</v>
      </c>
      <c r="H68" s="1224"/>
      <c r="I68" s="1224" t="s">
        <v>473</v>
      </c>
      <c r="J68" s="668">
        <f>+L68</f>
        <v>0</v>
      </c>
      <c r="K68" s="1224" t="s">
        <v>473</v>
      </c>
      <c r="L68" s="1225">
        <f>-ROUND(SUMIF(T_BS!$F:$F,T198_TB!E68,T_BS!$X:$X),0)</f>
        <v>0</v>
      </c>
      <c r="M68" s="740" t="s">
        <v>8</v>
      </c>
      <c r="O68" s="509"/>
    </row>
    <row r="69" spans="3:15" s="710" customFormat="1" ht="18" hidden="1" customHeight="1">
      <c r="C69" s="710">
        <v>1</v>
      </c>
      <c r="D69" s="1222" t="s">
        <v>632</v>
      </c>
      <c r="E69" s="1223">
        <v>3401</v>
      </c>
      <c r="F69" s="670" t="s">
        <v>654</v>
      </c>
      <c r="G69" s="1224">
        <v>1000</v>
      </c>
      <c r="H69" s="1224"/>
      <c r="I69" s="1224" t="s">
        <v>473</v>
      </c>
      <c r="J69" s="668">
        <f t="shared" si="1"/>
        <v>-1747514517</v>
      </c>
      <c r="K69" s="1224" t="s">
        <v>473</v>
      </c>
      <c r="L69" s="1225">
        <f>-ROUND(SUMIF(T_BS!$F:$F,T198_TB!E69,T_BS!$X:$X),0)</f>
        <v>-1747514517</v>
      </c>
      <c r="M69" s="740" t="s">
        <v>8</v>
      </c>
      <c r="O69" s="509"/>
    </row>
    <row r="70" spans="3:15" s="710" customFormat="1" ht="18" hidden="1" customHeight="1">
      <c r="C70" s="710">
        <v>1</v>
      </c>
      <c r="D70" s="1222" t="s">
        <v>632</v>
      </c>
      <c r="E70" s="1223">
        <v>3402</v>
      </c>
      <c r="F70" s="670" t="s">
        <v>655</v>
      </c>
      <c r="G70" s="1224">
        <v>1000</v>
      </c>
      <c r="H70" s="1224"/>
      <c r="I70" s="1224" t="s">
        <v>473</v>
      </c>
      <c r="J70" s="668">
        <f t="shared" si="1"/>
        <v>-810593068</v>
      </c>
      <c r="K70" s="1224" t="s">
        <v>473</v>
      </c>
      <c r="L70" s="1225">
        <f>-ROUND(SUMIF(T_BS!$F:$F,T198_TB!E70,T_BS!$X:$X),0)</f>
        <v>-810593068</v>
      </c>
      <c r="M70" s="740" t="s">
        <v>8</v>
      </c>
      <c r="O70" s="509"/>
    </row>
    <row r="71" spans="3:15" s="710" customFormat="1" ht="18" hidden="1" customHeight="1">
      <c r="C71" s="710">
        <v>1</v>
      </c>
      <c r="D71" s="1222" t="s">
        <v>632</v>
      </c>
      <c r="E71" s="1223">
        <v>3403</v>
      </c>
      <c r="F71" s="670" t="s">
        <v>661</v>
      </c>
      <c r="G71" s="1224">
        <v>1000</v>
      </c>
      <c r="H71" s="1224"/>
      <c r="I71" s="1224" t="s">
        <v>473</v>
      </c>
      <c r="J71" s="668">
        <f>+L71</f>
        <v>0</v>
      </c>
      <c r="K71" s="1224" t="s">
        <v>473</v>
      </c>
      <c r="L71" s="1225">
        <f>-ROUND(SUMIF(T_BS!$F:$F,T198_TB!E71,T_BS!$X:$X),0)</f>
        <v>0</v>
      </c>
      <c r="M71" s="740" t="s">
        <v>8</v>
      </c>
      <c r="O71" s="509"/>
    </row>
    <row r="72" spans="3:15" s="710" customFormat="1" ht="18" hidden="1" customHeight="1">
      <c r="C72" s="710">
        <v>1</v>
      </c>
      <c r="D72" s="1222" t="s">
        <v>632</v>
      </c>
      <c r="E72" s="1223">
        <v>3404</v>
      </c>
      <c r="F72" s="670" t="s">
        <v>180</v>
      </c>
      <c r="G72" s="1224">
        <v>1000</v>
      </c>
      <c r="H72" s="1224"/>
      <c r="I72" s="1224" t="s">
        <v>473</v>
      </c>
      <c r="J72" s="668">
        <f>+L72</f>
        <v>-519301300</v>
      </c>
      <c r="K72" s="1224" t="s">
        <v>473</v>
      </c>
      <c r="L72" s="1225">
        <f>-ROUND(SUMIF(T_BS!$F:$F,T198_TB!E72,T_BS!$X:$X),0)</f>
        <v>-519301300</v>
      </c>
      <c r="M72" s="740" t="s">
        <v>8</v>
      </c>
      <c r="O72" s="509"/>
    </row>
    <row r="73" spans="3:15" s="710" customFormat="1" ht="18" hidden="1" customHeight="1">
      <c r="C73" s="710">
        <v>1</v>
      </c>
      <c r="D73" s="1222" t="s">
        <v>632</v>
      </c>
      <c r="E73" s="1223">
        <v>3405</v>
      </c>
      <c r="F73" s="670" t="s">
        <v>2385</v>
      </c>
      <c r="G73" s="1224">
        <v>1000</v>
      </c>
      <c r="H73" s="1224"/>
      <c r="I73" s="1224" t="s">
        <v>473</v>
      </c>
      <c r="J73" s="668">
        <f>+L73</f>
        <v>0</v>
      </c>
      <c r="K73" s="1224" t="s">
        <v>473</v>
      </c>
      <c r="L73" s="1225">
        <f>-ROUND(SUMIF(T_BS!$F:$F,T198_TB!E73,T_BS!$X:$X),0)</f>
        <v>0</v>
      </c>
      <c r="M73" s="740" t="s">
        <v>8</v>
      </c>
      <c r="O73" s="509"/>
    </row>
    <row r="74" spans="3:15" s="710" customFormat="1" ht="18" hidden="1" customHeight="1">
      <c r="C74" s="710">
        <v>1</v>
      </c>
      <c r="D74" s="1222" t="s">
        <v>632</v>
      </c>
      <c r="E74" s="1232">
        <v>3406</v>
      </c>
      <c r="F74" s="1233" t="s">
        <v>1918</v>
      </c>
      <c r="G74" s="1224">
        <v>1000</v>
      </c>
      <c r="H74" s="1224"/>
      <c r="I74" s="1224" t="s">
        <v>473</v>
      </c>
      <c r="J74" s="668">
        <f>+L74</f>
        <v>-78160334</v>
      </c>
      <c r="K74" s="1224" t="s">
        <v>473</v>
      </c>
      <c r="L74" s="1225">
        <f>-ROUND(SUMIF(T_BS!$F:$F,T198_TB!E74,T_BS!$X:$X),0)</f>
        <v>-78160334</v>
      </c>
      <c r="M74" s="740" t="s">
        <v>8</v>
      </c>
      <c r="N74" s="509"/>
      <c r="O74" s="509"/>
    </row>
    <row r="75" spans="3:15" ht="18" hidden="1" customHeight="1">
      <c r="C75" s="710">
        <v>1</v>
      </c>
      <c r="D75" s="1222" t="s">
        <v>632</v>
      </c>
      <c r="E75" s="1232">
        <v>3408</v>
      </c>
      <c r="F75" s="1233" t="s">
        <v>2290</v>
      </c>
      <c r="G75" s="1224">
        <v>1000</v>
      </c>
      <c r="H75" s="1224"/>
      <c r="I75" s="1224" t="s">
        <v>473</v>
      </c>
      <c r="J75" s="668">
        <f>+L75</f>
        <v>-5968870183</v>
      </c>
      <c r="K75" s="1224" t="s">
        <v>473</v>
      </c>
      <c r="L75" s="1225">
        <f>-ROUND(SUMIF(T_BS!$F:$F,T198_TB!E75,T_BS!$X:$X),0)</f>
        <v>-5968870183</v>
      </c>
      <c r="M75" s="740" t="s">
        <v>8</v>
      </c>
    </row>
    <row r="76" spans="3:15" s="710" customFormat="1" ht="18" hidden="1" customHeight="1">
      <c r="C76" s="710">
        <v>1</v>
      </c>
      <c r="D76" s="1222" t="s">
        <v>632</v>
      </c>
      <c r="E76" s="1223">
        <v>3501</v>
      </c>
      <c r="F76" s="670" t="s">
        <v>658</v>
      </c>
      <c r="G76" s="1224">
        <v>1000</v>
      </c>
      <c r="H76" s="1224"/>
      <c r="I76" s="1224" t="s">
        <v>473</v>
      </c>
      <c r="J76" s="668">
        <f t="shared" ref="J76:J142" si="4">+L76</f>
        <v>0</v>
      </c>
      <c r="K76" s="1224" t="s">
        <v>473</v>
      </c>
      <c r="L76" s="1225">
        <f>-ROUND(SUMIF(T_BS!$F:$F,T198_TB!E76,T_BS!$X:$X),0)</f>
        <v>0</v>
      </c>
      <c r="M76" s="740" t="s">
        <v>8</v>
      </c>
      <c r="O76" s="509"/>
    </row>
    <row r="77" spans="3:15" s="710" customFormat="1" ht="18" hidden="1" customHeight="1">
      <c r="C77" s="710">
        <v>1</v>
      </c>
      <c r="D77" s="1222" t="s">
        <v>632</v>
      </c>
      <c r="E77" s="1223">
        <v>3502</v>
      </c>
      <c r="F77" s="670" t="s">
        <v>660</v>
      </c>
      <c r="G77" s="1224">
        <v>1000</v>
      </c>
      <c r="H77" s="1224"/>
      <c r="I77" s="1224" t="s">
        <v>473</v>
      </c>
      <c r="J77" s="668">
        <f>+L77</f>
        <v>0</v>
      </c>
      <c r="K77" s="1224" t="s">
        <v>473</v>
      </c>
      <c r="L77" s="1225">
        <f>-ROUND(SUMIF(T_BS!$F:$F,T198_TB!E77,T_BS!$X:$X),0)</f>
        <v>0</v>
      </c>
      <c r="M77" s="740" t="s">
        <v>8</v>
      </c>
      <c r="O77" s="509"/>
    </row>
    <row r="78" spans="3:15" s="710" customFormat="1" ht="18" hidden="1" customHeight="1">
      <c r="C78" s="710">
        <v>1</v>
      </c>
      <c r="D78" s="1222" t="s">
        <v>632</v>
      </c>
      <c r="E78" s="1223">
        <v>3503</v>
      </c>
      <c r="F78" s="670" t="s">
        <v>659</v>
      </c>
      <c r="G78" s="1224">
        <v>1000</v>
      </c>
      <c r="H78" s="1224"/>
      <c r="I78" s="1224" t="s">
        <v>473</v>
      </c>
      <c r="J78" s="668">
        <f t="shared" si="4"/>
        <v>0</v>
      </c>
      <c r="K78" s="1224" t="s">
        <v>473</v>
      </c>
      <c r="L78" s="1225">
        <f>-ROUND(SUMIF(T_BS!$F:$F,T198_TB!E78,T_BS!$X:$X),0)</f>
        <v>0</v>
      </c>
      <c r="M78" s="740" t="s">
        <v>8</v>
      </c>
      <c r="O78" s="509"/>
    </row>
    <row r="79" spans="3:15" s="710" customFormat="1" ht="18" hidden="1" customHeight="1">
      <c r="C79" s="710">
        <v>1</v>
      </c>
      <c r="D79" s="1222" t="s">
        <v>632</v>
      </c>
      <c r="E79" s="1223">
        <v>3504</v>
      </c>
      <c r="F79" s="1226" t="s">
        <v>1590</v>
      </c>
      <c r="G79" s="1224">
        <v>1000</v>
      </c>
      <c r="H79" s="1224"/>
      <c r="I79" s="1224" t="s">
        <v>473</v>
      </c>
      <c r="J79" s="668">
        <f>+L79</f>
        <v>-3506156002</v>
      </c>
      <c r="K79" s="1224" t="s">
        <v>473</v>
      </c>
      <c r="L79" s="1225">
        <f>-ROUND(SUMIF(T_BS!$F:$F,T198_TB!E79,T_BS!$X:$X),0)</f>
        <v>-3506156002</v>
      </c>
      <c r="M79" s="740" t="s">
        <v>8</v>
      </c>
      <c r="O79" s="509"/>
    </row>
    <row r="80" spans="3:15" s="710" customFormat="1" ht="18" hidden="1" customHeight="1">
      <c r="C80" s="710">
        <v>1</v>
      </c>
      <c r="D80" s="1222" t="s">
        <v>632</v>
      </c>
      <c r="E80" s="1223">
        <v>3505</v>
      </c>
      <c r="F80" s="670" t="s">
        <v>2678</v>
      </c>
      <c r="G80" s="1224">
        <v>1000</v>
      </c>
      <c r="H80" s="1224"/>
      <c r="I80" s="1224" t="s">
        <v>473</v>
      </c>
      <c r="J80" s="668">
        <f t="shared" si="4"/>
        <v>0</v>
      </c>
      <c r="K80" s="1224" t="s">
        <v>473</v>
      </c>
      <c r="L80" s="1225">
        <f>-ROUND(SUMIF(T_BS!$F:$F,T198_TB!E80,T_BS!$X:$X),0)</f>
        <v>0</v>
      </c>
      <c r="M80" s="740" t="s">
        <v>8</v>
      </c>
      <c r="O80" s="509"/>
    </row>
    <row r="81" spans="3:15" s="710" customFormat="1" ht="18" hidden="1" customHeight="1">
      <c r="C81" s="710">
        <v>1</v>
      </c>
      <c r="D81" s="1222" t="s">
        <v>632</v>
      </c>
      <c r="E81" s="1223">
        <v>4103</v>
      </c>
      <c r="F81" s="670" t="s">
        <v>1587</v>
      </c>
      <c r="G81" s="1224">
        <v>1000</v>
      </c>
      <c r="H81" s="1224"/>
      <c r="I81" s="1224" t="s">
        <v>473</v>
      </c>
      <c r="J81" s="668">
        <f t="shared" ref="J81:J87" si="5">+L81</f>
        <v>0</v>
      </c>
      <c r="K81" s="1224" t="s">
        <v>473</v>
      </c>
      <c r="L81" s="1225">
        <f>-ROUND(SUMIF(T_BS!$F:$F,T198_TB!E81,T_BS!$X:$X),0)</f>
        <v>0</v>
      </c>
      <c r="M81" s="740" t="s">
        <v>8</v>
      </c>
      <c r="O81" s="509"/>
    </row>
    <row r="82" spans="3:15" s="710" customFormat="1" ht="18" hidden="1" customHeight="1">
      <c r="C82" s="710">
        <v>1</v>
      </c>
      <c r="D82" s="1222" t="s">
        <v>632</v>
      </c>
      <c r="E82" s="1223">
        <v>4104</v>
      </c>
      <c r="F82" s="1226" t="s">
        <v>1695</v>
      </c>
      <c r="G82" s="1224">
        <v>1000</v>
      </c>
      <c r="H82" s="1224"/>
      <c r="I82" s="1224" t="s">
        <v>473</v>
      </c>
      <c r="J82" s="668">
        <f t="shared" si="5"/>
        <v>0</v>
      </c>
      <c r="K82" s="1224" t="s">
        <v>473</v>
      </c>
      <c r="L82" s="1225">
        <f>-ROUND(SUMIF(T_BS!$F:$F,T198_TB!E82,T_BS!$X:$X),0)</f>
        <v>0</v>
      </c>
      <c r="M82" s="740" t="s">
        <v>8</v>
      </c>
      <c r="O82" s="509"/>
    </row>
    <row r="83" spans="3:15" s="710" customFormat="1" ht="18" hidden="1" customHeight="1">
      <c r="C83" s="710">
        <v>1</v>
      </c>
      <c r="D83" s="2070" t="s">
        <v>632</v>
      </c>
      <c r="E83" s="2071">
        <v>4201</v>
      </c>
      <c r="F83" s="2072" t="s">
        <v>2920</v>
      </c>
      <c r="G83" s="2073">
        <v>1000</v>
      </c>
      <c r="H83" s="2073"/>
      <c r="I83" s="2073" t="s">
        <v>473</v>
      </c>
      <c r="J83" s="2074">
        <f>L83</f>
        <v>-6661258189</v>
      </c>
      <c r="K83" s="2073" t="s">
        <v>473</v>
      </c>
      <c r="L83" s="2075">
        <f>T_BS!X148-T_BS!X218</f>
        <v>-6661258189</v>
      </c>
      <c r="M83" s="740" t="s">
        <v>8</v>
      </c>
      <c r="O83" s="509"/>
    </row>
    <row r="84" spans="3:15" s="710" customFormat="1" ht="18" customHeight="1">
      <c r="C84" s="710">
        <v>1</v>
      </c>
      <c r="D84" s="2070" t="s">
        <v>632</v>
      </c>
      <c r="E84" s="2071">
        <v>4202</v>
      </c>
      <c r="F84" s="2072" t="s">
        <v>663</v>
      </c>
      <c r="G84" s="2073">
        <v>1000</v>
      </c>
      <c r="H84" s="2073"/>
      <c r="I84" s="2073" t="s">
        <v>473</v>
      </c>
      <c r="J84" s="2074">
        <f t="shared" si="5"/>
        <v>8919193078</v>
      </c>
      <c r="K84" s="2073" t="s">
        <v>473</v>
      </c>
      <c r="L84" s="2075">
        <f>ROUND(SUMIF(T_BS!$F:$F,T198_TB!E84,T_BS!$X:$X),0)</f>
        <v>8919193078</v>
      </c>
      <c r="M84" s="740" t="s">
        <v>1819</v>
      </c>
      <c r="O84" s="509"/>
    </row>
    <row r="85" spans="3:15" s="710" customFormat="1" ht="18" hidden="1" customHeight="1">
      <c r="C85" s="710">
        <v>1</v>
      </c>
      <c r="D85" s="1222" t="s">
        <v>632</v>
      </c>
      <c r="E85" s="1223">
        <v>4301</v>
      </c>
      <c r="F85" s="670" t="s">
        <v>664</v>
      </c>
      <c r="G85" s="1224">
        <v>1000</v>
      </c>
      <c r="H85" s="1224"/>
      <c r="I85" s="1224" t="s">
        <v>473</v>
      </c>
      <c r="J85" s="668">
        <f t="shared" si="5"/>
        <v>0</v>
      </c>
      <c r="K85" s="1224" t="s">
        <v>473</v>
      </c>
      <c r="L85" s="1225">
        <f>-ROUND(SUMIF(T_BS!$F:$F,T198_TB!E85,T_BS!$X:$X),0)</f>
        <v>0</v>
      </c>
      <c r="M85" s="740" t="s">
        <v>8</v>
      </c>
      <c r="O85" s="509"/>
    </row>
    <row r="86" spans="3:15" s="710" customFormat="1" ht="18" hidden="1" customHeight="1">
      <c r="C86" s="710">
        <v>1</v>
      </c>
      <c r="D86" s="1222" t="s">
        <v>632</v>
      </c>
      <c r="E86" s="1223">
        <v>4402</v>
      </c>
      <c r="F86" s="670" t="s">
        <v>188</v>
      </c>
      <c r="G86" s="1224">
        <v>1000</v>
      </c>
      <c r="H86" s="1224"/>
      <c r="I86" s="1224" t="s">
        <v>473</v>
      </c>
      <c r="J86" s="668">
        <f t="shared" si="5"/>
        <v>-114155295</v>
      </c>
      <c r="K86" s="1224" t="s">
        <v>473</v>
      </c>
      <c r="L86" s="1225">
        <f>-ROUND(SUMIF(T_BS!$F:$F,T198_TB!E86,T_BS!$X:$X),0)</f>
        <v>-114155295</v>
      </c>
      <c r="M86" s="740" t="s">
        <v>8</v>
      </c>
      <c r="O86" s="509"/>
    </row>
    <row r="87" spans="3:15" s="710" customFormat="1" ht="18" hidden="1" customHeight="1">
      <c r="C87" s="710">
        <v>1</v>
      </c>
      <c r="D87" s="1222" t="s">
        <v>632</v>
      </c>
      <c r="E87" s="1223">
        <v>4438</v>
      </c>
      <c r="F87" s="670" t="s">
        <v>2324</v>
      </c>
      <c r="G87" s="1224">
        <v>1000</v>
      </c>
      <c r="H87" s="1224"/>
      <c r="I87" s="1224" t="s">
        <v>473</v>
      </c>
      <c r="J87" s="668">
        <f t="shared" si="5"/>
        <v>-1017763600</v>
      </c>
      <c r="K87" s="1224" t="s">
        <v>473</v>
      </c>
      <c r="L87" s="1225">
        <f>-ROUND(SUMIF(T_BS!$F:$F,T198_TB!E87,T_BS!$X:$X),0)</f>
        <v>-1017763600</v>
      </c>
      <c r="M87" s="740" t="s">
        <v>8</v>
      </c>
      <c r="O87" s="509"/>
    </row>
    <row r="88" spans="3:15" s="710" customFormat="1" ht="18" hidden="1" customHeight="1">
      <c r="C88" s="710">
        <v>1</v>
      </c>
      <c r="D88" s="1222" t="s">
        <v>632</v>
      </c>
      <c r="E88" s="1223">
        <v>4601</v>
      </c>
      <c r="F88" s="670" t="s">
        <v>1591</v>
      </c>
      <c r="G88" s="1224">
        <v>1000</v>
      </c>
      <c r="H88" s="1224"/>
      <c r="I88" s="1224" t="s">
        <v>473</v>
      </c>
      <c r="J88" s="668">
        <f t="shared" si="4"/>
        <v>-2712858532</v>
      </c>
      <c r="K88" s="1224" t="s">
        <v>473</v>
      </c>
      <c r="L88" s="1225">
        <f>-ROUND(SUMIF(T_BS!$F:$F,T198_TB!E88,T_BS!$X:$X),0)</f>
        <v>-2712858532</v>
      </c>
      <c r="M88" s="740" t="s">
        <v>8</v>
      </c>
      <c r="O88" s="509"/>
    </row>
    <row r="89" spans="3:15" s="710" customFormat="1" ht="18" hidden="1" customHeight="1">
      <c r="C89" s="710">
        <v>1</v>
      </c>
      <c r="D89" s="1222" t="s">
        <v>632</v>
      </c>
      <c r="E89" s="1223">
        <v>219000</v>
      </c>
      <c r="F89" s="670" t="s">
        <v>2674</v>
      </c>
      <c r="G89" s="1224">
        <v>1000</v>
      </c>
      <c r="H89" s="1224"/>
      <c r="I89" s="1224" t="s">
        <v>473</v>
      </c>
      <c r="J89" s="668">
        <f t="shared" si="4"/>
        <v>-1037478723</v>
      </c>
      <c r="K89" s="1224" t="s">
        <v>473</v>
      </c>
      <c r="L89" s="1225">
        <f>-ROUND(SUMIF(T_BS!$F:$F,T198_TB!E89,T_BS!$X:$X),0)</f>
        <v>-1037478723</v>
      </c>
      <c r="M89" s="740" t="s">
        <v>8</v>
      </c>
      <c r="O89" s="509"/>
    </row>
    <row r="90" spans="3:15" s="710" customFormat="1" ht="18" hidden="1" customHeight="1">
      <c r="C90" s="710">
        <v>1</v>
      </c>
      <c r="D90" s="1222" t="s">
        <v>632</v>
      </c>
      <c r="E90" s="1223">
        <v>5101</v>
      </c>
      <c r="F90" s="670" t="s">
        <v>190</v>
      </c>
      <c r="G90" s="1224">
        <v>1000</v>
      </c>
      <c r="H90" s="1224"/>
      <c r="I90" s="1224" t="s">
        <v>473</v>
      </c>
      <c r="J90" s="668">
        <f t="shared" si="4"/>
        <v>-28429923500</v>
      </c>
      <c r="K90" s="1224" t="s">
        <v>473</v>
      </c>
      <c r="L90" s="1225">
        <f>-ROUND(SUMIF(T_BS!$F:$F,T198_TB!E90,T_BS!$X:$X),0)</f>
        <v>-28429923500</v>
      </c>
      <c r="M90" s="740" t="s">
        <v>546</v>
      </c>
      <c r="O90" s="509"/>
    </row>
    <row r="91" spans="3:15" s="710" customFormat="1" ht="18" hidden="1" customHeight="1">
      <c r="C91" s="710">
        <v>1</v>
      </c>
      <c r="D91" s="2076" t="s">
        <v>632</v>
      </c>
      <c r="E91" s="2077">
        <v>5102</v>
      </c>
      <c r="F91" s="2078" t="s">
        <v>2914</v>
      </c>
      <c r="G91" s="2073">
        <v>1000</v>
      </c>
      <c r="H91" s="2073"/>
      <c r="I91" s="2073" t="s">
        <v>473</v>
      </c>
      <c r="J91" s="2074">
        <f t="shared" si="4"/>
        <v>-9380863000</v>
      </c>
      <c r="K91" s="2073" t="s">
        <v>473</v>
      </c>
      <c r="L91" s="2075">
        <f>-ROUND(SUMIF(T_BS!$F:$F,T198_TB!E91,T_BS!$X:$X),0)</f>
        <v>-9380863000</v>
      </c>
      <c r="M91" s="740" t="s">
        <v>546</v>
      </c>
      <c r="O91" s="509"/>
    </row>
    <row r="92" spans="3:15" s="710" customFormat="1" ht="18" hidden="1" customHeight="1">
      <c r="C92" s="710">
        <v>1</v>
      </c>
      <c r="D92" s="1222" t="s">
        <v>632</v>
      </c>
      <c r="E92" s="1223">
        <v>5201</v>
      </c>
      <c r="F92" s="670" t="s">
        <v>191</v>
      </c>
      <c r="G92" s="1224">
        <v>1000</v>
      </c>
      <c r="H92" s="1224"/>
      <c r="I92" s="1224" t="s">
        <v>473</v>
      </c>
      <c r="J92" s="668">
        <f t="shared" si="4"/>
        <v>-109628063914</v>
      </c>
      <c r="K92" s="1224" t="s">
        <v>473</v>
      </c>
      <c r="L92" s="1225">
        <f>-ROUND(SUMIF(T_BS!$F:$F,T198_TB!E92,T_BS!$X:$X),0)</f>
        <v>-109628063914</v>
      </c>
      <c r="M92" s="740" t="s">
        <v>546</v>
      </c>
      <c r="O92" s="509"/>
    </row>
    <row r="93" spans="3:15" s="710" customFormat="1" ht="18" hidden="1" customHeight="1">
      <c r="C93" s="710">
        <v>1</v>
      </c>
      <c r="D93" s="1222" t="s">
        <v>632</v>
      </c>
      <c r="E93" s="1223">
        <v>5202</v>
      </c>
      <c r="F93" s="670" t="s">
        <v>665</v>
      </c>
      <c r="G93" s="1224">
        <v>1000</v>
      </c>
      <c r="H93" s="1224"/>
      <c r="I93" s="1224" t="s">
        <v>473</v>
      </c>
      <c r="J93" s="668">
        <f t="shared" si="4"/>
        <v>-1076616039</v>
      </c>
      <c r="K93" s="1224" t="s">
        <v>473</v>
      </c>
      <c r="L93" s="1225">
        <f>-ROUND(SUMIF(T_BS!$F:$F,T198_TB!E93,T_BS!$X:$X),0)</f>
        <v>-1076616039</v>
      </c>
      <c r="M93" s="740" t="s">
        <v>546</v>
      </c>
      <c r="O93" s="509"/>
    </row>
    <row r="94" spans="3:15" s="710" customFormat="1" ht="18" hidden="1" customHeight="1">
      <c r="C94" s="710">
        <v>1</v>
      </c>
      <c r="D94" s="1222" t="s">
        <v>632</v>
      </c>
      <c r="E94" s="1223">
        <v>5203</v>
      </c>
      <c r="F94" s="670" t="s">
        <v>192</v>
      </c>
      <c r="G94" s="1224">
        <v>1000</v>
      </c>
      <c r="H94" s="1224"/>
      <c r="I94" s="1224" t="s">
        <v>473</v>
      </c>
      <c r="J94" s="668">
        <f t="shared" si="4"/>
        <v>0</v>
      </c>
      <c r="K94" s="1224" t="s">
        <v>473</v>
      </c>
      <c r="L94" s="1225">
        <f>-ROUND(SUMIF(T_BS!$F:$F,T198_TB!E94,T_BS!$X:$X),0)</f>
        <v>0</v>
      </c>
      <c r="M94" s="740" t="s">
        <v>546</v>
      </c>
      <c r="O94" s="509"/>
    </row>
    <row r="95" spans="3:15" s="710" customFormat="1" ht="18" hidden="1" customHeight="1">
      <c r="C95" s="710">
        <v>1</v>
      </c>
      <c r="D95" s="1222" t="s">
        <v>632</v>
      </c>
      <c r="E95" s="1223">
        <v>5301</v>
      </c>
      <c r="F95" s="670" t="s">
        <v>196</v>
      </c>
      <c r="G95" s="1224">
        <v>1000</v>
      </c>
      <c r="H95" s="1224"/>
      <c r="I95" s="1224" t="s">
        <v>473</v>
      </c>
      <c r="J95" s="668">
        <f t="shared" si="4"/>
        <v>1293810742</v>
      </c>
      <c r="K95" s="1224" t="s">
        <v>473</v>
      </c>
      <c r="L95" s="1225">
        <f>-ROUND(SUMIF(T_BS!$F:$F,T198_TB!E95,T_BS!$X:$X),0)</f>
        <v>1293810742</v>
      </c>
      <c r="M95" s="740" t="s">
        <v>546</v>
      </c>
      <c r="O95" s="509"/>
    </row>
    <row r="96" spans="3:15" s="710" customFormat="1" ht="18" hidden="1" customHeight="1">
      <c r="C96" s="710">
        <v>1</v>
      </c>
      <c r="D96" s="1222" t="s">
        <v>632</v>
      </c>
      <c r="E96" s="1223">
        <v>5302</v>
      </c>
      <c r="F96" s="670" t="s">
        <v>1592</v>
      </c>
      <c r="G96" s="1224">
        <v>1000</v>
      </c>
      <c r="H96" s="1224"/>
      <c r="I96" s="1224" t="s">
        <v>473</v>
      </c>
      <c r="J96" s="668">
        <f>+L96</f>
        <v>-1083527473</v>
      </c>
      <c r="K96" s="1224" t="s">
        <v>473</v>
      </c>
      <c r="L96" s="1225">
        <f>-ROUND(SUMIF(T_BS!$F:$F,T198_TB!E96,T_BS!$X:$X),0)</f>
        <v>-1083527473</v>
      </c>
      <c r="M96" s="740" t="s">
        <v>546</v>
      </c>
      <c r="O96" s="509"/>
    </row>
    <row r="97" spans="3:15" s="710" customFormat="1" ht="18" hidden="1" customHeight="1">
      <c r="C97" s="710">
        <v>1</v>
      </c>
      <c r="D97" s="1222" t="s">
        <v>632</v>
      </c>
      <c r="E97" s="1223">
        <v>5304</v>
      </c>
      <c r="F97" s="670" t="s">
        <v>666</v>
      </c>
      <c r="G97" s="1224">
        <v>1000</v>
      </c>
      <c r="H97" s="1224"/>
      <c r="I97" s="1224" t="s">
        <v>473</v>
      </c>
      <c r="J97" s="668">
        <f t="shared" si="4"/>
        <v>2731869088</v>
      </c>
      <c r="K97" s="1224" t="s">
        <v>473</v>
      </c>
      <c r="L97" s="1225">
        <f>-ROUND(SUMIF(T_BS!$F:$F,T198_TB!E97,T_BS!$X:$X),0)</f>
        <v>2731869088</v>
      </c>
      <c r="M97" s="740" t="s">
        <v>546</v>
      </c>
      <c r="O97" s="509"/>
    </row>
    <row r="98" spans="3:15" s="925" customFormat="1" ht="18" hidden="1" customHeight="1">
      <c r="C98" s="925">
        <v>1</v>
      </c>
      <c r="D98" s="1230" t="s">
        <v>632</v>
      </c>
      <c r="E98" s="1231">
        <v>5305</v>
      </c>
      <c r="F98" s="670" t="s">
        <v>200</v>
      </c>
      <c r="G98" s="1224">
        <v>1000</v>
      </c>
      <c r="H98" s="1224"/>
      <c r="I98" s="1224" t="s">
        <v>473</v>
      </c>
      <c r="J98" s="668">
        <f t="shared" si="4"/>
        <v>0</v>
      </c>
      <c r="K98" s="1224" t="s">
        <v>473</v>
      </c>
      <c r="L98" s="1225">
        <f>-ROUND(SUMIF(T_BS!$F:$F,T198_TB!E98,T_BS!$X:$X),0)</f>
        <v>0</v>
      </c>
      <c r="M98" s="740" t="s">
        <v>546</v>
      </c>
      <c r="O98" s="509"/>
    </row>
    <row r="99" spans="3:15" s="710" customFormat="1" ht="18" hidden="1" customHeight="1">
      <c r="C99" s="710">
        <v>1</v>
      </c>
      <c r="D99" s="1222" t="s">
        <v>632</v>
      </c>
      <c r="E99" s="1223">
        <v>5307</v>
      </c>
      <c r="F99" s="670" t="s">
        <v>204</v>
      </c>
      <c r="G99" s="1224">
        <v>1000</v>
      </c>
      <c r="H99" s="1224"/>
      <c r="I99" s="1224" t="s">
        <v>473</v>
      </c>
      <c r="J99" s="668">
        <f t="shared" si="4"/>
        <v>-1832663423</v>
      </c>
      <c r="K99" s="1224" t="s">
        <v>473</v>
      </c>
      <c r="L99" s="1225">
        <f>-ROUND(SUMIF(T_BS!$F:$F,T198_TB!E99,T_BS!$X:$X),0)</f>
        <v>-1832663423</v>
      </c>
      <c r="M99" s="740" t="s">
        <v>546</v>
      </c>
      <c r="O99" s="509"/>
    </row>
    <row r="100" spans="3:15" s="710" customFormat="1" ht="18" hidden="1" customHeight="1">
      <c r="C100" s="710">
        <v>1</v>
      </c>
      <c r="D100" s="1222" t="s">
        <v>632</v>
      </c>
      <c r="E100" s="1223">
        <v>5401</v>
      </c>
      <c r="F100" s="670" t="s">
        <v>527</v>
      </c>
      <c r="G100" s="1224">
        <v>1000</v>
      </c>
      <c r="H100" s="1224"/>
      <c r="I100" s="1224" t="s">
        <v>473</v>
      </c>
      <c r="J100" s="668">
        <f>+L100</f>
        <v>-2586305230</v>
      </c>
      <c r="K100" s="1224" t="s">
        <v>473</v>
      </c>
      <c r="L100" s="1225">
        <f>-ROUND(SUMIF(T_BS!$F:$F,T198_TB!E100,T_BS!$X:$X),0)</f>
        <v>-2586305230</v>
      </c>
      <c r="M100" s="740" t="s">
        <v>546</v>
      </c>
      <c r="O100" s="509"/>
    </row>
    <row r="101" spans="3:15" s="710" customFormat="1" ht="18" hidden="1" customHeight="1">
      <c r="C101" s="710">
        <v>1</v>
      </c>
      <c r="D101" s="1222" t="s">
        <v>632</v>
      </c>
      <c r="E101" s="1223">
        <v>5402</v>
      </c>
      <c r="F101" s="670" t="s">
        <v>401</v>
      </c>
      <c r="G101" s="1224">
        <v>1000</v>
      </c>
      <c r="H101" s="1224"/>
      <c r="I101" s="1224" t="s">
        <v>473</v>
      </c>
      <c r="J101" s="668">
        <f t="shared" si="4"/>
        <v>8910020994</v>
      </c>
      <c r="K101" s="1224" t="s">
        <v>473</v>
      </c>
      <c r="L101" s="1225">
        <f>-ROUND(SUMIF(T_BS!$F:$F,T198_TB!E101,T_BS!$X:$X),0)</f>
        <v>8910020994</v>
      </c>
      <c r="M101" s="740" t="s">
        <v>546</v>
      </c>
      <c r="O101" s="509"/>
    </row>
    <row r="102" spans="3:15" s="710" customFormat="1" ht="18" hidden="1" customHeight="1">
      <c r="C102" s="710">
        <v>1</v>
      </c>
      <c r="D102" s="1222" t="s">
        <v>632</v>
      </c>
      <c r="E102" s="1223">
        <v>101</v>
      </c>
      <c r="F102" s="670" t="s">
        <v>667</v>
      </c>
      <c r="G102" s="1224">
        <v>1000</v>
      </c>
      <c r="H102" s="1224"/>
      <c r="I102" s="1224" t="s">
        <v>473</v>
      </c>
      <c r="J102" s="668">
        <f t="shared" si="4"/>
        <v>-42707332254</v>
      </c>
      <c r="K102" s="1224" t="s">
        <v>473</v>
      </c>
      <c r="L102" s="1225">
        <f>-ROUND(SUMIF(T_IS!$F:$F,T198_TB!E102,T_IS!$X:$X),0)</f>
        <v>-42707332254</v>
      </c>
      <c r="M102" s="740" t="s">
        <v>690</v>
      </c>
      <c r="O102" s="509"/>
    </row>
    <row r="103" spans="3:15" s="710" customFormat="1" ht="18" hidden="1" customHeight="1">
      <c r="C103" s="710">
        <v>1</v>
      </c>
      <c r="D103" s="1222" t="s">
        <v>632</v>
      </c>
      <c r="E103" s="1223">
        <v>102</v>
      </c>
      <c r="F103" s="670" t="s">
        <v>668</v>
      </c>
      <c r="G103" s="1224">
        <v>1000</v>
      </c>
      <c r="H103" s="1224"/>
      <c r="I103" s="1224" t="s">
        <v>473</v>
      </c>
      <c r="J103" s="668">
        <f t="shared" si="4"/>
        <v>-1600082774</v>
      </c>
      <c r="K103" s="1224" t="s">
        <v>473</v>
      </c>
      <c r="L103" s="1225">
        <f>-ROUND(SUMIF(T_IS!$F:$F,T198_TB!E103,T_IS!$X:$X),0)</f>
        <v>-1600082774</v>
      </c>
      <c r="M103" s="740" t="s">
        <v>690</v>
      </c>
      <c r="O103" s="509"/>
    </row>
    <row r="104" spans="3:15" s="710" customFormat="1" ht="18" hidden="1" customHeight="1">
      <c r="C104" s="710">
        <v>1</v>
      </c>
      <c r="D104" s="1222" t="s">
        <v>632</v>
      </c>
      <c r="E104" s="1223">
        <v>103</v>
      </c>
      <c r="F104" s="670" t="s">
        <v>237</v>
      </c>
      <c r="G104" s="1224">
        <v>1000</v>
      </c>
      <c r="H104" s="1224"/>
      <c r="I104" s="1224" t="s">
        <v>473</v>
      </c>
      <c r="J104" s="668">
        <f>+L104</f>
        <v>-191924586392</v>
      </c>
      <c r="K104" s="1224" t="s">
        <v>473</v>
      </c>
      <c r="L104" s="1225">
        <f>-ROUND(SUMIF(T_IS!$F:$F,T198_TB!E104,T_IS!$X:$X),0)</f>
        <v>-191924586392</v>
      </c>
      <c r="M104" s="740" t="s">
        <v>690</v>
      </c>
      <c r="O104" s="509"/>
    </row>
    <row r="105" spans="3:15" s="710" customFormat="1" ht="18" hidden="1" customHeight="1">
      <c r="C105" s="710">
        <v>1</v>
      </c>
      <c r="D105" s="1222" t="s">
        <v>632</v>
      </c>
      <c r="E105" s="1223">
        <v>105</v>
      </c>
      <c r="F105" s="670" t="s">
        <v>669</v>
      </c>
      <c r="G105" s="1224">
        <v>1000</v>
      </c>
      <c r="H105" s="1224"/>
      <c r="I105" s="1224" t="s">
        <v>473</v>
      </c>
      <c r="J105" s="668">
        <f t="shared" si="4"/>
        <v>-19353758412</v>
      </c>
      <c r="K105" s="1224" t="s">
        <v>473</v>
      </c>
      <c r="L105" s="1225">
        <f>-ROUND(SUMIF(T_IS!$F:$F,T198_TB!E105,T_IS!$X:$X),0)</f>
        <v>-19353758412</v>
      </c>
      <c r="M105" s="740" t="s">
        <v>690</v>
      </c>
      <c r="O105" s="509"/>
    </row>
    <row r="106" spans="3:15" s="710" customFormat="1" ht="18" hidden="1" customHeight="1">
      <c r="C106" s="710">
        <v>1</v>
      </c>
      <c r="D106" s="1222" t="s">
        <v>632</v>
      </c>
      <c r="E106" s="1223">
        <v>106</v>
      </c>
      <c r="F106" s="670" t="s">
        <v>670</v>
      </c>
      <c r="G106" s="1224">
        <v>1000</v>
      </c>
      <c r="H106" s="1224"/>
      <c r="I106" s="1224" t="s">
        <v>473</v>
      </c>
      <c r="J106" s="668">
        <f t="shared" si="4"/>
        <v>-18638352841</v>
      </c>
      <c r="K106" s="1224" t="s">
        <v>473</v>
      </c>
      <c r="L106" s="1225">
        <f>-ROUND(SUMIF(T_IS!$F:$F,T198_TB!E106,T_IS!$X:$X),0)</f>
        <v>-18638352841</v>
      </c>
      <c r="M106" s="740" t="s">
        <v>690</v>
      </c>
      <c r="O106" s="509"/>
    </row>
    <row r="107" spans="3:15" s="710" customFormat="1" ht="18" hidden="1" customHeight="1">
      <c r="C107" s="710">
        <v>1</v>
      </c>
      <c r="D107" s="1222" t="s">
        <v>632</v>
      </c>
      <c r="E107" s="1223">
        <v>201</v>
      </c>
      <c r="F107" s="670" t="s">
        <v>240</v>
      </c>
      <c r="G107" s="1224">
        <v>1000</v>
      </c>
      <c r="H107" s="1224"/>
      <c r="I107" s="1224" t="s">
        <v>473</v>
      </c>
      <c r="J107" s="668">
        <f t="shared" si="4"/>
        <v>51908544506</v>
      </c>
      <c r="K107" s="1224" t="s">
        <v>473</v>
      </c>
      <c r="L107" s="1225">
        <f>ROUND(SUMIF(T_IS!$F:$F,T198_TB!E107,T_IS!$X:$X),0)</f>
        <v>51908544506</v>
      </c>
      <c r="M107" s="740" t="s">
        <v>2614</v>
      </c>
      <c r="O107" s="509"/>
    </row>
    <row r="108" spans="3:15" s="710" customFormat="1" ht="18" hidden="1" customHeight="1">
      <c r="C108" s="710">
        <v>1</v>
      </c>
      <c r="D108" s="1222" t="s">
        <v>632</v>
      </c>
      <c r="E108" s="1223">
        <v>202</v>
      </c>
      <c r="F108" s="670" t="s">
        <v>242</v>
      </c>
      <c r="G108" s="1224">
        <v>1000</v>
      </c>
      <c r="H108" s="1224"/>
      <c r="I108" s="1224" t="s">
        <v>473</v>
      </c>
      <c r="J108" s="668">
        <f t="shared" si="4"/>
        <v>12697399861</v>
      </c>
      <c r="K108" s="1224" t="s">
        <v>473</v>
      </c>
      <c r="L108" s="1225">
        <f>ROUND(SUMIF(T_IS!$F:$F,T198_TB!E108,T_IS!$X:$X),0)</f>
        <v>12697399861</v>
      </c>
      <c r="M108" s="740" t="s">
        <v>2614</v>
      </c>
      <c r="O108" s="509"/>
    </row>
    <row r="109" spans="3:15" s="710" customFormat="1" ht="18" hidden="1" customHeight="1">
      <c r="C109" s="710">
        <v>1</v>
      </c>
      <c r="D109" s="1222" t="s">
        <v>632</v>
      </c>
      <c r="E109" s="1223">
        <v>204</v>
      </c>
      <c r="F109" s="670" t="s">
        <v>256</v>
      </c>
      <c r="G109" s="1224">
        <v>1000</v>
      </c>
      <c r="H109" s="1224"/>
      <c r="I109" s="1224" t="s">
        <v>473</v>
      </c>
      <c r="J109" s="668">
        <f t="shared" si="4"/>
        <v>150127492879</v>
      </c>
      <c r="K109" s="1224" t="s">
        <v>473</v>
      </c>
      <c r="L109" s="1225">
        <f>ROUND(SUMIF(T_IS!$F:$F,T198_TB!E109,T_IS!$X:$X),0)</f>
        <v>150127492879</v>
      </c>
      <c r="M109" s="740" t="s">
        <v>2607</v>
      </c>
      <c r="O109" s="509"/>
    </row>
    <row r="110" spans="3:15" s="710" customFormat="1" ht="18" hidden="1" customHeight="1">
      <c r="C110" s="710">
        <v>1</v>
      </c>
      <c r="D110" s="1222" t="s">
        <v>632</v>
      </c>
      <c r="E110" s="1223">
        <v>301</v>
      </c>
      <c r="F110" s="670" t="s">
        <v>260</v>
      </c>
      <c r="G110" s="1224">
        <v>1000</v>
      </c>
      <c r="H110" s="1224"/>
      <c r="I110" s="1224" t="s">
        <v>473</v>
      </c>
      <c r="J110" s="668">
        <f t="shared" si="4"/>
        <v>19604007917</v>
      </c>
      <c r="K110" s="1224" t="s">
        <v>473</v>
      </c>
      <c r="L110" s="1225">
        <f>ROUND(SUMIF(T_IS!$F:$F,T198_TB!E110,T_IS!$X:$X),0)</f>
        <v>19604007917</v>
      </c>
      <c r="M110" s="740" t="s">
        <v>2609</v>
      </c>
      <c r="O110" s="509"/>
    </row>
    <row r="111" spans="3:15" s="710" customFormat="1" ht="18" hidden="1" customHeight="1">
      <c r="C111" s="710">
        <v>1</v>
      </c>
      <c r="D111" s="1222" t="s">
        <v>632</v>
      </c>
      <c r="E111" s="1223">
        <v>302</v>
      </c>
      <c r="F111" s="670" t="s">
        <v>2026</v>
      </c>
      <c r="G111" s="1224">
        <v>1000</v>
      </c>
      <c r="H111" s="1224"/>
      <c r="I111" s="1224" t="s">
        <v>473</v>
      </c>
      <c r="J111" s="668">
        <f t="shared" si="4"/>
        <v>1923652941</v>
      </c>
      <c r="K111" s="1224" t="s">
        <v>473</v>
      </c>
      <c r="L111" s="1225">
        <f>ROUND(SUMIF(T_IS!$F:$F,T198_TB!E111,T_IS!$X:$X),0)</f>
        <v>1923652941</v>
      </c>
      <c r="M111" s="740" t="s">
        <v>2609</v>
      </c>
      <c r="O111" s="509"/>
    </row>
    <row r="112" spans="3:15" s="710" customFormat="1" ht="18" hidden="1" customHeight="1">
      <c r="C112" s="710">
        <v>1</v>
      </c>
      <c r="D112" s="1222" t="s">
        <v>632</v>
      </c>
      <c r="E112" s="1223">
        <v>303</v>
      </c>
      <c r="F112" s="670" t="s">
        <v>758</v>
      </c>
      <c r="G112" s="1224">
        <v>1000</v>
      </c>
      <c r="H112" s="1224"/>
      <c r="I112" s="1224" t="s">
        <v>473</v>
      </c>
      <c r="J112" s="668">
        <f>+L112</f>
        <v>-31098658</v>
      </c>
      <c r="K112" s="1224" t="s">
        <v>473</v>
      </c>
      <c r="L112" s="1225">
        <f>ROUND(SUMIF(T_IS!$F:$F,T198_TB!E112,T_IS!$X:$X),0)</f>
        <v>-31098658</v>
      </c>
      <c r="M112" s="740" t="s">
        <v>2609</v>
      </c>
      <c r="O112" s="509"/>
    </row>
    <row r="113" spans="3:15" s="710" customFormat="1" ht="18" hidden="1" customHeight="1">
      <c r="C113" s="710">
        <v>1</v>
      </c>
      <c r="D113" s="1222" t="s">
        <v>632</v>
      </c>
      <c r="E113" s="1223">
        <v>304</v>
      </c>
      <c r="F113" s="670" t="s">
        <v>2027</v>
      </c>
      <c r="G113" s="1224">
        <v>1000</v>
      </c>
      <c r="H113" s="1224"/>
      <c r="I113" s="1224" t="s">
        <v>473</v>
      </c>
      <c r="J113" s="668">
        <f t="shared" si="4"/>
        <v>5113410296</v>
      </c>
      <c r="K113" s="1224" t="s">
        <v>473</v>
      </c>
      <c r="L113" s="1225">
        <f>ROUND(SUMIF(T_IS!$F:$F,T198_TB!E113,T_IS!$X:$X),0)</f>
        <v>5113410296</v>
      </c>
      <c r="M113" s="740" t="s">
        <v>2609</v>
      </c>
      <c r="O113" s="509"/>
    </row>
    <row r="114" spans="3:15" s="710" customFormat="1" ht="18" hidden="1" customHeight="1">
      <c r="C114" s="710">
        <v>1</v>
      </c>
      <c r="D114" s="1222" t="s">
        <v>632</v>
      </c>
      <c r="E114" s="1223">
        <v>305</v>
      </c>
      <c r="F114" s="670" t="s">
        <v>2028</v>
      </c>
      <c r="G114" s="1224">
        <v>1000</v>
      </c>
      <c r="H114" s="1224"/>
      <c r="I114" s="1224" t="s">
        <v>473</v>
      </c>
      <c r="J114" s="668">
        <f t="shared" si="4"/>
        <v>226186724</v>
      </c>
      <c r="K114" s="1224" t="s">
        <v>473</v>
      </c>
      <c r="L114" s="1225">
        <f>ROUND(SUMIF(T_IS!$F:$F,T198_TB!E114,T_IS!$X:$X),0)</f>
        <v>226186724</v>
      </c>
      <c r="M114" s="740" t="s">
        <v>2609</v>
      </c>
      <c r="O114" s="509"/>
    </row>
    <row r="115" spans="3:15" s="710" customFormat="1" ht="18" hidden="1" customHeight="1">
      <c r="C115" s="710">
        <v>1</v>
      </c>
      <c r="D115" s="1222" t="s">
        <v>632</v>
      </c>
      <c r="E115" s="1223">
        <v>306</v>
      </c>
      <c r="F115" s="670" t="s">
        <v>268</v>
      </c>
      <c r="G115" s="1224">
        <v>1000</v>
      </c>
      <c r="H115" s="1224"/>
      <c r="I115" s="1224" t="s">
        <v>473</v>
      </c>
      <c r="J115" s="668">
        <f>+L115</f>
        <v>181204338</v>
      </c>
      <c r="K115" s="1224" t="s">
        <v>473</v>
      </c>
      <c r="L115" s="1225">
        <f>ROUND(SUMIF(T_IS!$F:$F,T198_TB!E115,T_IS!$X:$X),0)</f>
        <v>181204338</v>
      </c>
      <c r="M115" s="740" t="s">
        <v>2609</v>
      </c>
      <c r="O115" s="509"/>
    </row>
    <row r="116" spans="3:15" s="710" customFormat="1" ht="18" hidden="1" customHeight="1">
      <c r="C116" s="710">
        <v>1</v>
      </c>
      <c r="D116" s="1222" t="s">
        <v>632</v>
      </c>
      <c r="E116" s="1223">
        <v>307</v>
      </c>
      <c r="F116" s="670" t="s">
        <v>270</v>
      </c>
      <c r="G116" s="1224">
        <v>1000</v>
      </c>
      <c r="H116" s="1224"/>
      <c r="I116" s="1224" t="s">
        <v>473</v>
      </c>
      <c r="J116" s="668">
        <f t="shared" si="4"/>
        <v>205876974</v>
      </c>
      <c r="K116" s="1224" t="s">
        <v>473</v>
      </c>
      <c r="L116" s="1225">
        <f>ROUND(SUMIF(T_IS!$F:$F,T198_TB!E116,T_IS!$X:$X),0)</f>
        <v>205876974</v>
      </c>
      <c r="M116" s="740" t="s">
        <v>2609</v>
      </c>
      <c r="O116" s="509"/>
    </row>
    <row r="117" spans="3:15" s="710" customFormat="1" ht="18" hidden="1" customHeight="1">
      <c r="C117" s="710">
        <v>1</v>
      </c>
      <c r="D117" s="1222" t="s">
        <v>632</v>
      </c>
      <c r="E117" s="1223">
        <v>308</v>
      </c>
      <c r="F117" s="670" t="s">
        <v>272</v>
      </c>
      <c r="G117" s="1224">
        <v>1000</v>
      </c>
      <c r="H117" s="1224"/>
      <c r="I117" s="1224" t="s">
        <v>473</v>
      </c>
      <c r="J117" s="668">
        <f>+L117</f>
        <v>57065018</v>
      </c>
      <c r="K117" s="1224" t="s">
        <v>473</v>
      </c>
      <c r="L117" s="1225">
        <f>ROUND(SUMIF(T_IS!$F:$F,T198_TB!E117,T_IS!$X:$X),0)</f>
        <v>57065018</v>
      </c>
      <c r="M117" s="740" t="s">
        <v>2609</v>
      </c>
      <c r="O117" s="509"/>
    </row>
    <row r="118" spans="3:15" s="710" customFormat="1" ht="18" hidden="1" customHeight="1">
      <c r="C118" s="710">
        <v>1</v>
      </c>
      <c r="D118" s="1222" t="s">
        <v>632</v>
      </c>
      <c r="E118" s="1223">
        <v>309</v>
      </c>
      <c r="F118" s="670" t="s">
        <v>2029</v>
      </c>
      <c r="G118" s="1224">
        <v>1000</v>
      </c>
      <c r="H118" s="1224"/>
      <c r="I118" s="1224" t="s">
        <v>473</v>
      </c>
      <c r="J118" s="668">
        <f t="shared" si="4"/>
        <v>156305134</v>
      </c>
      <c r="K118" s="1224" t="s">
        <v>473</v>
      </c>
      <c r="L118" s="1225">
        <f>ROUND(SUMIF(T_IS!$F:$F,T198_TB!E118,T_IS!$X:$X),0)</f>
        <v>156305134</v>
      </c>
      <c r="M118" s="740" t="s">
        <v>2609</v>
      </c>
      <c r="O118" s="509"/>
    </row>
    <row r="119" spans="3:15" s="710" customFormat="1" ht="18" hidden="1" customHeight="1">
      <c r="C119" s="710">
        <v>1</v>
      </c>
      <c r="D119" s="1222" t="s">
        <v>632</v>
      </c>
      <c r="E119" s="1223">
        <v>310</v>
      </c>
      <c r="F119" s="670" t="s">
        <v>671</v>
      </c>
      <c r="G119" s="1224">
        <v>1000</v>
      </c>
      <c r="H119" s="1224"/>
      <c r="I119" s="1224" t="s">
        <v>473</v>
      </c>
      <c r="J119" s="668">
        <f>+L119</f>
        <v>737904559</v>
      </c>
      <c r="K119" s="1224" t="s">
        <v>473</v>
      </c>
      <c r="L119" s="1225">
        <f>ROUND(SUMIF(T_IS!$F:$F,T198_TB!E119,T_IS!$X:$X),0)</f>
        <v>737904559</v>
      </c>
      <c r="M119" s="740" t="s">
        <v>2609</v>
      </c>
      <c r="O119" s="509"/>
    </row>
    <row r="120" spans="3:15" s="710" customFormat="1" ht="18" hidden="1" customHeight="1">
      <c r="C120" s="710">
        <v>1</v>
      </c>
      <c r="D120" s="1222" t="s">
        <v>632</v>
      </c>
      <c r="E120" s="1223">
        <v>311</v>
      </c>
      <c r="F120" s="670" t="s">
        <v>276</v>
      </c>
      <c r="G120" s="1224">
        <v>1000</v>
      </c>
      <c r="H120" s="1224"/>
      <c r="I120" s="1224" t="s">
        <v>473</v>
      </c>
      <c r="J120" s="668">
        <f t="shared" si="4"/>
        <v>164577504</v>
      </c>
      <c r="K120" s="1224" t="s">
        <v>473</v>
      </c>
      <c r="L120" s="1225">
        <f>ROUND(SUMIF(T_IS!$F:$F,T198_TB!E120,T_IS!$X:$X),0)</f>
        <v>164577504</v>
      </c>
      <c r="M120" s="740" t="s">
        <v>2609</v>
      </c>
      <c r="O120" s="509"/>
    </row>
    <row r="121" spans="3:15" s="710" customFormat="1" ht="18" hidden="1" customHeight="1">
      <c r="C121" s="710">
        <v>1</v>
      </c>
      <c r="D121" s="1222" t="s">
        <v>632</v>
      </c>
      <c r="E121" s="1223">
        <v>312</v>
      </c>
      <c r="F121" s="670" t="s">
        <v>278</v>
      </c>
      <c r="G121" s="1224">
        <v>1000</v>
      </c>
      <c r="H121" s="1224"/>
      <c r="I121" s="1224" t="s">
        <v>473</v>
      </c>
      <c r="J121" s="668">
        <f t="shared" ref="J121:J139" si="6">+L121</f>
        <v>273423454</v>
      </c>
      <c r="K121" s="1224" t="s">
        <v>473</v>
      </c>
      <c r="L121" s="1225">
        <f>ROUND(SUMIF(T_IS!$F:$F,T198_TB!E121,T_IS!$X:$X),0)</f>
        <v>273423454</v>
      </c>
      <c r="M121" s="740" t="s">
        <v>2609</v>
      </c>
      <c r="O121" s="509"/>
    </row>
    <row r="122" spans="3:15" s="710" customFormat="1" ht="18" hidden="1" customHeight="1">
      <c r="C122" s="710">
        <v>1</v>
      </c>
      <c r="D122" s="1222" t="s">
        <v>632</v>
      </c>
      <c r="E122" s="1223">
        <v>313</v>
      </c>
      <c r="F122" s="670" t="s">
        <v>280</v>
      </c>
      <c r="G122" s="1224">
        <v>1000</v>
      </c>
      <c r="H122" s="1224"/>
      <c r="I122" s="1224" t="s">
        <v>473</v>
      </c>
      <c r="J122" s="668">
        <f t="shared" si="6"/>
        <v>53570371</v>
      </c>
      <c r="K122" s="1224" t="s">
        <v>473</v>
      </c>
      <c r="L122" s="1225">
        <f>ROUND(SUMIF(T_IS!$F:$F,T198_TB!E122,T_IS!$X:$X),0)</f>
        <v>53570371</v>
      </c>
      <c r="M122" s="740" t="s">
        <v>2609</v>
      </c>
      <c r="O122" s="509"/>
    </row>
    <row r="123" spans="3:15" s="710" customFormat="1" ht="18" hidden="1" customHeight="1">
      <c r="C123" s="710">
        <v>1</v>
      </c>
      <c r="D123" s="1222" t="s">
        <v>632</v>
      </c>
      <c r="E123" s="1223">
        <v>314</v>
      </c>
      <c r="F123" s="670" t="s">
        <v>282</v>
      </c>
      <c r="G123" s="1224">
        <v>1000</v>
      </c>
      <c r="H123" s="1224"/>
      <c r="I123" s="1224" t="s">
        <v>473</v>
      </c>
      <c r="J123" s="668">
        <f t="shared" si="6"/>
        <v>43624120</v>
      </c>
      <c r="K123" s="1224" t="s">
        <v>473</v>
      </c>
      <c r="L123" s="1225">
        <f>ROUND(SUMIF(T_IS!$F:$F,T198_TB!E123,T_IS!$X:$X),0)</f>
        <v>43624120</v>
      </c>
      <c r="M123" s="740" t="s">
        <v>2608</v>
      </c>
      <c r="O123" s="509"/>
    </row>
    <row r="124" spans="3:15" s="710" customFormat="1" ht="18" hidden="1" customHeight="1">
      <c r="C124" s="710">
        <v>1</v>
      </c>
      <c r="D124" s="1222" t="s">
        <v>632</v>
      </c>
      <c r="E124" s="1223">
        <v>315</v>
      </c>
      <c r="F124" s="670" t="s">
        <v>284</v>
      </c>
      <c r="G124" s="1224">
        <v>1000</v>
      </c>
      <c r="H124" s="1224"/>
      <c r="I124" s="1224" t="s">
        <v>473</v>
      </c>
      <c r="J124" s="668">
        <f t="shared" si="6"/>
        <v>2259262057</v>
      </c>
      <c r="K124" s="1224" t="s">
        <v>473</v>
      </c>
      <c r="L124" s="1225">
        <f>ROUND(SUMIF(T_IS!$F:$F,T198_TB!E124,T_IS!$X:$X),0)</f>
        <v>2259262057</v>
      </c>
      <c r="M124" s="740" t="s">
        <v>2609</v>
      </c>
      <c r="O124" s="509"/>
    </row>
    <row r="125" spans="3:15" s="710" customFormat="1" ht="18" hidden="1" customHeight="1">
      <c r="C125" s="710">
        <v>1</v>
      </c>
      <c r="D125" s="1222" t="s">
        <v>632</v>
      </c>
      <c r="E125" s="1223">
        <v>316</v>
      </c>
      <c r="F125" s="670" t="s">
        <v>286</v>
      </c>
      <c r="G125" s="1224">
        <v>1000</v>
      </c>
      <c r="H125" s="1224"/>
      <c r="I125" s="1224" t="s">
        <v>473</v>
      </c>
      <c r="J125" s="668">
        <f t="shared" si="6"/>
        <v>258449832</v>
      </c>
      <c r="K125" s="1224" t="s">
        <v>473</v>
      </c>
      <c r="L125" s="1225">
        <f>ROUND(SUMIF(T_IS!$F:$F,T198_TB!E125,T_IS!$X:$X),0)</f>
        <v>258449832</v>
      </c>
      <c r="M125" s="740" t="s">
        <v>2609</v>
      </c>
      <c r="O125" s="509"/>
    </row>
    <row r="126" spans="3:15" s="710" customFormat="1" ht="18" hidden="1" customHeight="1">
      <c r="C126" s="710">
        <v>1</v>
      </c>
      <c r="D126" s="1222" t="s">
        <v>632</v>
      </c>
      <c r="E126" s="1223">
        <v>317</v>
      </c>
      <c r="F126" s="670" t="s">
        <v>288</v>
      </c>
      <c r="G126" s="1224">
        <v>1000</v>
      </c>
      <c r="H126" s="1224"/>
      <c r="I126" s="1224" t="s">
        <v>473</v>
      </c>
      <c r="J126" s="668">
        <f t="shared" si="6"/>
        <v>83260999</v>
      </c>
      <c r="K126" s="1224" t="s">
        <v>473</v>
      </c>
      <c r="L126" s="1225">
        <f>ROUND(SUMIF(T_IS!$F:$F,T198_TB!E126,T_IS!$X:$X),0)</f>
        <v>83260999</v>
      </c>
      <c r="M126" s="740" t="s">
        <v>2609</v>
      </c>
      <c r="O126" s="509"/>
    </row>
    <row r="127" spans="3:15" s="710" customFormat="1" ht="18" hidden="1" customHeight="1">
      <c r="C127" s="710">
        <v>1</v>
      </c>
      <c r="D127" s="1222" t="s">
        <v>632</v>
      </c>
      <c r="E127" s="1223">
        <v>318</v>
      </c>
      <c r="F127" s="670" t="s">
        <v>290</v>
      </c>
      <c r="G127" s="1224">
        <v>1000</v>
      </c>
      <c r="H127" s="1224"/>
      <c r="I127" s="1224" t="s">
        <v>473</v>
      </c>
      <c r="J127" s="668">
        <f t="shared" si="6"/>
        <v>64638879</v>
      </c>
      <c r="K127" s="1224" t="s">
        <v>473</v>
      </c>
      <c r="L127" s="1225">
        <f>ROUND(SUMIF(T_IS!$F:$F,T198_TB!E127,T_IS!$X:$X),0)</f>
        <v>64638879</v>
      </c>
      <c r="M127" s="740" t="s">
        <v>2609</v>
      </c>
      <c r="O127" s="509"/>
    </row>
    <row r="128" spans="3:15" s="710" customFormat="1" ht="18" hidden="1" customHeight="1">
      <c r="C128" s="710">
        <v>1</v>
      </c>
      <c r="D128" s="1222" t="s">
        <v>632</v>
      </c>
      <c r="E128" s="1223">
        <v>319</v>
      </c>
      <c r="F128" s="670" t="s">
        <v>292</v>
      </c>
      <c r="G128" s="1224">
        <v>1000</v>
      </c>
      <c r="H128" s="1224"/>
      <c r="I128" s="1224" t="s">
        <v>473</v>
      </c>
      <c r="J128" s="668">
        <f t="shared" si="6"/>
        <v>7152530</v>
      </c>
      <c r="K128" s="1224" t="s">
        <v>473</v>
      </c>
      <c r="L128" s="1225">
        <f>ROUND(SUMIF(T_IS!$F:$F,T198_TB!E128,T_IS!$X:$X),0)</f>
        <v>7152530</v>
      </c>
      <c r="M128" s="740" t="s">
        <v>2609</v>
      </c>
      <c r="O128" s="509"/>
    </row>
    <row r="129" spans="3:15" s="710" customFormat="1" ht="18" hidden="1" customHeight="1">
      <c r="C129" s="710">
        <v>1</v>
      </c>
      <c r="D129" s="1222" t="s">
        <v>632</v>
      </c>
      <c r="E129" s="1223">
        <v>320</v>
      </c>
      <c r="F129" s="670" t="s">
        <v>294</v>
      </c>
      <c r="G129" s="1224">
        <v>1000</v>
      </c>
      <c r="H129" s="1224"/>
      <c r="I129" s="1224" t="s">
        <v>473</v>
      </c>
      <c r="J129" s="668">
        <f t="shared" si="6"/>
        <v>100744955</v>
      </c>
      <c r="K129" s="1224" t="s">
        <v>473</v>
      </c>
      <c r="L129" s="1225">
        <f>ROUND(SUMIF(T_IS!$F:$F,T198_TB!E129,T_IS!$X:$X),0)</f>
        <v>100744955</v>
      </c>
      <c r="M129" s="740" t="s">
        <v>2608</v>
      </c>
      <c r="O129" s="509"/>
    </row>
    <row r="130" spans="3:15" s="710" customFormat="1" ht="18" hidden="1" customHeight="1">
      <c r="C130" s="710">
        <v>1</v>
      </c>
      <c r="D130" s="1222" t="s">
        <v>632</v>
      </c>
      <c r="E130" s="1223">
        <v>321</v>
      </c>
      <c r="F130" s="670" t="s">
        <v>296</v>
      </c>
      <c r="G130" s="1224">
        <v>1000</v>
      </c>
      <c r="H130" s="1224"/>
      <c r="I130" s="1224" t="s">
        <v>473</v>
      </c>
      <c r="J130" s="668">
        <f t="shared" si="6"/>
        <v>19594900533</v>
      </c>
      <c r="K130" s="1224" t="s">
        <v>473</v>
      </c>
      <c r="L130" s="1225">
        <f>ROUND(SUMIF(T_IS!$F:$F,T198_TB!E130,T_IS!$X:$X),0)</f>
        <v>19594900533</v>
      </c>
      <c r="M130" s="740" t="s">
        <v>2609</v>
      </c>
      <c r="O130" s="509"/>
    </row>
    <row r="131" spans="3:15" s="710" customFormat="1" ht="18" hidden="1" customHeight="1">
      <c r="C131" s="710">
        <v>1</v>
      </c>
      <c r="D131" s="1222" t="s">
        <v>632</v>
      </c>
      <c r="E131" s="1223">
        <v>322</v>
      </c>
      <c r="F131" s="670" t="s">
        <v>298</v>
      </c>
      <c r="G131" s="1224">
        <v>1000</v>
      </c>
      <c r="H131" s="1224"/>
      <c r="I131" s="1224" t="s">
        <v>473</v>
      </c>
      <c r="J131" s="668">
        <f t="shared" si="6"/>
        <v>6395868214</v>
      </c>
      <c r="K131" s="1224" t="s">
        <v>473</v>
      </c>
      <c r="L131" s="1225">
        <f>ROUND(SUMIF(T_IS!$F:$F,T198_TB!E131,T_IS!$X:$X),0)</f>
        <v>6395868214</v>
      </c>
      <c r="M131" s="740" t="s">
        <v>2609</v>
      </c>
      <c r="O131" s="509"/>
    </row>
    <row r="132" spans="3:15" s="710" customFormat="1" ht="18" hidden="1" customHeight="1">
      <c r="C132" s="710">
        <v>1</v>
      </c>
      <c r="D132" s="1222" t="s">
        <v>632</v>
      </c>
      <c r="E132" s="1223">
        <v>323</v>
      </c>
      <c r="F132" s="670" t="s">
        <v>300</v>
      </c>
      <c r="G132" s="1224">
        <v>1000</v>
      </c>
      <c r="H132" s="1224"/>
      <c r="I132" s="1224" t="s">
        <v>473</v>
      </c>
      <c r="J132" s="668">
        <f t="shared" si="6"/>
        <v>705053234</v>
      </c>
      <c r="K132" s="1224" t="s">
        <v>473</v>
      </c>
      <c r="L132" s="1225">
        <f>ROUND(SUMIF(T_IS!$F:$F,T198_TB!E132,T_IS!$X:$X),0)</f>
        <v>705053234</v>
      </c>
      <c r="M132" s="740" t="s">
        <v>2609</v>
      </c>
      <c r="O132" s="509"/>
    </row>
    <row r="133" spans="3:15" s="710" customFormat="1" ht="18" hidden="1" customHeight="1">
      <c r="C133" s="710">
        <v>1</v>
      </c>
      <c r="D133" s="1222" t="s">
        <v>632</v>
      </c>
      <c r="E133" s="1223">
        <v>324</v>
      </c>
      <c r="F133" s="670" t="s">
        <v>302</v>
      </c>
      <c r="G133" s="1224">
        <v>1000</v>
      </c>
      <c r="H133" s="1224"/>
      <c r="I133" s="1224" t="s">
        <v>473</v>
      </c>
      <c r="J133" s="668">
        <f t="shared" si="6"/>
        <v>14816141</v>
      </c>
      <c r="K133" s="1224" t="s">
        <v>473</v>
      </c>
      <c r="L133" s="1225">
        <f>ROUND(SUMIF(T_IS!$F:$F,T198_TB!E133,T_IS!$X:$X),0)</f>
        <v>14816141</v>
      </c>
      <c r="M133" s="740" t="s">
        <v>2609</v>
      </c>
      <c r="O133" s="509"/>
    </row>
    <row r="134" spans="3:15" s="710" customFormat="1" ht="18" hidden="1" customHeight="1">
      <c r="C134" s="710">
        <v>1</v>
      </c>
      <c r="D134" s="1222" t="s">
        <v>632</v>
      </c>
      <c r="E134" s="1223">
        <v>325</v>
      </c>
      <c r="F134" s="670" t="s">
        <v>304</v>
      </c>
      <c r="G134" s="1224">
        <v>1000</v>
      </c>
      <c r="H134" s="1224"/>
      <c r="I134" s="1224" t="s">
        <v>473</v>
      </c>
      <c r="J134" s="668">
        <f t="shared" si="6"/>
        <v>304037609</v>
      </c>
      <c r="K134" s="1224" t="s">
        <v>473</v>
      </c>
      <c r="L134" s="1225">
        <f>ROUND(SUMIF(T_IS!$F:$F,T198_TB!E134,T_IS!$X:$X),0)</f>
        <v>304037609</v>
      </c>
      <c r="M134" s="740" t="s">
        <v>2615</v>
      </c>
      <c r="O134" s="509"/>
    </row>
    <row r="135" spans="3:15" s="710" customFormat="1" ht="18" hidden="1" customHeight="1">
      <c r="C135" s="710">
        <v>1</v>
      </c>
      <c r="D135" s="1222" t="s">
        <v>632</v>
      </c>
      <c r="E135" s="1223">
        <v>326</v>
      </c>
      <c r="F135" s="670" t="s">
        <v>386</v>
      </c>
      <c r="G135" s="1224">
        <v>1000</v>
      </c>
      <c r="H135" s="1224"/>
      <c r="I135" s="1224" t="s">
        <v>473</v>
      </c>
      <c r="J135" s="668">
        <f t="shared" si="6"/>
        <v>3868771273</v>
      </c>
      <c r="K135" s="1224" t="s">
        <v>473</v>
      </c>
      <c r="L135" s="1225">
        <f>ROUND(SUMIF(T_IS!$F:$F,T198_TB!E135,T_IS!$X:$X),0)</f>
        <v>3868771273</v>
      </c>
      <c r="M135" s="740" t="s">
        <v>2609</v>
      </c>
      <c r="O135" s="509"/>
    </row>
    <row r="136" spans="3:15" s="710" customFormat="1" ht="18" hidden="1" customHeight="1">
      <c r="C136" s="710">
        <v>1</v>
      </c>
      <c r="D136" s="1222" t="s">
        <v>632</v>
      </c>
      <c r="E136" s="1223">
        <v>327</v>
      </c>
      <c r="F136" s="670" t="s">
        <v>306</v>
      </c>
      <c r="G136" s="1224">
        <v>1000</v>
      </c>
      <c r="H136" s="1224"/>
      <c r="I136" s="1224" t="s">
        <v>473</v>
      </c>
      <c r="J136" s="668">
        <f t="shared" si="6"/>
        <v>152478538</v>
      </c>
      <c r="K136" s="1224" t="s">
        <v>473</v>
      </c>
      <c r="L136" s="1225">
        <f>ROUND(SUMIF(T_IS!$F:$F,T198_TB!E136,T_IS!$X:$X),0)</f>
        <v>152478538</v>
      </c>
      <c r="M136" s="740" t="s">
        <v>2609</v>
      </c>
      <c r="O136" s="509"/>
    </row>
    <row r="137" spans="3:15" s="710" customFormat="1" ht="18" hidden="1" customHeight="1">
      <c r="C137" s="710">
        <v>1</v>
      </c>
      <c r="D137" s="1222" t="s">
        <v>632</v>
      </c>
      <c r="E137" s="1223">
        <v>328</v>
      </c>
      <c r="F137" s="670" t="s">
        <v>308</v>
      </c>
      <c r="G137" s="1224">
        <v>1000</v>
      </c>
      <c r="H137" s="1224"/>
      <c r="I137" s="1224" t="s">
        <v>473</v>
      </c>
      <c r="J137" s="668">
        <f t="shared" si="6"/>
        <v>659855752</v>
      </c>
      <c r="K137" s="1224" t="s">
        <v>473</v>
      </c>
      <c r="L137" s="1225">
        <f>ROUND(SUMIF(T_IS!$F:$F,T198_TB!E137,T_IS!$X:$X),0)</f>
        <v>659855752</v>
      </c>
      <c r="M137" s="740" t="s">
        <v>2609</v>
      </c>
      <c r="O137" s="509"/>
    </row>
    <row r="138" spans="3:15" s="710" customFormat="1" ht="18" hidden="1" customHeight="1">
      <c r="C138" s="710">
        <v>1</v>
      </c>
      <c r="D138" s="1222" t="s">
        <v>632</v>
      </c>
      <c r="E138" s="1223">
        <v>329</v>
      </c>
      <c r="F138" s="670" t="s">
        <v>312</v>
      </c>
      <c r="G138" s="1224">
        <v>1000</v>
      </c>
      <c r="H138" s="1224"/>
      <c r="I138" s="1224" t="s">
        <v>473</v>
      </c>
      <c r="J138" s="668">
        <f t="shared" si="6"/>
        <v>1221704771</v>
      </c>
      <c r="K138" s="1224" t="s">
        <v>473</v>
      </c>
      <c r="L138" s="1225">
        <f>ROUND(SUMIF(T_IS!$F:$F,T198_TB!E138,T_IS!$X:$X),0)</f>
        <v>1221704771</v>
      </c>
      <c r="M138" s="740" t="s">
        <v>2609</v>
      </c>
      <c r="O138" s="509"/>
    </row>
    <row r="139" spans="3:15" s="710" customFormat="1" ht="18" hidden="1" customHeight="1">
      <c r="C139" s="710">
        <v>1</v>
      </c>
      <c r="D139" s="1222" t="s">
        <v>632</v>
      </c>
      <c r="E139" s="1223">
        <v>331</v>
      </c>
      <c r="F139" s="670" t="s">
        <v>310</v>
      </c>
      <c r="G139" s="1224">
        <v>1000</v>
      </c>
      <c r="H139" s="1224"/>
      <c r="I139" s="1224" t="s">
        <v>473</v>
      </c>
      <c r="J139" s="668">
        <f t="shared" si="6"/>
        <v>8422102</v>
      </c>
      <c r="K139" s="1224" t="s">
        <v>473</v>
      </c>
      <c r="L139" s="1225">
        <f>ROUND(SUMIF(T_IS!$F:$F,T198_TB!E139,T_IS!$X:$X),0)</f>
        <v>8422102</v>
      </c>
      <c r="M139" s="740" t="s">
        <v>2609</v>
      </c>
      <c r="O139" s="509"/>
    </row>
    <row r="140" spans="3:15" s="710" customFormat="1" ht="18" hidden="1" customHeight="1">
      <c r="C140" s="710">
        <v>1</v>
      </c>
      <c r="D140" s="1222" t="s">
        <v>632</v>
      </c>
      <c r="E140" s="1223">
        <v>334</v>
      </c>
      <c r="F140" s="1226" t="s">
        <v>1597</v>
      </c>
      <c r="G140" s="1224">
        <v>1000</v>
      </c>
      <c r="H140" s="1224"/>
      <c r="I140" s="1224" t="s">
        <v>473</v>
      </c>
      <c r="J140" s="668">
        <f t="shared" si="4"/>
        <v>49495906</v>
      </c>
      <c r="K140" s="1224" t="s">
        <v>473</v>
      </c>
      <c r="L140" s="1225">
        <f>ROUND(SUMIF(T_IS!$F:$F,T198_TB!E140,T_IS!$X:$X),0)</f>
        <v>49495906</v>
      </c>
      <c r="M140" s="740" t="s">
        <v>2609</v>
      </c>
      <c r="O140" s="509"/>
    </row>
    <row r="141" spans="3:15" s="710" customFormat="1" ht="18" hidden="1" customHeight="1">
      <c r="C141" s="710">
        <v>1</v>
      </c>
      <c r="D141" s="1222" t="s">
        <v>632</v>
      </c>
      <c r="E141" s="1223">
        <v>335</v>
      </c>
      <c r="F141" s="1226" t="s">
        <v>1596</v>
      </c>
      <c r="G141" s="1224">
        <v>1000</v>
      </c>
      <c r="H141" s="1224"/>
      <c r="I141" s="1224" t="s">
        <v>473</v>
      </c>
      <c r="J141" s="668">
        <f>+L141</f>
        <v>2841205736</v>
      </c>
      <c r="K141" s="1224" t="s">
        <v>473</v>
      </c>
      <c r="L141" s="1225">
        <f>ROUND(SUMIF(T_IS!$F:$F,T198_TB!E141,T_IS!$X:$X),0)</f>
        <v>2841205736</v>
      </c>
      <c r="M141" s="740" t="s">
        <v>2609</v>
      </c>
      <c r="O141" s="509"/>
    </row>
    <row r="142" spans="3:15" s="710" customFormat="1" ht="18" hidden="1" customHeight="1">
      <c r="C142" s="710">
        <v>1</v>
      </c>
      <c r="D142" s="1222" t="s">
        <v>632</v>
      </c>
      <c r="E142" s="1229">
        <v>336</v>
      </c>
      <c r="F142" s="1228" t="s">
        <v>2675</v>
      </c>
      <c r="G142" s="1224">
        <v>1000</v>
      </c>
      <c r="H142" s="1224"/>
      <c r="I142" s="1224" t="s">
        <v>473</v>
      </c>
      <c r="J142" s="668">
        <f t="shared" si="4"/>
        <v>50447833</v>
      </c>
      <c r="K142" s="1224" t="s">
        <v>473</v>
      </c>
      <c r="L142" s="1225">
        <f>ROUND(SUMIF(T_IS!$F:$F,T198_TB!E142,T_IS!$X:$X),0)</f>
        <v>50447833</v>
      </c>
      <c r="M142" s="740" t="s">
        <v>2609</v>
      </c>
      <c r="O142" s="509"/>
    </row>
    <row r="143" spans="3:15" s="710" customFormat="1" ht="18" hidden="1" customHeight="1">
      <c r="C143" s="710">
        <v>1</v>
      </c>
      <c r="D143" s="1222" t="s">
        <v>632</v>
      </c>
      <c r="E143" s="1223">
        <v>31001</v>
      </c>
      <c r="F143" s="670" t="s">
        <v>672</v>
      </c>
      <c r="G143" s="1224">
        <v>1000</v>
      </c>
      <c r="H143" s="1224"/>
      <c r="I143" s="1224" t="s">
        <v>473</v>
      </c>
      <c r="J143" s="668">
        <f>+L143</f>
        <v>19349772</v>
      </c>
      <c r="K143" s="1224" t="s">
        <v>473</v>
      </c>
      <c r="L143" s="1225">
        <f>ROUND(SUMIF(T_IS!$F:$F,T198_TB!E143,T_IS!$X:$X),0)</f>
        <v>19349772</v>
      </c>
      <c r="M143" s="740" t="s">
        <v>2609</v>
      </c>
      <c r="O143" s="509"/>
    </row>
    <row r="144" spans="3:15" s="710" customFormat="1" ht="18" hidden="1" customHeight="1">
      <c r="C144" s="710">
        <v>1</v>
      </c>
      <c r="D144" s="1222" t="s">
        <v>632</v>
      </c>
      <c r="E144" s="1223">
        <v>31101</v>
      </c>
      <c r="F144" s="670" t="s">
        <v>2030</v>
      </c>
      <c r="G144" s="1224">
        <v>1000</v>
      </c>
      <c r="H144" s="1224"/>
      <c r="I144" s="1224" t="s">
        <v>473</v>
      </c>
      <c r="J144" s="668">
        <f>+L144</f>
        <v>31241483</v>
      </c>
      <c r="K144" s="1224" t="s">
        <v>473</v>
      </c>
      <c r="L144" s="1225">
        <f>ROUND(SUMIF(T_IS!$F:$F,T198_TB!E144,T_IS!$X:$X),0)</f>
        <v>31241483</v>
      </c>
      <c r="M144" s="740" t="s">
        <v>2609</v>
      </c>
      <c r="O144" s="509"/>
    </row>
    <row r="145" spans="3:15" s="710" customFormat="1" ht="18" hidden="1" customHeight="1">
      <c r="C145" s="710">
        <v>1</v>
      </c>
      <c r="D145" s="1222" t="s">
        <v>632</v>
      </c>
      <c r="E145" s="1223">
        <v>31102</v>
      </c>
      <c r="F145" s="670" t="s">
        <v>2031</v>
      </c>
      <c r="G145" s="1224">
        <v>1000</v>
      </c>
      <c r="H145" s="1224"/>
      <c r="I145" s="1224" t="s">
        <v>473</v>
      </c>
      <c r="J145" s="668">
        <f>+L145</f>
        <v>117462757</v>
      </c>
      <c r="K145" s="1224" t="s">
        <v>473</v>
      </c>
      <c r="L145" s="1225">
        <f>ROUND(SUMIF(T_IS!$F:$F,T198_TB!E145,T_IS!$X:$X),0)</f>
        <v>117462757</v>
      </c>
      <c r="M145" s="740" t="s">
        <v>2615</v>
      </c>
      <c r="O145" s="509"/>
    </row>
    <row r="146" spans="3:15" s="710" customFormat="1" ht="18" hidden="1" customHeight="1">
      <c r="C146" s="710">
        <v>1</v>
      </c>
      <c r="D146" s="1222" t="s">
        <v>632</v>
      </c>
      <c r="E146" s="1223">
        <v>401</v>
      </c>
      <c r="F146" s="670" t="s">
        <v>673</v>
      </c>
      <c r="G146" s="1224">
        <v>1000</v>
      </c>
      <c r="H146" s="1224"/>
      <c r="I146" s="1224" t="s">
        <v>473</v>
      </c>
      <c r="J146" s="668">
        <f t="shared" ref="J146:J170" si="7">+L146</f>
        <v>-2815210660</v>
      </c>
      <c r="K146" s="1224" t="s">
        <v>473</v>
      </c>
      <c r="L146" s="1225">
        <f>-ROUND(SUMIF(T_IS!$F:$F,T198_TB!E146,T_IS!$X:$X),0)</f>
        <v>-2815210660</v>
      </c>
      <c r="M146" s="740" t="s">
        <v>2616</v>
      </c>
      <c r="O146" s="509"/>
    </row>
    <row r="147" spans="3:15" s="710" customFormat="1" ht="18" hidden="1" customHeight="1">
      <c r="C147" s="710">
        <v>1</v>
      </c>
      <c r="D147" s="1222" t="s">
        <v>632</v>
      </c>
      <c r="E147" s="1223">
        <v>402</v>
      </c>
      <c r="F147" s="670" t="s">
        <v>674</v>
      </c>
      <c r="G147" s="1224">
        <v>1000</v>
      </c>
      <c r="H147" s="1224"/>
      <c r="I147" s="1224" t="s">
        <v>473</v>
      </c>
      <c r="J147" s="668">
        <f t="shared" si="7"/>
        <v>-1259242330</v>
      </c>
      <c r="K147" s="1224" t="s">
        <v>473</v>
      </c>
      <c r="L147" s="1225">
        <f>-ROUND(SUMIF(T_IS!$F:$F,T198_TB!E147,T_IS!$X:$X),0)</f>
        <v>-1259242330</v>
      </c>
      <c r="M147" s="740" t="s">
        <v>2616</v>
      </c>
      <c r="O147" s="509"/>
    </row>
    <row r="148" spans="3:15" s="710" customFormat="1" ht="18" hidden="1" customHeight="1">
      <c r="C148" s="710">
        <v>1</v>
      </c>
      <c r="D148" s="1222" t="s">
        <v>632</v>
      </c>
      <c r="E148" s="1223">
        <v>403</v>
      </c>
      <c r="F148" s="670" t="s">
        <v>675</v>
      </c>
      <c r="G148" s="1224">
        <v>1000</v>
      </c>
      <c r="H148" s="1224"/>
      <c r="I148" s="1224" t="s">
        <v>473</v>
      </c>
      <c r="J148" s="668">
        <f t="shared" si="7"/>
        <v>-112707610</v>
      </c>
      <c r="K148" s="1224" t="s">
        <v>473</v>
      </c>
      <c r="L148" s="1225">
        <f>-ROUND(SUMIF(T_IS!$F:$F,T198_TB!E148,T_IS!$X:$X),0)</f>
        <v>-112707610</v>
      </c>
      <c r="M148" s="740" t="s">
        <v>2616</v>
      </c>
      <c r="O148" s="509"/>
    </row>
    <row r="149" spans="3:15" s="710" customFormat="1" ht="18" hidden="1" customHeight="1">
      <c r="C149" s="710">
        <v>1</v>
      </c>
      <c r="D149" s="1222" t="s">
        <v>632</v>
      </c>
      <c r="E149" s="1223">
        <v>404</v>
      </c>
      <c r="F149" s="670" t="s">
        <v>676</v>
      </c>
      <c r="G149" s="1224">
        <v>1000</v>
      </c>
      <c r="H149" s="1224"/>
      <c r="I149" s="1224" t="s">
        <v>473</v>
      </c>
      <c r="J149" s="668">
        <f t="shared" si="7"/>
        <v>-1479841187</v>
      </c>
      <c r="K149" s="1224" t="s">
        <v>473</v>
      </c>
      <c r="L149" s="1225">
        <f>-ROUND(SUMIF(T_IS!$F:$F,T198_TB!E149,T_IS!$X:$X),0)</f>
        <v>-1479841187</v>
      </c>
      <c r="M149" s="740" t="s">
        <v>2616</v>
      </c>
      <c r="O149" s="509"/>
    </row>
    <row r="150" spans="3:15" s="710" customFormat="1" ht="18" hidden="1" customHeight="1">
      <c r="C150" s="710">
        <v>1</v>
      </c>
      <c r="D150" s="1222" t="s">
        <v>632</v>
      </c>
      <c r="E150" s="1223">
        <v>405</v>
      </c>
      <c r="F150" s="670" t="s">
        <v>677</v>
      </c>
      <c r="G150" s="1224">
        <v>1000</v>
      </c>
      <c r="H150" s="1224"/>
      <c r="I150" s="1224" t="s">
        <v>473</v>
      </c>
      <c r="J150" s="668">
        <f t="shared" si="7"/>
        <v>-3510625687</v>
      </c>
      <c r="K150" s="1224" t="s">
        <v>473</v>
      </c>
      <c r="L150" s="1225">
        <f>-ROUND(SUMIF(T_IS!$F:$F,T198_TB!E150,T_IS!$X:$X),0)</f>
        <v>-3510625687</v>
      </c>
      <c r="M150" s="740" t="s">
        <v>2610</v>
      </c>
      <c r="O150" s="509"/>
    </row>
    <row r="151" spans="3:15" s="710" customFormat="1" ht="18" hidden="1" customHeight="1">
      <c r="C151" s="710">
        <v>1</v>
      </c>
      <c r="D151" s="1230" t="s">
        <v>632</v>
      </c>
      <c r="E151" s="1231">
        <v>406</v>
      </c>
      <c r="F151" s="670" t="s">
        <v>2499</v>
      </c>
      <c r="G151" s="1224">
        <v>1000</v>
      </c>
      <c r="H151" s="1224"/>
      <c r="I151" s="1224" t="s">
        <v>473</v>
      </c>
      <c r="J151" s="668">
        <f t="shared" si="7"/>
        <v>-33201664132</v>
      </c>
      <c r="K151" s="1224" t="s">
        <v>473</v>
      </c>
      <c r="L151" s="1225">
        <f>-ROUND(SUMIF(T_IS!$F:$F,T198_TB!E151,T_IS!$X:$X),0)</f>
        <v>-33201664132</v>
      </c>
      <c r="M151" s="740" t="s">
        <v>2616</v>
      </c>
      <c r="O151" s="509"/>
    </row>
    <row r="152" spans="3:15" s="710" customFormat="1" ht="18" hidden="1" customHeight="1">
      <c r="C152" s="710">
        <v>1</v>
      </c>
      <c r="D152" s="1222" t="s">
        <v>632</v>
      </c>
      <c r="E152" s="1232">
        <v>333</v>
      </c>
      <c r="F152" s="1233" t="s">
        <v>685</v>
      </c>
      <c r="G152" s="1224">
        <v>1000</v>
      </c>
      <c r="H152" s="1224"/>
      <c r="I152" s="1224" t="s">
        <v>473</v>
      </c>
      <c r="J152" s="668">
        <f t="shared" ref="J152:J160" si="8">+L152</f>
        <v>0</v>
      </c>
      <c r="K152" s="1224" t="s">
        <v>473</v>
      </c>
      <c r="L152" s="1225">
        <f>ROUND(SUMIF(T_IS!$F:$F,T198_TB!E152,T_IS!$X:$X),0)</f>
        <v>0</v>
      </c>
      <c r="M152" s="740" t="s">
        <v>2611</v>
      </c>
      <c r="O152" s="509"/>
    </row>
    <row r="153" spans="3:15" s="710" customFormat="1" ht="17.25" hidden="1" customHeight="1">
      <c r="C153" s="710">
        <v>1</v>
      </c>
      <c r="D153" s="1222" t="s">
        <v>632</v>
      </c>
      <c r="E153" s="1232">
        <v>501</v>
      </c>
      <c r="F153" s="1233" t="s">
        <v>681</v>
      </c>
      <c r="G153" s="1224">
        <v>1000</v>
      </c>
      <c r="H153" s="1224"/>
      <c r="I153" s="1224" t="s">
        <v>473</v>
      </c>
      <c r="J153" s="668">
        <f t="shared" si="8"/>
        <v>0</v>
      </c>
      <c r="K153" s="1224" t="s">
        <v>473</v>
      </c>
      <c r="L153" s="1225">
        <f>ROUND(SUMIF(T_IS!$F:$F,T198_TB!E153,T_IS!$X:$X),0)</f>
        <v>0</v>
      </c>
      <c r="M153" s="740" t="s">
        <v>2611</v>
      </c>
      <c r="O153" s="509"/>
    </row>
    <row r="154" spans="3:15" s="710" customFormat="1" ht="18" hidden="1" customHeight="1">
      <c r="C154" s="710">
        <v>1</v>
      </c>
      <c r="D154" s="1222" t="s">
        <v>632</v>
      </c>
      <c r="E154" s="1232">
        <v>502</v>
      </c>
      <c r="F154" s="1233" t="s">
        <v>682</v>
      </c>
      <c r="G154" s="1224">
        <v>1000</v>
      </c>
      <c r="H154" s="1224"/>
      <c r="I154" s="1224" t="s">
        <v>473</v>
      </c>
      <c r="J154" s="668">
        <f t="shared" si="8"/>
        <v>569022365</v>
      </c>
      <c r="K154" s="1224" t="s">
        <v>473</v>
      </c>
      <c r="L154" s="1225">
        <f>ROUND(SUMIF(T_IS!$F:$F,T198_TB!E154,T_IS!$X:$X),0)</f>
        <v>569022365</v>
      </c>
      <c r="M154" s="740" t="s">
        <v>2611</v>
      </c>
      <c r="O154" s="509"/>
    </row>
    <row r="155" spans="3:15" s="710" customFormat="1" ht="18" hidden="1" customHeight="1">
      <c r="C155" s="710">
        <v>1</v>
      </c>
      <c r="D155" s="1222" t="s">
        <v>632</v>
      </c>
      <c r="E155" s="1232">
        <v>503</v>
      </c>
      <c r="F155" s="1233" t="s">
        <v>683</v>
      </c>
      <c r="G155" s="1224">
        <v>1000</v>
      </c>
      <c r="H155" s="1224"/>
      <c r="I155" s="1224" t="s">
        <v>473</v>
      </c>
      <c r="J155" s="668">
        <f t="shared" si="8"/>
        <v>418972201</v>
      </c>
      <c r="K155" s="1224" t="s">
        <v>473</v>
      </c>
      <c r="L155" s="1225">
        <f>ROUND(SUMIF(T_IS!$F:$F,T198_TB!E155,T_IS!$X:$X),0)</f>
        <v>418972201</v>
      </c>
      <c r="M155" s="740" t="s">
        <v>2611</v>
      </c>
      <c r="O155" s="509"/>
    </row>
    <row r="156" spans="3:15" s="710" customFormat="1" ht="18" hidden="1" customHeight="1">
      <c r="C156" s="710">
        <v>1</v>
      </c>
      <c r="D156" s="1222" t="s">
        <v>632</v>
      </c>
      <c r="E156" s="1232">
        <v>504</v>
      </c>
      <c r="F156" s="1233" t="s">
        <v>684</v>
      </c>
      <c r="G156" s="1224">
        <v>1000</v>
      </c>
      <c r="H156" s="1224"/>
      <c r="I156" s="1224" t="s">
        <v>473</v>
      </c>
      <c r="J156" s="668">
        <f t="shared" si="8"/>
        <v>3683478730</v>
      </c>
      <c r="K156" s="1224" t="s">
        <v>473</v>
      </c>
      <c r="L156" s="1225">
        <f>ROUND(SUMIF(T_IS!$F:$F,T198_TB!E156,T_IS!$X:$X),0)</f>
        <v>3683478730</v>
      </c>
      <c r="M156" s="740" t="s">
        <v>2611</v>
      </c>
      <c r="O156" s="509"/>
    </row>
    <row r="157" spans="3:15" s="710" customFormat="1" ht="17.25" hidden="1" customHeight="1">
      <c r="C157" s="710">
        <v>1</v>
      </c>
      <c r="D157" s="1222" t="s">
        <v>632</v>
      </c>
      <c r="E157" s="1232">
        <v>505</v>
      </c>
      <c r="F157" s="1233" t="s">
        <v>1598</v>
      </c>
      <c r="G157" s="1224">
        <v>1000</v>
      </c>
      <c r="H157" s="1224"/>
      <c r="I157" s="1224" t="s">
        <v>473</v>
      </c>
      <c r="J157" s="668">
        <f t="shared" si="8"/>
        <v>232290167</v>
      </c>
      <c r="K157" s="1224" t="s">
        <v>473</v>
      </c>
      <c r="L157" s="1225">
        <f>ROUND(SUMIF(T_IS!$F:$F,T198_TB!E157,T_IS!$X:$X),0)</f>
        <v>232290167</v>
      </c>
      <c r="M157" s="740" t="s">
        <v>2611</v>
      </c>
      <c r="O157" s="509"/>
    </row>
    <row r="158" spans="3:15" s="710" customFormat="1" ht="18" hidden="1" customHeight="1">
      <c r="C158" s="710">
        <v>1</v>
      </c>
      <c r="D158" s="1222" t="s">
        <v>632</v>
      </c>
      <c r="E158" s="1223">
        <v>602</v>
      </c>
      <c r="F158" s="670" t="s">
        <v>678</v>
      </c>
      <c r="G158" s="1224">
        <v>1000</v>
      </c>
      <c r="H158" s="1224"/>
      <c r="I158" s="1224" t="s">
        <v>473</v>
      </c>
      <c r="J158" s="668">
        <f t="shared" si="8"/>
        <v>-65107729</v>
      </c>
      <c r="K158" s="1224" t="s">
        <v>473</v>
      </c>
      <c r="L158" s="1225">
        <f>-ROUND(SUMIF(T_IS!$F:$F,T198_TB!E158,T_IS!$X:$X),0)</f>
        <v>-65107729</v>
      </c>
      <c r="M158" s="740" t="s">
        <v>2616</v>
      </c>
      <c r="O158" s="509"/>
    </row>
    <row r="159" spans="3:15" s="710" customFormat="1" ht="18" hidden="1" customHeight="1">
      <c r="C159" s="710">
        <v>1</v>
      </c>
      <c r="D159" s="1222" t="s">
        <v>632</v>
      </c>
      <c r="E159" s="1223">
        <v>603</v>
      </c>
      <c r="F159" s="670" t="s">
        <v>680</v>
      </c>
      <c r="G159" s="1224">
        <v>1000</v>
      </c>
      <c r="H159" s="1224"/>
      <c r="I159" s="1224" t="s">
        <v>473</v>
      </c>
      <c r="J159" s="668">
        <f t="shared" si="8"/>
        <v>-349243726</v>
      </c>
      <c r="K159" s="1224" t="s">
        <v>473</v>
      </c>
      <c r="L159" s="1225">
        <f>-ROUND(SUMIF(T_IS!$F:$F,T198_TB!E159,T_IS!$X:$X),0)</f>
        <v>-349243726</v>
      </c>
      <c r="M159" s="740" t="s">
        <v>2616</v>
      </c>
      <c r="O159" s="509"/>
    </row>
    <row r="160" spans="3:15" s="710" customFormat="1" ht="18" hidden="1" customHeight="1">
      <c r="C160" s="710">
        <v>1</v>
      </c>
      <c r="D160" s="1222" t="s">
        <v>632</v>
      </c>
      <c r="E160" s="1223">
        <v>604</v>
      </c>
      <c r="F160" s="670" t="s">
        <v>679</v>
      </c>
      <c r="G160" s="1224">
        <v>1000</v>
      </c>
      <c r="H160" s="1224"/>
      <c r="I160" s="1224" t="s">
        <v>473</v>
      </c>
      <c r="J160" s="668">
        <f t="shared" si="8"/>
        <v>0</v>
      </c>
      <c r="K160" s="1224" t="s">
        <v>473</v>
      </c>
      <c r="L160" s="1225">
        <f>-ROUND(SUMIF(T_IS!$F:$F,T198_TB!E160,T_IS!$X:$X),0)</f>
        <v>0</v>
      </c>
      <c r="M160" s="740" t="s">
        <v>2616</v>
      </c>
      <c r="O160" s="509"/>
    </row>
    <row r="161" spans="3:15" s="710" customFormat="1" ht="18" hidden="1" customHeight="1">
      <c r="C161" s="710">
        <v>1</v>
      </c>
      <c r="D161" s="1230" t="s">
        <v>632</v>
      </c>
      <c r="E161" s="1231">
        <v>606</v>
      </c>
      <c r="F161" s="670" t="s">
        <v>2498</v>
      </c>
      <c r="G161" s="1224">
        <v>1000</v>
      </c>
      <c r="H161" s="1224"/>
      <c r="I161" s="1224" t="s">
        <v>473</v>
      </c>
      <c r="J161" s="668">
        <f t="shared" si="7"/>
        <v>-986498671</v>
      </c>
      <c r="K161" s="1224" t="s">
        <v>473</v>
      </c>
      <c r="L161" s="1225">
        <f>-ROUND(SUMIF(T_IS!$F:$F,T198_TB!E161,T_IS!$X:$X),0)</f>
        <v>-986498671</v>
      </c>
      <c r="M161" s="740" t="s">
        <v>2616</v>
      </c>
      <c r="O161" s="509"/>
    </row>
    <row r="162" spans="3:15" s="710" customFormat="1" ht="18" hidden="1" customHeight="1">
      <c r="C162" s="710">
        <v>1</v>
      </c>
      <c r="D162" s="1230" t="s">
        <v>632</v>
      </c>
      <c r="E162" s="1231">
        <v>607</v>
      </c>
      <c r="F162" s="670" t="s">
        <v>2598</v>
      </c>
      <c r="G162" s="1224">
        <v>1000</v>
      </c>
      <c r="H162" s="1224"/>
      <c r="I162" s="1224" t="s">
        <v>473</v>
      </c>
      <c r="J162" s="668">
        <f t="shared" si="7"/>
        <v>-61773000</v>
      </c>
      <c r="K162" s="1224" t="s">
        <v>473</v>
      </c>
      <c r="L162" s="1225">
        <f>-ROUND(SUMIF(T_IS!$F:$F,T198_TB!E162,T_IS!$X:$X),0)</f>
        <v>-61773000</v>
      </c>
      <c r="M162" s="740" t="s">
        <v>2064</v>
      </c>
      <c r="O162" s="509"/>
    </row>
    <row r="163" spans="3:15" s="710" customFormat="1" ht="18" hidden="1" customHeight="1">
      <c r="C163" s="710">
        <v>1</v>
      </c>
      <c r="D163" s="1222" t="s">
        <v>632</v>
      </c>
      <c r="E163" s="1232">
        <v>701</v>
      </c>
      <c r="F163" s="1233" t="s">
        <v>687</v>
      </c>
      <c r="G163" s="1224">
        <v>1000</v>
      </c>
      <c r="H163" s="1224"/>
      <c r="I163" s="1224" t="s">
        <v>473</v>
      </c>
      <c r="J163" s="668">
        <f t="shared" si="7"/>
        <v>15469511</v>
      </c>
      <c r="K163" s="1224" t="s">
        <v>473</v>
      </c>
      <c r="L163" s="1225">
        <f>ROUND(SUMIF(T_IS!$F:$F,T198_TB!E163,T_IS!$X:$X),0)</f>
        <v>15469511</v>
      </c>
      <c r="M163" s="740" t="s">
        <v>2611</v>
      </c>
      <c r="O163" s="509"/>
    </row>
    <row r="164" spans="3:15" s="710" customFormat="1" ht="18" hidden="1" customHeight="1">
      <c r="C164" s="710">
        <v>1</v>
      </c>
      <c r="D164" s="1222" t="s">
        <v>632</v>
      </c>
      <c r="E164" s="1232">
        <v>702</v>
      </c>
      <c r="F164" s="1233" t="s">
        <v>732</v>
      </c>
      <c r="G164" s="1224">
        <v>1000</v>
      </c>
      <c r="H164" s="1224"/>
      <c r="I164" s="1224" t="s">
        <v>473</v>
      </c>
      <c r="J164" s="668">
        <f>+L164</f>
        <v>73929745</v>
      </c>
      <c r="K164" s="1224" t="s">
        <v>473</v>
      </c>
      <c r="L164" s="1225">
        <f>ROUND(SUMIF(T_IS!$F:$F,T198_TB!E164,T_IS!$X:$X),0)</f>
        <v>73929745</v>
      </c>
      <c r="M164" s="740" t="s">
        <v>2611</v>
      </c>
      <c r="O164" s="509"/>
    </row>
    <row r="165" spans="3:15" s="710" customFormat="1" ht="18" hidden="1" customHeight="1">
      <c r="C165" s="710">
        <v>1</v>
      </c>
      <c r="D165" s="1222" t="s">
        <v>632</v>
      </c>
      <c r="E165" s="1232">
        <v>703</v>
      </c>
      <c r="F165" s="1233" t="s">
        <v>762</v>
      </c>
      <c r="G165" s="1224">
        <v>1000</v>
      </c>
      <c r="H165" s="1224"/>
      <c r="I165" s="1224" t="s">
        <v>473</v>
      </c>
      <c r="J165" s="668">
        <f>+L165</f>
        <v>16000</v>
      </c>
      <c r="K165" s="1224" t="s">
        <v>473</v>
      </c>
      <c r="L165" s="1225">
        <f>ROUND(SUMIF(T_IS!$F:$F,T198_TB!E165,T_IS!$X:$X),0)</f>
        <v>16000</v>
      </c>
      <c r="M165" s="740" t="s">
        <v>2611</v>
      </c>
      <c r="O165" s="509"/>
    </row>
    <row r="166" spans="3:15" s="710" customFormat="1" ht="18" hidden="1" customHeight="1">
      <c r="C166" s="710">
        <v>1</v>
      </c>
      <c r="D166" s="1222" t="s">
        <v>632</v>
      </c>
      <c r="E166" s="1232">
        <v>704</v>
      </c>
      <c r="F166" s="1233" t="s">
        <v>688</v>
      </c>
      <c r="G166" s="1224">
        <v>1000</v>
      </c>
      <c r="H166" s="1224"/>
      <c r="I166" s="1224" t="s">
        <v>473</v>
      </c>
      <c r="J166" s="668">
        <f>+L166</f>
        <v>24860412</v>
      </c>
      <c r="K166" s="1224" t="s">
        <v>473</v>
      </c>
      <c r="L166" s="1225">
        <f>ROUND(SUMIF(T_IS!$F:$F,T198_TB!E166,T_IS!$X:$X),0)</f>
        <v>24860412</v>
      </c>
      <c r="M166" s="740" t="s">
        <v>2611</v>
      </c>
      <c r="O166" s="509"/>
    </row>
    <row r="167" spans="3:15" s="710" customFormat="1" ht="18" hidden="1" customHeight="1">
      <c r="C167" s="710">
        <v>1</v>
      </c>
      <c r="D167" s="1222" t="s">
        <v>632</v>
      </c>
      <c r="E167" s="1232">
        <v>705</v>
      </c>
      <c r="F167" s="1233" t="s">
        <v>734</v>
      </c>
      <c r="G167" s="1224">
        <v>1000</v>
      </c>
      <c r="H167" s="1224"/>
      <c r="I167" s="1224" t="s">
        <v>473</v>
      </c>
      <c r="J167" s="668">
        <f t="shared" si="7"/>
        <v>15578011</v>
      </c>
      <c r="K167" s="1224" t="s">
        <v>473</v>
      </c>
      <c r="L167" s="1225">
        <f>ROUND(SUMIF(T_IS!$F:$F,T198_TB!E167,T_IS!$X:$X),0)</f>
        <v>15578011</v>
      </c>
      <c r="M167" s="740" t="s">
        <v>2611</v>
      </c>
      <c r="O167" s="509"/>
    </row>
    <row r="168" spans="3:15" s="710" customFormat="1" ht="18" hidden="1" customHeight="1">
      <c r="C168" s="710">
        <v>1</v>
      </c>
      <c r="D168" s="1222" t="s">
        <v>632</v>
      </c>
      <c r="E168" s="1232">
        <v>706</v>
      </c>
      <c r="F168" s="1233" t="s">
        <v>686</v>
      </c>
      <c r="G168" s="1224">
        <v>1000</v>
      </c>
      <c r="H168" s="1224"/>
      <c r="I168" s="1224" t="s">
        <v>473</v>
      </c>
      <c r="J168" s="668">
        <f>+L168</f>
        <v>1186571363</v>
      </c>
      <c r="K168" s="1224" t="s">
        <v>473</v>
      </c>
      <c r="L168" s="1225">
        <f>ROUND(SUMIF(T_IS!$F:$F,T198_TB!E168,T_IS!$X:$X),0)</f>
        <v>1186571363</v>
      </c>
      <c r="M168" s="740" t="s">
        <v>2611</v>
      </c>
      <c r="O168" s="509"/>
    </row>
    <row r="169" spans="3:15" s="710" customFormat="1" ht="18" hidden="1" customHeight="1">
      <c r="C169" s="710">
        <v>1</v>
      </c>
      <c r="D169" s="1222" t="s">
        <v>632</v>
      </c>
      <c r="E169" s="1232">
        <v>708</v>
      </c>
      <c r="F169" s="1233" t="s">
        <v>1595</v>
      </c>
      <c r="G169" s="1224">
        <v>1000</v>
      </c>
      <c r="H169" s="1224"/>
      <c r="I169" s="1224" t="s">
        <v>473</v>
      </c>
      <c r="J169" s="668">
        <f>+L169</f>
        <v>3006922</v>
      </c>
      <c r="K169" s="1224" t="s">
        <v>473</v>
      </c>
      <c r="L169" s="1225">
        <f>ROUND(SUMIF(T_IS!$F:$F,T198_TB!E169,T_IS!$X:$X),0)</f>
        <v>3006922</v>
      </c>
      <c r="M169" s="740" t="s">
        <v>2611</v>
      </c>
      <c r="O169" s="509"/>
    </row>
    <row r="170" spans="3:15" s="710" customFormat="1" ht="18" hidden="1" customHeight="1">
      <c r="C170" s="710">
        <v>1</v>
      </c>
      <c r="D170" s="1222" t="s">
        <v>632</v>
      </c>
      <c r="E170" s="1232">
        <v>709</v>
      </c>
      <c r="F170" s="1233" t="s">
        <v>481</v>
      </c>
      <c r="G170" s="1224">
        <v>1000</v>
      </c>
      <c r="H170" s="1224"/>
      <c r="I170" s="1224" t="s">
        <v>473</v>
      </c>
      <c r="J170" s="668">
        <f t="shared" si="7"/>
        <v>0</v>
      </c>
      <c r="K170" s="1224" t="s">
        <v>473</v>
      </c>
      <c r="L170" s="1225">
        <f>ROUND(SUMIF(T_IS!$F:$F,T198_TB!E170,T_IS!$X:$X),0)</f>
        <v>0</v>
      </c>
      <c r="M170" s="740" t="s">
        <v>2611</v>
      </c>
      <c r="O170" s="509"/>
    </row>
    <row r="171" spans="3:15" s="710" customFormat="1" ht="18" hidden="1" customHeight="1">
      <c r="C171" s="710">
        <v>1</v>
      </c>
      <c r="D171" s="1222" t="s">
        <v>632</v>
      </c>
      <c r="E171" s="1232">
        <v>710</v>
      </c>
      <c r="F171" s="1233" t="s">
        <v>2201</v>
      </c>
      <c r="G171" s="1224">
        <v>1001</v>
      </c>
      <c r="H171" s="1224"/>
      <c r="I171" s="1224" t="s">
        <v>473</v>
      </c>
      <c r="J171" s="668">
        <f>+L171</f>
        <v>0</v>
      </c>
      <c r="K171" s="1224" t="s">
        <v>473</v>
      </c>
      <c r="L171" s="1225">
        <f>ROUND(SUMIF(T_IS!$F:$F,T198_TB!E171,T_IS!$X:$X),0)</f>
        <v>0</v>
      </c>
      <c r="M171" s="740" t="s">
        <v>2611</v>
      </c>
      <c r="O171" s="509"/>
    </row>
    <row r="172" spans="3:15" s="710" customFormat="1" ht="18" hidden="1" customHeight="1">
      <c r="C172" s="710">
        <v>1</v>
      </c>
      <c r="D172" s="1222" t="s">
        <v>632</v>
      </c>
      <c r="E172" s="1232">
        <v>801</v>
      </c>
      <c r="F172" s="1233" t="s">
        <v>380</v>
      </c>
      <c r="G172" s="1224">
        <v>1000</v>
      </c>
      <c r="H172" s="1224"/>
      <c r="I172" s="1224" t="s">
        <v>473</v>
      </c>
      <c r="J172" s="668">
        <f>+L172</f>
        <v>147671201</v>
      </c>
      <c r="K172" s="1224" t="s">
        <v>473</v>
      </c>
      <c r="L172" s="1225">
        <f>ROUND(SUMIF(T_IS!$F:$F,T198_TB!E172,T_IS!$X:$X),0)</f>
        <v>147671201</v>
      </c>
      <c r="M172" s="740" t="s">
        <v>2611</v>
      </c>
      <c r="O172" s="509"/>
    </row>
    <row r="173" spans="3:15" s="710" customFormat="1" ht="18" hidden="1" customHeight="1">
      <c r="C173" s="710">
        <v>1</v>
      </c>
      <c r="D173" s="1222" t="s">
        <v>632</v>
      </c>
      <c r="E173" s="1232">
        <v>903</v>
      </c>
      <c r="F173" s="1233" t="s">
        <v>818</v>
      </c>
      <c r="G173" s="1224">
        <v>1000</v>
      </c>
      <c r="H173" s="1224"/>
      <c r="I173" s="1224" t="s">
        <v>473</v>
      </c>
      <c r="J173" s="668">
        <f>+L173</f>
        <v>201029108</v>
      </c>
      <c r="K173" s="1224" t="s">
        <v>473</v>
      </c>
      <c r="L173" s="1225">
        <f>-ROUND(SUMIF(T_IS!$F:$F,T198_TB!E173,T_IS!$X:$X),0)</f>
        <v>201029108</v>
      </c>
      <c r="M173" s="740" t="s">
        <v>2616</v>
      </c>
      <c r="O173" s="509"/>
    </row>
    <row r="174" spans="3:15" s="710" customFormat="1" ht="18" hidden="1" customHeight="1" thickBot="1">
      <c r="C174" s="710">
        <v>1</v>
      </c>
      <c r="D174" s="1234" t="s">
        <v>632</v>
      </c>
      <c r="E174" s="1822">
        <v>905</v>
      </c>
      <c r="F174" s="1235" t="s">
        <v>2685</v>
      </c>
      <c r="G174" s="1236">
        <v>1000</v>
      </c>
      <c r="H174" s="1236"/>
      <c r="I174" s="1236" t="s">
        <v>473</v>
      </c>
      <c r="J174" s="1014">
        <f>+L174</f>
        <v>5865724</v>
      </c>
      <c r="K174" s="1236" t="s">
        <v>473</v>
      </c>
      <c r="L174" s="1237">
        <f>-ROUND(SUMIF(T_IS!$F:$F,T198_TB!E174,T_IS!$X:$X),0)</f>
        <v>5865724</v>
      </c>
      <c r="M174" s="740" t="s">
        <v>2611</v>
      </c>
      <c r="O174" s="509"/>
    </row>
    <row r="177" spans="6:8" ht="18" customHeight="1">
      <c r="F177" s="710"/>
      <c r="G177" s="712"/>
      <c r="H177" s="712"/>
    </row>
    <row r="178" spans="6:8" ht="18" customHeight="1">
      <c r="F178" s="710"/>
      <c r="G178" s="712"/>
      <c r="H178" s="712"/>
    </row>
    <row r="179" spans="6:8" ht="18" customHeight="1">
      <c r="F179" s="710"/>
      <c r="G179" s="712"/>
      <c r="H179" s="712"/>
    </row>
    <row r="180" spans="6:8" ht="18" customHeight="1">
      <c r="F180" s="710"/>
      <c r="G180" s="712"/>
      <c r="H180" s="712"/>
    </row>
    <row r="181" spans="6:8" ht="18" customHeight="1">
      <c r="F181" s="710"/>
      <c r="G181" s="712"/>
      <c r="H181" s="712"/>
    </row>
    <row r="182" spans="6:8" ht="18" customHeight="1">
      <c r="F182" s="710"/>
      <c r="G182" s="712"/>
      <c r="H182" s="712"/>
    </row>
  </sheetData>
  <autoFilter ref="D4:M174" xr:uid="{00000000-0009-0000-0000-000015000000}">
    <filterColumn colId="8">
      <filters>
        <filter val="(1,008,283,464)"/>
        <filter val="(1,017,763,600)"/>
        <filter val="(1,037,478,723)"/>
        <filter val="(1,076,616,039)"/>
        <filter val="(1,083,527,473)"/>
        <filter val="(1,259,242,330)"/>
        <filter val="(1,363,326,587)"/>
        <filter val="(1,479,841,187)"/>
        <filter val="(1,600,082,774)"/>
        <filter val="(1,643,266,351)"/>
        <filter val="(1,747,514,517)"/>
        <filter val="(1,832,663,423)"/>
        <filter val="(102,639,165)"/>
        <filter val="(109,628,063,914)"/>
        <filter val="(112,707,610)"/>
        <filter val="(114,155,295)"/>
        <filter val="(126,560,515)"/>
        <filter val="(18,638,352,841)"/>
        <filter val="(19,353,758,412)"/>
        <filter val="(191,924,586,392)"/>
        <filter val="(2,586,305,230)"/>
        <filter val="(2,712,858,532)"/>
        <filter val="(2,815,210,660)"/>
        <filter val="(28,429,923,500)"/>
        <filter val="(3,330,185,504)"/>
        <filter val="(3,506,156,002)"/>
        <filter val="(3,510,625,687)"/>
        <filter val="(3,607,088,577)"/>
        <filter val="(31,098,658)"/>
        <filter val="(318,376,441)"/>
        <filter val="(33,201,664,132)"/>
        <filter val="(349,243,726)"/>
        <filter val="(4,373,517,551)"/>
        <filter val="(41,239,359,069)"/>
        <filter val="(42,139,722,387)"/>
        <filter val="(42,707,332,254)"/>
        <filter val="(5,398,238,122)"/>
        <filter val="(5,535,764,881)"/>
        <filter val="(5,953,029)"/>
        <filter val="(5,968,870,183)"/>
        <filter val="(519,301,300)"/>
        <filter val="(6,661,258,189)"/>
        <filter val="(61,773,000)"/>
        <filter val="(65,107,729)"/>
        <filter val="(68,557,268)"/>
        <filter val="(78,160,334)"/>
        <filter val="(798,916,255)"/>
        <filter val="(8,637,566,662)"/>
        <filter val="(810,593,068)"/>
        <filter val="(9,380,863,000)"/>
        <filter val="(9,616,222)"/>
        <filter val="(986,498,671)"/>
        <filter val="1,114,407,078"/>
        <filter val="1,186,571,363"/>
        <filter val="1,221,704,771"/>
        <filter val="1,257,560"/>
        <filter val="1,293,810,742"/>
        <filter val="1,326,320,253"/>
        <filter val="1,381,712,180"/>
        <filter val="1,629,520,216"/>
        <filter val="1,804,231,412"/>
        <filter val="1,856,703,638"/>
        <filter val="1,923,652,941"/>
        <filter val="1,943,468,131"/>
        <filter val="10,160,468,205"/>
        <filter val="100,744,955"/>
        <filter val="117,462,757"/>
        <filter val="12,697,399,861"/>
        <filter val="14,275,478,413"/>
        <filter val="14,816,141"/>
        <filter val="145,092,190,441"/>
        <filter val="145,587,351"/>
        <filter val="147,671,201"/>
        <filter val="149,137,249"/>
        <filter val="15,469,511"/>
        <filter val="15,578,011"/>
        <filter val="150,127,492,879"/>
        <filter val="152,478,538"/>
        <filter val="154,590,759"/>
        <filter val="156,305,134"/>
        <filter val="16,000"/>
        <filter val="164,577,504"/>
        <filter val="179,248,982"/>
        <filter val="181,204,338"/>
        <filter val="19,349,772"/>
        <filter val="19,594,900,533"/>
        <filter val="19,604,007,917"/>
        <filter val="2,259,262,057"/>
        <filter val="2,298,521,701"/>
        <filter val="2,731,869,088"/>
        <filter val="2,841,205,736"/>
        <filter val="2,881,225,685"/>
        <filter val="2,895,348,972"/>
        <filter val="201,029,108"/>
        <filter val="205,876,974"/>
        <filter val="226,186,724"/>
        <filter val="23,030,221,350"/>
        <filter val="232,290,167"/>
        <filter val="24,860,412"/>
        <filter val="258,449,832"/>
        <filter val="273,423,454"/>
        <filter val="29,865,105,638"/>
        <filter val="3,006,922"/>
        <filter val="3,652,634,586"/>
        <filter val="3,683,478,730"/>
        <filter val="3,868,771,273"/>
        <filter val="30,634,127,818"/>
        <filter val="304,037,609"/>
        <filter val="31,241,483"/>
        <filter val="365,160,691"/>
        <filter val="4,905,559,095"/>
        <filter val="4,972,335,555"/>
        <filter val="401,358,265"/>
        <filter val="418,972,201"/>
        <filter val="43,624,120"/>
        <filter val="458,253,688"/>
        <filter val="462,235,490"/>
        <filter val="49,495,906"/>
        <filter val="5,113,410,296"/>
        <filter val="5,865,724"/>
        <filter val="50,447,833"/>
        <filter val="51,908,544,506"/>
        <filter val="53,570,371"/>
        <filter val="569,022,365"/>
        <filter val="57,065,018"/>
        <filter val="59,132,028"/>
        <filter val="6,395,868,214"/>
        <filter val="64,638,879"/>
        <filter val="659,855,752"/>
        <filter val="7,152,530"/>
        <filter val="7,368,587,349"/>
        <filter val="705,053,234"/>
        <filter val="73,929,745"/>
        <filter val="737,904,559"/>
        <filter val="8,422,102"/>
        <filter val="8,910,020,994"/>
        <filter val="8,919,193,078"/>
        <filter val="83,260,999"/>
        <filter val="9,363,637"/>
        <filter val="9,807,120,155"/>
      </filters>
    </filterColumn>
    <filterColumn colId="9">
      <filters>
        <filter val="자산"/>
      </filters>
    </filterColumn>
  </autoFilter>
  <phoneticPr fontId="22" type="noConversion"/>
  <pageMargins left="0.7" right="0.7" top="0.75" bottom="0.75" header="0.3" footer="0.3"/>
  <pageSetup paperSize="9" orientation="portrait" r:id="rId1"/>
  <ignoredErrors>
    <ignoredError sqref="E29:E33" numberStoredAsText="1"/>
    <ignoredError sqref="J83" 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">
    <tabColor rgb="FFFFFF00"/>
  </sheetPr>
  <dimension ref="D3:AA35"/>
  <sheetViews>
    <sheetView showGridLines="0" zoomScale="80" zoomScaleNormal="80" workbookViewId="0">
      <pane xSplit="5" ySplit="5" topLeftCell="M6" activePane="bottomRight" state="frozen"/>
      <selection activeCell="V34" sqref="V34"/>
      <selection pane="topRight" activeCell="V34" sqref="V34"/>
      <selection pane="bottomLeft" activeCell="V34" sqref="V34"/>
      <selection pane="bottomRight" activeCell="V26" sqref="V26"/>
    </sheetView>
  </sheetViews>
  <sheetFormatPr defaultColWidth="8.75" defaultRowHeight="18" customHeight="1" outlineLevelCol="1"/>
  <cols>
    <col min="1" max="3" width="2.375" style="498" customWidth="1"/>
    <col min="4" max="4" width="20.375" style="498" customWidth="1"/>
    <col min="5" max="5" width="23.875" style="498" bestFit="1" customWidth="1"/>
    <col min="6" max="14" width="20.375" style="498" customWidth="1" outlineLevel="1"/>
    <col min="15" max="22" width="16.625" style="498" customWidth="1"/>
    <col min="23" max="23" width="8.375" style="498" customWidth="1"/>
    <col min="24" max="24" width="7.125" style="1196" bestFit="1" customWidth="1"/>
    <col min="25" max="28" width="20.375" style="498" customWidth="1"/>
    <col min="29" max="16384" width="8.75" style="498"/>
  </cols>
  <sheetData>
    <row r="3" spans="4:27" ht="18" customHeight="1">
      <c r="Y3" s="1196"/>
      <c r="Z3" s="1196"/>
      <c r="AA3" s="1196"/>
    </row>
    <row r="4" spans="4:27" s="540" customFormat="1" ht="18" customHeight="1" thickBot="1">
      <c r="F4" s="540" t="b">
        <f t="shared" ref="F4:N4" si="0">SUM(F6:F28)=0</f>
        <v>1</v>
      </c>
      <c r="G4" s="540" t="b">
        <f t="shared" si="0"/>
        <v>1</v>
      </c>
      <c r="H4" s="540" t="b">
        <f t="shared" si="0"/>
        <v>1</v>
      </c>
      <c r="I4" s="540" t="b">
        <f t="shared" si="0"/>
        <v>1</v>
      </c>
      <c r="J4" s="540" t="b">
        <f t="shared" si="0"/>
        <v>1</v>
      </c>
      <c r="K4" s="540" t="b">
        <f t="shared" si="0"/>
        <v>1</v>
      </c>
      <c r="L4" s="540" t="b">
        <f t="shared" si="0"/>
        <v>1</v>
      </c>
      <c r="M4" s="540" t="b">
        <f t="shared" si="0"/>
        <v>1</v>
      </c>
      <c r="N4" s="540" t="b">
        <f t="shared" si="0"/>
        <v>1</v>
      </c>
      <c r="O4" s="540" t="b">
        <f t="shared" ref="O4:V4" si="1">SUM(O6:O28)=0</f>
        <v>1</v>
      </c>
      <c r="P4" s="540" t="b">
        <f t="shared" si="1"/>
        <v>1</v>
      </c>
      <c r="Q4" s="540" t="b">
        <f t="shared" si="1"/>
        <v>1</v>
      </c>
      <c r="R4" s="540" t="b">
        <f t="shared" si="1"/>
        <v>1</v>
      </c>
      <c r="S4" s="540" t="b">
        <f t="shared" si="1"/>
        <v>1</v>
      </c>
      <c r="T4" s="540" t="b">
        <f t="shared" si="1"/>
        <v>1</v>
      </c>
      <c r="U4" s="540" t="b">
        <f t="shared" si="1"/>
        <v>1</v>
      </c>
      <c r="V4" s="540" t="b">
        <f t="shared" si="1"/>
        <v>1</v>
      </c>
      <c r="X4" s="1196"/>
      <c r="Y4" s="1196"/>
      <c r="Z4" s="1196"/>
      <c r="AA4" s="1196"/>
    </row>
    <row r="5" spans="4:27" ht="18" customHeight="1">
      <c r="D5" s="595" t="s">
        <v>16</v>
      </c>
      <c r="E5" s="596" t="s">
        <v>19</v>
      </c>
      <c r="F5" s="633" t="s">
        <v>2346</v>
      </c>
      <c r="G5" s="1919" t="s">
        <v>2349</v>
      </c>
      <c r="H5" s="596" t="s">
        <v>2350</v>
      </c>
      <c r="I5" s="596" t="s">
        <v>2353</v>
      </c>
      <c r="J5" s="633" t="s">
        <v>2355</v>
      </c>
      <c r="K5" s="633" t="s">
        <v>2339</v>
      </c>
      <c r="L5" s="633" t="s">
        <v>2340</v>
      </c>
      <c r="M5" s="633" t="s">
        <v>2341</v>
      </c>
      <c r="N5" s="633" t="s">
        <v>2342</v>
      </c>
      <c r="O5" s="633" t="s">
        <v>2445</v>
      </c>
      <c r="P5" s="633" t="s">
        <v>2446</v>
      </c>
      <c r="Q5" s="633" t="s">
        <v>2447</v>
      </c>
      <c r="R5" s="633" t="s">
        <v>2448</v>
      </c>
      <c r="S5" s="605" t="s">
        <v>2576</v>
      </c>
      <c r="T5" s="605" t="s">
        <v>2588</v>
      </c>
      <c r="U5" s="604" t="s">
        <v>2890</v>
      </c>
      <c r="V5" s="606" t="s">
        <v>2889</v>
      </c>
      <c r="Y5" s="1196"/>
      <c r="Z5" s="1196"/>
      <c r="AA5" s="1196"/>
    </row>
    <row r="6" spans="4:27" ht="18" customHeight="1">
      <c r="D6" s="1197" t="s">
        <v>392</v>
      </c>
      <c r="E6" s="1198"/>
      <c r="F6" s="1201"/>
      <c r="G6" s="1920"/>
      <c r="H6" s="1198"/>
      <c r="I6" s="1198"/>
      <c r="J6" s="1199"/>
      <c r="K6" s="1200"/>
      <c r="L6" s="1199"/>
      <c r="M6" s="1199"/>
      <c r="N6" s="1201"/>
      <c r="O6" s="1202"/>
      <c r="P6" s="1203"/>
      <c r="Q6" s="1203"/>
      <c r="R6" s="1204"/>
      <c r="S6" s="1202"/>
      <c r="T6" s="2026"/>
      <c r="U6" s="2027"/>
      <c r="V6" s="1936"/>
      <c r="Y6" s="1196"/>
      <c r="Z6" s="1196"/>
      <c r="AA6" s="1196"/>
    </row>
    <row r="7" spans="4:27" ht="18" customHeight="1">
      <c r="D7" s="607" t="s">
        <v>128</v>
      </c>
      <c r="E7" s="683" t="s">
        <v>129</v>
      </c>
      <c r="F7" s="684">
        <v>19842800</v>
      </c>
      <c r="G7" s="1921">
        <f>F7</f>
        <v>19842800</v>
      </c>
      <c r="H7" s="609">
        <f>G7</f>
        <v>19842800</v>
      </c>
      <c r="I7" s="609">
        <f>H7</f>
        <v>19842800</v>
      </c>
      <c r="J7" s="905">
        <f>+I7</f>
        <v>19842800</v>
      </c>
      <c r="K7" s="1205">
        <f>+J7</f>
        <v>19842800</v>
      </c>
      <c r="L7" s="905">
        <f>+K7</f>
        <v>19842800</v>
      </c>
      <c r="M7" s="905">
        <v>19842800</v>
      </c>
      <c r="N7" s="684">
        <f t="shared" ref="N7:N23" si="2">L7</f>
        <v>19842800</v>
      </c>
      <c r="O7" s="618">
        <v>19842800</v>
      </c>
      <c r="P7" s="907">
        <v>19842800</v>
      </c>
      <c r="Q7" s="907">
        <v>19842800</v>
      </c>
      <c r="R7" s="619">
        <v>19842800</v>
      </c>
      <c r="S7" s="618">
        <v>19842800</v>
      </c>
      <c r="T7" s="611">
        <v>19842800</v>
      </c>
      <c r="U7" s="2028">
        <v>19842800</v>
      </c>
      <c r="V7" s="1929">
        <f>Q7</f>
        <v>19842800</v>
      </c>
      <c r="Y7" s="1196"/>
      <c r="Z7" s="1196"/>
      <c r="AA7" s="1196"/>
    </row>
    <row r="8" spans="4:27" ht="18" customHeight="1">
      <c r="D8" s="1206" t="s">
        <v>1790</v>
      </c>
      <c r="E8" s="683" t="s">
        <v>193</v>
      </c>
      <c r="F8" s="684">
        <f>-F7</f>
        <v>-19842800</v>
      </c>
      <c r="G8" s="1921">
        <f t="shared" ref="G8:L8" si="3">F8</f>
        <v>-19842800</v>
      </c>
      <c r="H8" s="609">
        <f t="shared" si="3"/>
        <v>-19842800</v>
      </c>
      <c r="I8" s="609">
        <f t="shared" si="3"/>
        <v>-19842800</v>
      </c>
      <c r="J8" s="905">
        <f t="shared" si="3"/>
        <v>-19842800</v>
      </c>
      <c r="K8" s="1205">
        <f t="shared" si="3"/>
        <v>-19842800</v>
      </c>
      <c r="L8" s="905">
        <f t="shared" si="3"/>
        <v>-19842800</v>
      </c>
      <c r="M8" s="905">
        <v>-19842800</v>
      </c>
      <c r="N8" s="684">
        <f t="shared" si="2"/>
        <v>-19842800</v>
      </c>
      <c r="O8" s="618">
        <v>-19842800</v>
      </c>
      <c r="P8" s="907">
        <v>-19842800</v>
      </c>
      <c r="Q8" s="907">
        <v>-19842800</v>
      </c>
      <c r="R8" s="619">
        <v>-19842800</v>
      </c>
      <c r="S8" s="618">
        <v>-19842800</v>
      </c>
      <c r="T8" s="611">
        <v>-19842800</v>
      </c>
      <c r="U8" s="2028">
        <v>-19842800</v>
      </c>
      <c r="V8" s="1929">
        <f>Q8</f>
        <v>-19842800</v>
      </c>
      <c r="Y8" s="1196"/>
      <c r="Z8" s="1196"/>
      <c r="AA8" s="1196"/>
    </row>
    <row r="9" spans="4:27" ht="18" customHeight="1">
      <c r="D9" s="1197" t="s">
        <v>398</v>
      </c>
      <c r="E9" s="1207"/>
      <c r="F9" s="1201">
        <f t="shared" ref="F9:Q9" si="4">F7+F8</f>
        <v>0</v>
      </c>
      <c r="G9" s="1922">
        <f t="shared" si="4"/>
        <v>0</v>
      </c>
      <c r="H9" s="1208">
        <f t="shared" si="4"/>
        <v>0</v>
      </c>
      <c r="I9" s="1208">
        <f t="shared" si="4"/>
        <v>0</v>
      </c>
      <c r="J9" s="1209">
        <f t="shared" si="4"/>
        <v>0</v>
      </c>
      <c r="K9" s="1210">
        <f t="shared" si="4"/>
        <v>0</v>
      </c>
      <c r="L9" s="1208">
        <f t="shared" si="4"/>
        <v>0</v>
      </c>
      <c r="M9" s="1208">
        <f t="shared" si="4"/>
        <v>0</v>
      </c>
      <c r="N9" s="1209">
        <f t="shared" si="4"/>
        <v>0</v>
      </c>
      <c r="O9" s="1210">
        <f t="shared" si="4"/>
        <v>0</v>
      </c>
      <c r="P9" s="1208">
        <f t="shared" si="4"/>
        <v>0</v>
      </c>
      <c r="Q9" s="1208">
        <f t="shared" si="4"/>
        <v>0</v>
      </c>
      <c r="R9" s="1209"/>
      <c r="S9" s="1210"/>
      <c r="T9" s="2029">
        <f>T7+T8</f>
        <v>0</v>
      </c>
      <c r="U9" s="2030">
        <f>U7+U8</f>
        <v>0</v>
      </c>
      <c r="V9" s="1937">
        <f>V7+V8</f>
        <v>0</v>
      </c>
      <c r="Y9" s="1196"/>
      <c r="Z9" s="1196"/>
      <c r="AA9" s="1196"/>
    </row>
    <row r="10" spans="4:27" ht="18" customHeight="1">
      <c r="D10" s="1206" t="s">
        <v>1790</v>
      </c>
      <c r="E10" s="683" t="s">
        <v>193</v>
      </c>
      <c r="F10" s="684">
        <v>368242282</v>
      </c>
      <c r="G10" s="1921">
        <f t="shared" ref="G10:H13" si="5">F10</f>
        <v>368242282</v>
      </c>
      <c r="H10" s="609">
        <f t="shared" si="5"/>
        <v>368242282</v>
      </c>
      <c r="I10" s="609">
        <f t="shared" ref="I10:I23" si="6">H10</f>
        <v>368242282</v>
      </c>
      <c r="J10" s="905">
        <f>+I10</f>
        <v>368242282</v>
      </c>
      <c r="K10" s="1205">
        <f t="shared" ref="K10:L13" si="7">H10</f>
        <v>368242282</v>
      </c>
      <c r="L10" s="905">
        <f t="shared" si="7"/>
        <v>368242282</v>
      </c>
      <c r="M10" s="905">
        <v>368242282</v>
      </c>
      <c r="N10" s="684">
        <f t="shared" si="2"/>
        <v>368242282</v>
      </c>
      <c r="O10" s="618">
        <v>368242282</v>
      </c>
      <c r="P10" s="907">
        <v>368242282</v>
      </c>
      <c r="Q10" s="907">
        <v>368242282</v>
      </c>
      <c r="R10" s="619">
        <v>368242282</v>
      </c>
      <c r="S10" s="618">
        <v>368242282</v>
      </c>
      <c r="T10" s="611">
        <v>368242282</v>
      </c>
      <c r="U10" s="2028">
        <v>368242282</v>
      </c>
      <c r="V10" s="1929">
        <f>Q10</f>
        <v>368242282</v>
      </c>
      <c r="Y10" s="1196"/>
      <c r="Z10" s="1196"/>
      <c r="AA10" s="1196"/>
    </row>
    <row r="11" spans="4:27" ht="18" customHeight="1">
      <c r="D11" s="607" t="s">
        <v>1354</v>
      </c>
      <c r="E11" s="683" t="s">
        <v>207</v>
      </c>
      <c r="F11" s="684">
        <f>-F10</f>
        <v>-368242282</v>
      </c>
      <c r="G11" s="1921">
        <f t="shared" si="5"/>
        <v>-368242282</v>
      </c>
      <c r="H11" s="609">
        <f t="shared" si="5"/>
        <v>-368242282</v>
      </c>
      <c r="I11" s="609">
        <f t="shared" si="6"/>
        <v>-368242282</v>
      </c>
      <c r="J11" s="905">
        <f>+I11</f>
        <v>-368242282</v>
      </c>
      <c r="K11" s="1205">
        <f t="shared" si="7"/>
        <v>-368242282</v>
      </c>
      <c r="L11" s="905">
        <f t="shared" si="7"/>
        <v>-368242282</v>
      </c>
      <c r="M11" s="905">
        <v>-368242282</v>
      </c>
      <c r="N11" s="684">
        <f t="shared" si="2"/>
        <v>-368242282</v>
      </c>
      <c r="O11" s="618">
        <v>-368242282</v>
      </c>
      <c r="P11" s="907">
        <v>-368242282</v>
      </c>
      <c r="Q11" s="907">
        <v>-368242282</v>
      </c>
      <c r="R11" s="619">
        <v>-368242282</v>
      </c>
      <c r="S11" s="618">
        <v>-368242282</v>
      </c>
      <c r="T11" s="611">
        <v>-368242282</v>
      </c>
      <c r="U11" s="2028">
        <v>-368242282</v>
      </c>
      <c r="V11" s="1929">
        <f>Q11</f>
        <v>-368242282</v>
      </c>
      <c r="Y11" s="1196"/>
      <c r="Z11" s="1196"/>
      <c r="AA11" s="1196"/>
    </row>
    <row r="12" spans="4:27" ht="18" customHeight="1">
      <c r="D12" s="1206" t="s">
        <v>1790</v>
      </c>
      <c r="E12" s="683" t="s">
        <v>193</v>
      </c>
      <c r="F12" s="684">
        <v>622390102</v>
      </c>
      <c r="G12" s="1921">
        <f t="shared" si="5"/>
        <v>622390102</v>
      </c>
      <c r="H12" s="609">
        <f t="shared" si="5"/>
        <v>622390102</v>
      </c>
      <c r="I12" s="609">
        <f t="shared" si="6"/>
        <v>622390102</v>
      </c>
      <c r="J12" s="905">
        <f>+I12</f>
        <v>622390102</v>
      </c>
      <c r="K12" s="1205">
        <f t="shared" si="7"/>
        <v>622390102</v>
      </c>
      <c r="L12" s="905">
        <f t="shared" si="7"/>
        <v>622390102</v>
      </c>
      <c r="M12" s="905">
        <v>622390102</v>
      </c>
      <c r="N12" s="684">
        <f t="shared" si="2"/>
        <v>622390102</v>
      </c>
      <c r="O12" s="618">
        <v>622390102</v>
      </c>
      <c r="P12" s="907">
        <v>622390102</v>
      </c>
      <c r="Q12" s="907">
        <v>622390102</v>
      </c>
      <c r="R12" s="619">
        <v>622390102</v>
      </c>
      <c r="S12" s="618">
        <v>622390102</v>
      </c>
      <c r="T12" s="611">
        <v>622390102</v>
      </c>
      <c r="U12" s="2028">
        <v>622390102</v>
      </c>
      <c r="V12" s="1929">
        <f>Q12</f>
        <v>622390102</v>
      </c>
      <c r="Y12" s="1196"/>
      <c r="Z12" s="1196"/>
      <c r="AA12" s="1196"/>
    </row>
    <row r="13" spans="4:27" ht="18" customHeight="1">
      <c r="D13" s="1206" t="s">
        <v>1791</v>
      </c>
      <c r="E13" s="683" t="s">
        <v>205</v>
      </c>
      <c r="F13" s="684">
        <f>-F12</f>
        <v>-622390102</v>
      </c>
      <c r="G13" s="1921">
        <f t="shared" si="5"/>
        <v>-622390102</v>
      </c>
      <c r="H13" s="609">
        <f t="shared" si="5"/>
        <v>-622390102</v>
      </c>
      <c r="I13" s="609">
        <f t="shared" si="6"/>
        <v>-622390102</v>
      </c>
      <c r="J13" s="905">
        <f>+I13</f>
        <v>-622390102</v>
      </c>
      <c r="K13" s="1205">
        <f t="shared" si="7"/>
        <v>-622390102</v>
      </c>
      <c r="L13" s="905">
        <f t="shared" si="7"/>
        <v>-622390102</v>
      </c>
      <c r="M13" s="905">
        <v>-622390102</v>
      </c>
      <c r="N13" s="684">
        <f t="shared" si="2"/>
        <v>-622390102</v>
      </c>
      <c r="O13" s="618">
        <v>-622390102</v>
      </c>
      <c r="P13" s="907">
        <v>-622390102</v>
      </c>
      <c r="Q13" s="907">
        <v>-622390102</v>
      </c>
      <c r="R13" s="619">
        <v>-622390102</v>
      </c>
      <c r="S13" s="618">
        <v>-622390102</v>
      </c>
      <c r="T13" s="611">
        <v>-622390102</v>
      </c>
      <c r="U13" s="2028">
        <v>-622390102</v>
      </c>
      <c r="V13" s="1929">
        <f>Q13</f>
        <v>-622390102</v>
      </c>
      <c r="Y13" s="1196"/>
      <c r="Z13" s="1196"/>
      <c r="AA13" s="1196"/>
    </row>
    <row r="14" spans="4:27" ht="18" customHeight="1">
      <c r="D14" s="1211" t="s">
        <v>399</v>
      </c>
      <c r="E14" s="1207"/>
      <c r="F14" s="1201">
        <f t="shared" ref="F14:Q14" si="8">SUM(F10:F13)</f>
        <v>0</v>
      </c>
      <c r="G14" s="1922">
        <f t="shared" si="8"/>
        <v>0</v>
      </c>
      <c r="H14" s="1208">
        <f t="shared" si="8"/>
        <v>0</v>
      </c>
      <c r="I14" s="1208">
        <f t="shared" si="8"/>
        <v>0</v>
      </c>
      <c r="J14" s="1209">
        <f t="shared" si="8"/>
        <v>0</v>
      </c>
      <c r="K14" s="1210">
        <f t="shared" si="8"/>
        <v>0</v>
      </c>
      <c r="L14" s="1208">
        <f t="shared" si="8"/>
        <v>0</v>
      </c>
      <c r="M14" s="1208">
        <f t="shared" si="8"/>
        <v>0</v>
      </c>
      <c r="N14" s="1209">
        <f t="shared" si="8"/>
        <v>0</v>
      </c>
      <c r="O14" s="1210">
        <f t="shared" si="8"/>
        <v>0</v>
      </c>
      <c r="P14" s="1208">
        <f t="shared" si="8"/>
        <v>0</v>
      </c>
      <c r="Q14" s="1208">
        <f t="shared" si="8"/>
        <v>0</v>
      </c>
      <c r="R14" s="1209"/>
      <c r="S14" s="1210"/>
      <c r="T14" s="2029">
        <f>SUM(T10:T13)</f>
        <v>0</v>
      </c>
      <c r="U14" s="2030">
        <f>SUM(U10:U13)</f>
        <v>0</v>
      </c>
      <c r="V14" s="1937">
        <f>SUM(V10:V13)</f>
        <v>0</v>
      </c>
      <c r="Y14" s="1196"/>
      <c r="Z14" s="1196"/>
      <c r="AA14" s="1196"/>
    </row>
    <row r="15" spans="4:27" ht="18" customHeight="1">
      <c r="D15" s="1206" t="s">
        <v>1790</v>
      </c>
      <c r="E15" s="683" t="s">
        <v>193</v>
      </c>
      <c r="F15" s="684">
        <v>-892464079</v>
      </c>
      <c r="G15" s="1921">
        <f>F15</f>
        <v>-892464079</v>
      </c>
      <c r="H15" s="609">
        <f>G15</f>
        <v>-892464079</v>
      </c>
      <c r="I15" s="609">
        <f t="shared" si="6"/>
        <v>-892464079</v>
      </c>
      <c r="J15" s="905">
        <f>+I15</f>
        <v>-892464079</v>
      </c>
      <c r="K15" s="1205">
        <f>H15</f>
        <v>-892464079</v>
      </c>
      <c r="L15" s="905">
        <f>I15</f>
        <v>-892464079</v>
      </c>
      <c r="M15" s="905">
        <v>-892464079</v>
      </c>
      <c r="N15" s="684">
        <f t="shared" si="2"/>
        <v>-892464079</v>
      </c>
      <c r="O15" s="618">
        <v>-892464079</v>
      </c>
      <c r="P15" s="907">
        <v>-892464079</v>
      </c>
      <c r="Q15" s="907">
        <v>-892464079</v>
      </c>
      <c r="R15" s="619">
        <v>-892464079</v>
      </c>
      <c r="S15" s="618">
        <v>-892464079</v>
      </c>
      <c r="T15" s="611">
        <v>-892464079</v>
      </c>
      <c r="U15" s="2028">
        <v>-892464079</v>
      </c>
      <c r="V15" s="1929">
        <f>Q15</f>
        <v>-892464079</v>
      </c>
      <c r="Y15" s="1196"/>
      <c r="Z15" s="1196"/>
      <c r="AA15" s="1196"/>
    </row>
    <row r="16" spans="4:27" ht="18" customHeight="1">
      <c r="D16" s="607" t="s">
        <v>1354</v>
      </c>
      <c r="E16" s="683" t="s">
        <v>207</v>
      </c>
      <c r="F16" s="684">
        <f>-F15</f>
        <v>892464079</v>
      </c>
      <c r="G16" s="1921">
        <f>F16</f>
        <v>892464079</v>
      </c>
      <c r="H16" s="609">
        <f>G16</f>
        <v>892464079</v>
      </c>
      <c r="I16" s="609">
        <f t="shared" si="6"/>
        <v>892464079</v>
      </c>
      <c r="J16" s="905">
        <f>+I16</f>
        <v>892464079</v>
      </c>
      <c r="K16" s="1205">
        <f>H16</f>
        <v>892464079</v>
      </c>
      <c r="L16" s="905">
        <f>I16</f>
        <v>892464079</v>
      </c>
      <c r="M16" s="905">
        <v>892464079</v>
      </c>
      <c r="N16" s="684">
        <f t="shared" si="2"/>
        <v>892464079</v>
      </c>
      <c r="O16" s="618">
        <v>892464079</v>
      </c>
      <c r="P16" s="907">
        <v>892464079</v>
      </c>
      <c r="Q16" s="907">
        <v>892464079</v>
      </c>
      <c r="R16" s="619">
        <v>892464079</v>
      </c>
      <c r="S16" s="618">
        <v>892464079</v>
      </c>
      <c r="T16" s="611">
        <v>892464079</v>
      </c>
      <c r="U16" s="2028">
        <v>892464079</v>
      </c>
      <c r="V16" s="1929">
        <f>Q16</f>
        <v>892464079</v>
      </c>
      <c r="Y16" s="1196"/>
      <c r="Z16" s="1196"/>
      <c r="AA16" s="1196"/>
    </row>
    <row r="17" spans="4:27" ht="18" customHeight="1">
      <c r="D17" s="1211" t="s">
        <v>400</v>
      </c>
      <c r="E17" s="1207"/>
      <c r="F17" s="1201">
        <f t="shared" ref="F17:Q17" si="9">F15+F16</f>
        <v>0</v>
      </c>
      <c r="G17" s="1922">
        <f t="shared" si="9"/>
        <v>0</v>
      </c>
      <c r="H17" s="1208">
        <f t="shared" si="9"/>
        <v>0</v>
      </c>
      <c r="I17" s="1208">
        <f t="shared" si="9"/>
        <v>0</v>
      </c>
      <c r="J17" s="1209">
        <f t="shared" si="9"/>
        <v>0</v>
      </c>
      <c r="K17" s="1210">
        <f t="shared" si="9"/>
        <v>0</v>
      </c>
      <c r="L17" s="1208">
        <f t="shared" si="9"/>
        <v>0</v>
      </c>
      <c r="M17" s="1208">
        <f t="shared" si="9"/>
        <v>0</v>
      </c>
      <c r="N17" s="1209">
        <f t="shared" si="9"/>
        <v>0</v>
      </c>
      <c r="O17" s="1210">
        <f t="shared" si="9"/>
        <v>0</v>
      </c>
      <c r="P17" s="1208">
        <f t="shared" si="9"/>
        <v>0</v>
      </c>
      <c r="Q17" s="1208">
        <f t="shared" si="9"/>
        <v>0</v>
      </c>
      <c r="R17" s="1209"/>
      <c r="S17" s="1210"/>
      <c r="T17" s="2029">
        <f>T15+T16</f>
        <v>0</v>
      </c>
      <c r="U17" s="2030">
        <f>U15+U16</f>
        <v>0</v>
      </c>
      <c r="V17" s="1937">
        <f>V15+V16</f>
        <v>0</v>
      </c>
      <c r="Y17" s="1196"/>
      <c r="Z17" s="1196"/>
      <c r="AA17" s="1196"/>
    </row>
    <row r="18" spans="4:27" ht="18" customHeight="1">
      <c r="D18" s="1206" t="s">
        <v>1790</v>
      </c>
      <c r="E18" s="683" t="s">
        <v>193</v>
      </c>
      <c r="F18" s="684">
        <v>10952617</v>
      </c>
      <c r="G18" s="1921">
        <f t="shared" ref="G18:G23" si="10">F18</f>
        <v>10952617</v>
      </c>
      <c r="H18" s="609">
        <f t="shared" ref="H18:H23" si="11">G18</f>
        <v>10952617</v>
      </c>
      <c r="I18" s="609">
        <f t="shared" si="6"/>
        <v>10952617</v>
      </c>
      <c r="J18" s="905">
        <f t="shared" ref="J18:J23" si="12">+I18</f>
        <v>10952617</v>
      </c>
      <c r="K18" s="1205">
        <f t="shared" ref="K18:L23" si="13">H18</f>
        <v>10952617</v>
      </c>
      <c r="L18" s="905">
        <f t="shared" si="13"/>
        <v>10952617</v>
      </c>
      <c r="M18" s="905">
        <v>10952617</v>
      </c>
      <c r="N18" s="684">
        <f t="shared" si="2"/>
        <v>10952617</v>
      </c>
      <c r="O18" s="618">
        <v>10952617</v>
      </c>
      <c r="P18" s="907">
        <v>10952617</v>
      </c>
      <c r="Q18" s="907">
        <v>10952617</v>
      </c>
      <c r="R18" s="619">
        <v>10952617</v>
      </c>
      <c r="S18" s="618">
        <v>10952617</v>
      </c>
      <c r="T18" s="611">
        <v>10952617</v>
      </c>
      <c r="U18" s="2028">
        <v>10952617</v>
      </c>
      <c r="V18" s="1929">
        <f t="shared" ref="V18:V23" si="14">Q18</f>
        <v>10952617</v>
      </c>
      <c r="Y18" s="1196"/>
      <c r="Z18" s="1196"/>
      <c r="AA18" s="1196"/>
    </row>
    <row r="19" spans="4:27" ht="18" customHeight="1">
      <c r="D19" s="1206" t="s">
        <v>1792</v>
      </c>
      <c r="E19" s="683" t="s">
        <v>207</v>
      </c>
      <c r="F19" s="684">
        <v>-10952617</v>
      </c>
      <c r="G19" s="1921">
        <f t="shared" si="10"/>
        <v>-10952617</v>
      </c>
      <c r="H19" s="609">
        <f t="shared" si="11"/>
        <v>-10952617</v>
      </c>
      <c r="I19" s="609">
        <f t="shared" si="6"/>
        <v>-10952617</v>
      </c>
      <c r="J19" s="905">
        <f t="shared" si="12"/>
        <v>-10952617</v>
      </c>
      <c r="K19" s="1205">
        <f t="shared" si="13"/>
        <v>-10952617</v>
      </c>
      <c r="L19" s="905">
        <f t="shared" si="13"/>
        <v>-10952617</v>
      </c>
      <c r="M19" s="905">
        <v>-10952617</v>
      </c>
      <c r="N19" s="684">
        <f t="shared" si="2"/>
        <v>-10952617</v>
      </c>
      <c r="O19" s="618">
        <v>-10952617</v>
      </c>
      <c r="P19" s="907">
        <v>-10952617</v>
      </c>
      <c r="Q19" s="907">
        <v>-10952617</v>
      </c>
      <c r="R19" s="619">
        <v>-10952617</v>
      </c>
      <c r="S19" s="618">
        <v>-10952617</v>
      </c>
      <c r="T19" s="611">
        <v>-10952617</v>
      </c>
      <c r="U19" s="2028">
        <v>-10952617</v>
      </c>
      <c r="V19" s="1929">
        <f t="shared" si="14"/>
        <v>-10952617</v>
      </c>
      <c r="Y19" s="1196"/>
      <c r="Z19" s="1196"/>
      <c r="AA19" s="1196"/>
    </row>
    <row r="20" spans="4:27" ht="18" customHeight="1">
      <c r="D20" s="1206" t="s">
        <v>1790</v>
      </c>
      <c r="E20" s="683" t="s">
        <v>193</v>
      </c>
      <c r="F20" s="684">
        <v>-349388</v>
      </c>
      <c r="G20" s="1921">
        <f t="shared" si="10"/>
        <v>-349388</v>
      </c>
      <c r="H20" s="609">
        <f t="shared" si="11"/>
        <v>-349388</v>
      </c>
      <c r="I20" s="609">
        <f t="shared" si="6"/>
        <v>-349388</v>
      </c>
      <c r="J20" s="905">
        <f t="shared" si="12"/>
        <v>-349388</v>
      </c>
      <c r="K20" s="1205">
        <f t="shared" si="13"/>
        <v>-349388</v>
      </c>
      <c r="L20" s="905">
        <f t="shared" si="13"/>
        <v>-349388</v>
      </c>
      <c r="M20" s="905">
        <v>-349388</v>
      </c>
      <c r="N20" s="684">
        <f t="shared" si="2"/>
        <v>-349388</v>
      </c>
      <c r="O20" s="618">
        <v>-349388</v>
      </c>
      <c r="P20" s="907">
        <v>-349388</v>
      </c>
      <c r="Q20" s="907">
        <v>-349388</v>
      </c>
      <c r="R20" s="619">
        <v>-349388</v>
      </c>
      <c r="S20" s="618">
        <v>-349388</v>
      </c>
      <c r="T20" s="611">
        <v>-349388</v>
      </c>
      <c r="U20" s="2028">
        <v>-349388</v>
      </c>
      <c r="V20" s="1929">
        <f t="shared" si="14"/>
        <v>-349388</v>
      </c>
      <c r="Y20" s="1196"/>
      <c r="Z20" s="1196"/>
      <c r="AA20" s="1196"/>
    </row>
    <row r="21" spans="4:27" ht="18" customHeight="1">
      <c r="D21" s="607" t="s">
        <v>1354</v>
      </c>
      <c r="E21" s="683" t="s">
        <v>207</v>
      </c>
      <c r="F21" s="684">
        <v>349388</v>
      </c>
      <c r="G21" s="1921">
        <f t="shared" si="10"/>
        <v>349388</v>
      </c>
      <c r="H21" s="609">
        <f t="shared" si="11"/>
        <v>349388</v>
      </c>
      <c r="I21" s="609">
        <f t="shared" si="6"/>
        <v>349388</v>
      </c>
      <c r="J21" s="905">
        <f t="shared" si="12"/>
        <v>349388</v>
      </c>
      <c r="K21" s="1205">
        <f t="shared" si="13"/>
        <v>349388</v>
      </c>
      <c r="L21" s="905">
        <f t="shared" si="13"/>
        <v>349388</v>
      </c>
      <c r="M21" s="905">
        <v>349388</v>
      </c>
      <c r="N21" s="684">
        <f t="shared" si="2"/>
        <v>349388</v>
      </c>
      <c r="O21" s="618">
        <v>349388</v>
      </c>
      <c r="P21" s="907">
        <v>349388</v>
      </c>
      <c r="Q21" s="907">
        <v>349388</v>
      </c>
      <c r="R21" s="619">
        <v>349388</v>
      </c>
      <c r="S21" s="618">
        <v>349388</v>
      </c>
      <c r="T21" s="611">
        <v>349388</v>
      </c>
      <c r="U21" s="2028">
        <v>349388</v>
      </c>
      <c r="V21" s="1929">
        <f t="shared" si="14"/>
        <v>349388</v>
      </c>
      <c r="Y21" s="1196"/>
      <c r="Z21" s="1196"/>
      <c r="AA21" s="1196"/>
    </row>
    <row r="22" spans="4:27" ht="18" customHeight="1">
      <c r="D22" s="1206" t="s">
        <v>1790</v>
      </c>
      <c r="E22" s="683" t="s">
        <v>193</v>
      </c>
      <c r="F22" s="684">
        <v>29855787</v>
      </c>
      <c r="G22" s="1921">
        <f t="shared" si="10"/>
        <v>29855787</v>
      </c>
      <c r="H22" s="609">
        <f t="shared" si="11"/>
        <v>29855787</v>
      </c>
      <c r="I22" s="609">
        <f t="shared" si="6"/>
        <v>29855787</v>
      </c>
      <c r="J22" s="905">
        <f t="shared" si="12"/>
        <v>29855787</v>
      </c>
      <c r="K22" s="1205">
        <f t="shared" si="13"/>
        <v>29855787</v>
      </c>
      <c r="L22" s="905">
        <f t="shared" si="13"/>
        <v>29855787</v>
      </c>
      <c r="M22" s="905">
        <v>29855787</v>
      </c>
      <c r="N22" s="684">
        <f t="shared" si="2"/>
        <v>29855787</v>
      </c>
      <c r="O22" s="618">
        <v>29855787</v>
      </c>
      <c r="P22" s="907">
        <v>29855787</v>
      </c>
      <c r="Q22" s="907">
        <v>29855787</v>
      </c>
      <c r="R22" s="619">
        <v>29855787</v>
      </c>
      <c r="S22" s="618">
        <v>29855787</v>
      </c>
      <c r="T22" s="611">
        <v>29855787</v>
      </c>
      <c r="U22" s="2028">
        <v>29855787</v>
      </c>
      <c r="V22" s="1929">
        <f t="shared" si="14"/>
        <v>29855787</v>
      </c>
      <c r="Y22" s="1196"/>
      <c r="Z22" s="1196"/>
      <c r="AA22" s="1196"/>
    </row>
    <row r="23" spans="4:27" ht="18" customHeight="1">
      <c r="D23" s="607" t="s">
        <v>1354</v>
      </c>
      <c r="E23" s="683" t="s">
        <v>207</v>
      </c>
      <c r="F23" s="684">
        <v>-29855787</v>
      </c>
      <c r="G23" s="1921">
        <f t="shared" si="10"/>
        <v>-29855787</v>
      </c>
      <c r="H23" s="609">
        <f t="shared" si="11"/>
        <v>-29855787</v>
      </c>
      <c r="I23" s="609">
        <f t="shared" si="6"/>
        <v>-29855787</v>
      </c>
      <c r="J23" s="905">
        <f t="shared" si="12"/>
        <v>-29855787</v>
      </c>
      <c r="K23" s="1205">
        <f t="shared" si="13"/>
        <v>-29855787</v>
      </c>
      <c r="L23" s="905">
        <f t="shared" si="13"/>
        <v>-29855787</v>
      </c>
      <c r="M23" s="905">
        <v>-29855787</v>
      </c>
      <c r="N23" s="684">
        <f t="shared" si="2"/>
        <v>-29855787</v>
      </c>
      <c r="O23" s="618">
        <v>-29855787</v>
      </c>
      <c r="P23" s="907">
        <v>-29855787</v>
      </c>
      <c r="Q23" s="907">
        <v>-29855787</v>
      </c>
      <c r="R23" s="619">
        <v>-29855787</v>
      </c>
      <c r="S23" s="618">
        <v>-29855787</v>
      </c>
      <c r="T23" s="611">
        <v>-29855787</v>
      </c>
      <c r="U23" s="2028">
        <v>-29855787</v>
      </c>
      <c r="V23" s="1929">
        <f t="shared" si="14"/>
        <v>-29855787</v>
      </c>
      <c r="Y23" s="1196"/>
      <c r="Z23" s="1196"/>
      <c r="AA23" s="1196"/>
    </row>
    <row r="24" spans="4:27" s="494" customFormat="1" ht="18" customHeight="1">
      <c r="D24" s="1211" t="s">
        <v>554</v>
      </c>
      <c r="E24" s="1212"/>
      <c r="F24" s="1924">
        <f t="shared" ref="F24:Q24" si="15">SUM(F18:F23)</f>
        <v>0</v>
      </c>
      <c r="G24" s="1922">
        <f t="shared" si="15"/>
        <v>0</v>
      </c>
      <c r="H24" s="1208">
        <f t="shared" si="15"/>
        <v>0</v>
      </c>
      <c r="I24" s="1208">
        <f t="shared" si="15"/>
        <v>0</v>
      </c>
      <c r="J24" s="1209">
        <f t="shared" si="15"/>
        <v>0</v>
      </c>
      <c r="K24" s="1210">
        <f t="shared" si="15"/>
        <v>0</v>
      </c>
      <c r="L24" s="1208">
        <f t="shared" si="15"/>
        <v>0</v>
      </c>
      <c r="M24" s="1208">
        <f t="shared" si="15"/>
        <v>0</v>
      </c>
      <c r="N24" s="1209">
        <f t="shared" si="15"/>
        <v>0</v>
      </c>
      <c r="O24" s="1210">
        <f t="shared" si="15"/>
        <v>0</v>
      </c>
      <c r="P24" s="1208">
        <f t="shared" si="15"/>
        <v>0</v>
      </c>
      <c r="Q24" s="1208">
        <f t="shared" si="15"/>
        <v>0</v>
      </c>
      <c r="R24" s="1209"/>
      <c r="S24" s="1210"/>
      <c r="T24" s="2029">
        <f>SUM(T18:T23)</f>
        <v>0</v>
      </c>
      <c r="U24" s="2030">
        <f>SUM(U18:U23)</f>
        <v>0</v>
      </c>
      <c r="V24" s="1937">
        <f>SUM(V18:V23)</f>
        <v>0</v>
      </c>
      <c r="X24" s="1196"/>
      <c r="Y24" s="1196"/>
      <c r="Z24" s="1196"/>
      <c r="AA24" s="1196"/>
    </row>
    <row r="25" spans="4:27" ht="18" customHeight="1">
      <c r="D25" s="607" t="s">
        <v>378</v>
      </c>
      <c r="E25" s="683" t="s">
        <v>377</v>
      </c>
      <c r="F25" s="684">
        <v>-5278089200</v>
      </c>
      <c r="G25" s="1921">
        <v>0</v>
      </c>
      <c r="H25" s="609">
        <v>0</v>
      </c>
      <c r="I25" s="609">
        <v>0</v>
      </c>
      <c r="J25" s="905">
        <v>-25472597960</v>
      </c>
      <c r="K25" s="1205">
        <v>0</v>
      </c>
      <c r="L25" s="905">
        <v>0</v>
      </c>
      <c r="M25" s="905">
        <v>0</v>
      </c>
      <c r="N25" s="684">
        <v>-2042283617</v>
      </c>
      <c r="O25" s="618">
        <v>0</v>
      </c>
      <c r="P25" s="907">
        <v>0</v>
      </c>
      <c r="Q25" s="907">
        <v>0</v>
      </c>
      <c r="R25" s="619"/>
      <c r="S25" s="618"/>
      <c r="T25" s="611"/>
      <c r="U25" s="2028"/>
      <c r="V25" s="1929">
        <v>-553461407</v>
      </c>
      <c r="Y25" s="1196"/>
      <c r="Z25" s="1196"/>
      <c r="AA25" s="1196"/>
    </row>
    <row r="26" spans="4:27" ht="18" customHeight="1">
      <c r="D26" s="607" t="s">
        <v>1354</v>
      </c>
      <c r="E26" s="683" t="s">
        <v>207</v>
      </c>
      <c r="F26" s="684">
        <f>-F25</f>
        <v>5278089200</v>
      </c>
      <c r="G26" s="1921">
        <v>0</v>
      </c>
      <c r="H26" s="609">
        <v>0</v>
      </c>
      <c r="I26" s="609">
        <v>0</v>
      </c>
      <c r="J26" s="905">
        <v>25472597960</v>
      </c>
      <c r="K26" s="1205">
        <v>0</v>
      </c>
      <c r="L26" s="905">
        <v>0</v>
      </c>
      <c r="M26" s="905">
        <v>0</v>
      </c>
      <c r="N26" s="684">
        <f>-N25</f>
        <v>2042283617</v>
      </c>
      <c r="O26" s="618">
        <v>0</v>
      </c>
      <c r="P26" s="907">
        <v>0</v>
      </c>
      <c r="Q26" s="907">
        <v>0</v>
      </c>
      <c r="R26" s="619"/>
      <c r="S26" s="618"/>
      <c r="T26" s="611"/>
      <c r="U26" s="2028"/>
      <c r="V26" s="1929">
        <f>-V25</f>
        <v>553461407</v>
      </c>
      <c r="Y26" s="1196"/>
      <c r="Z26" s="1196"/>
      <c r="AA26" s="1196"/>
    </row>
    <row r="27" spans="4:27" ht="18" customHeight="1">
      <c r="D27" s="607" t="s">
        <v>1355</v>
      </c>
      <c r="E27" s="683" t="s">
        <v>209</v>
      </c>
      <c r="F27" s="684">
        <f>F25</f>
        <v>-5278089200</v>
      </c>
      <c r="G27" s="1921">
        <v>0</v>
      </c>
      <c r="H27" s="609">
        <v>0</v>
      </c>
      <c r="I27" s="609">
        <v>0</v>
      </c>
      <c r="J27" s="905">
        <v>-25472597960</v>
      </c>
      <c r="K27" s="1205">
        <v>0</v>
      </c>
      <c r="L27" s="905">
        <v>0</v>
      </c>
      <c r="M27" s="905">
        <v>0</v>
      </c>
      <c r="N27" s="684">
        <f>-N26</f>
        <v>-2042283617</v>
      </c>
      <c r="O27" s="618">
        <v>0</v>
      </c>
      <c r="P27" s="907">
        <v>0</v>
      </c>
      <c r="Q27" s="907">
        <v>0</v>
      </c>
      <c r="R27" s="619"/>
      <c r="S27" s="618"/>
      <c r="T27" s="611"/>
      <c r="U27" s="2028"/>
      <c r="V27" s="1929">
        <f>-V26</f>
        <v>-553461407</v>
      </c>
      <c r="Y27" s="1196"/>
      <c r="Z27" s="1196"/>
      <c r="AA27" s="1196"/>
    </row>
    <row r="28" spans="4:27" ht="18" customHeight="1">
      <c r="D28" s="607"/>
      <c r="E28" s="683" t="s">
        <v>421</v>
      </c>
      <c r="F28" s="684">
        <f>-F27</f>
        <v>5278089200</v>
      </c>
      <c r="G28" s="1921">
        <v>0</v>
      </c>
      <c r="H28" s="609">
        <v>0</v>
      </c>
      <c r="I28" s="609">
        <v>0</v>
      </c>
      <c r="J28" s="905">
        <v>25472597960</v>
      </c>
      <c r="K28" s="1205">
        <v>0</v>
      </c>
      <c r="L28" s="905">
        <v>0</v>
      </c>
      <c r="M28" s="905">
        <v>0</v>
      </c>
      <c r="N28" s="684">
        <f>-N27</f>
        <v>2042283617</v>
      </c>
      <c r="O28" s="618">
        <v>0</v>
      </c>
      <c r="P28" s="907">
        <v>0</v>
      </c>
      <c r="Q28" s="907">
        <v>0</v>
      </c>
      <c r="R28" s="619"/>
      <c r="S28" s="618"/>
      <c r="T28" s="611"/>
      <c r="U28" s="2028"/>
      <c r="V28" s="1929">
        <f>-V27</f>
        <v>553461407</v>
      </c>
      <c r="Y28" s="1196"/>
      <c r="Z28" s="1196"/>
      <c r="AA28" s="1196"/>
    </row>
    <row r="29" spans="4:27" ht="18" customHeight="1">
      <c r="D29" s="906"/>
      <c r="E29" s="609"/>
      <c r="F29" s="684"/>
      <c r="G29" s="1921"/>
      <c r="H29" s="609"/>
      <c r="I29" s="609"/>
      <c r="J29" s="905"/>
      <c r="K29" s="1205"/>
      <c r="L29" s="905"/>
      <c r="M29" s="905"/>
      <c r="N29" s="684"/>
      <c r="O29" s="618"/>
      <c r="P29" s="907"/>
      <c r="Q29" s="907"/>
      <c r="R29" s="619"/>
      <c r="S29" s="618"/>
      <c r="T29" s="611"/>
      <c r="U29" s="2028"/>
      <c r="V29" s="1929"/>
      <c r="Y29" s="1196"/>
      <c r="Z29" s="1196"/>
      <c r="AA29" s="1196"/>
    </row>
    <row r="30" spans="4:27" ht="18" customHeight="1" thickBot="1">
      <c r="D30" s="1191"/>
      <c r="E30" s="621"/>
      <c r="F30" s="693"/>
      <c r="G30" s="1923"/>
      <c r="H30" s="621"/>
      <c r="I30" s="621"/>
      <c r="J30" s="1193"/>
      <c r="K30" s="1213"/>
      <c r="L30" s="1193"/>
      <c r="M30" s="1193"/>
      <c r="N30" s="693"/>
      <c r="O30" s="630"/>
      <c r="P30" s="1194"/>
      <c r="Q30" s="1194"/>
      <c r="R30" s="631"/>
      <c r="S30" s="630"/>
      <c r="T30" s="623"/>
      <c r="U30" s="2031"/>
      <c r="V30" s="1931"/>
      <c r="Y30" s="1196"/>
      <c r="Z30" s="1196"/>
      <c r="AA30" s="1196"/>
    </row>
    <row r="31" spans="4:27" ht="18" customHeight="1">
      <c r="Y31" s="1196"/>
      <c r="Z31" s="1196"/>
      <c r="AA31" s="1196"/>
    </row>
    <row r="32" spans="4:27" ht="18" customHeight="1">
      <c r="Y32" s="1196"/>
      <c r="Z32" s="1196"/>
      <c r="AA32" s="1196"/>
    </row>
    <row r="33" spans="25:27" ht="18" customHeight="1">
      <c r="Y33" s="1196"/>
      <c r="Z33" s="1196"/>
      <c r="AA33" s="1196"/>
    </row>
    <row r="34" spans="25:27" ht="18" customHeight="1">
      <c r="Y34" s="1196"/>
      <c r="Z34" s="1196"/>
      <c r="AA34" s="1196"/>
    </row>
    <row r="35" spans="25:27" ht="18" customHeight="1">
      <c r="Y35" s="1196"/>
      <c r="Z35" s="1196"/>
      <c r="AA35" s="1196"/>
    </row>
  </sheetData>
  <autoFilter ref="D5:V5" xr:uid="{00000000-0009-0000-0000-000016000000}"/>
  <phoneticPr fontId="22" type="noConversion"/>
  <pageMargins left="0.7" right="0.7" top="0.75" bottom="0.75" header="0.3" footer="0.3"/>
  <pageSetup paperSize="9" orientation="portrait" r:id="rId1"/>
  <ignoredErrors>
    <ignoredError sqref="D7:E28" numberStoredAsText="1"/>
    <ignoredError sqref="F27 V9:V14 K10:N13 K18:N24 K17:N17 K15:N16 K14:N14 K9:N9 J15:J16 J18:J24 J10:J13 G9:J9 G14:J14 G10:I13 G25:J26 G18:I24 G17:J17 G15:I16 V15:V24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0">
    <tabColor rgb="FF223055"/>
  </sheetPr>
  <dimension ref="C4:N61"/>
  <sheetViews>
    <sheetView showGridLines="0" topLeftCell="A16" zoomScaleNormal="100" workbookViewId="0">
      <selection activeCell="E27" sqref="E27:G27"/>
    </sheetView>
  </sheetViews>
  <sheetFormatPr defaultColWidth="9.125" defaultRowHeight="16.5" customHeight="1"/>
  <cols>
    <col min="1" max="3" width="2.75" style="19" customWidth="1"/>
    <col min="4" max="13" width="21.75" style="19" customWidth="1"/>
    <col min="14" max="23" width="20.75" style="19" customWidth="1"/>
    <col min="24" max="16384" width="9.125" style="19"/>
  </cols>
  <sheetData>
    <row r="4" spans="3:8" s="99" customFormat="1" ht="16.5" customHeight="1">
      <c r="C4" s="99">
        <v>1</v>
      </c>
      <c r="D4" s="99" t="s">
        <v>1697</v>
      </c>
      <c r="F4" s="19"/>
    </row>
    <row r="6" spans="3:8" ht="16.5" customHeight="1">
      <c r="D6" s="19" t="s">
        <v>1698</v>
      </c>
      <c r="E6" s="19">
        <v>1199</v>
      </c>
    </row>
    <row r="7" spans="3:8" ht="16.5" customHeight="1">
      <c r="D7" s="19" t="s">
        <v>1699</v>
      </c>
      <c r="E7" s="19">
        <v>650333455</v>
      </c>
      <c r="F7" s="19" t="s">
        <v>1722</v>
      </c>
    </row>
    <row r="8" spans="3:8" ht="16.5" customHeight="1" thickBot="1">
      <c r="D8" s="19" t="s">
        <v>1700</v>
      </c>
      <c r="E8" s="19">
        <v>-148309663</v>
      </c>
    </row>
    <row r="9" spans="3:8" ht="16.5" customHeight="1" thickBot="1">
      <c r="D9" s="105" t="s">
        <v>1720</v>
      </c>
      <c r="E9" s="106">
        <f>E6-E7+E8</f>
        <v>-798641919</v>
      </c>
    </row>
    <row r="13" spans="3:8" ht="16.5" customHeight="1" thickBot="1">
      <c r="D13" s="19" t="s">
        <v>1723</v>
      </c>
    </row>
    <row r="14" spans="3:8" ht="16.5" customHeight="1" thickBot="1">
      <c r="D14" s="2144" t="s">
        <v>1735</v>
      </c>
      <c r="E14" s="2145"/>
      <c r="F14" s="2145"/>
      <c r="G14" s="2146"/>
    </row>
    <row r="15" spans="3:8" ht="16.5" customHeight="1">
      <c r="D15" s="20" t="s">
        <v>0</v>
      </c>
      <c r="E15" s="22">
        <v>2192328600</v>
      </c>
      <c r="F15" s="21" t="s">
        <v>1724</v>
      </c>
      <c r="G15" s="97">
        <v>1541995145</v>
      </c>
      <c r="H15" s="19" t="s">
        <v>1583</v>
      </c>
    </row>
    <row r="16" spans="3:8" ht="16.5" customHeight="1">
      <c r="D16" s="20"/>
      <c r="E16" s="22"/>
      <c r="F16" s="21"/>
      <c r="G16" s="97"/>
    </row>
    <row r="17" spans="4:10" ht="16.5" customHeight="1">
      <c r="D17" s="20" t="s">
        <v>1700</v>
      </c>
      <c r="E17" s="22">
        <f>-E8</f>
        <v>148309663</v>
      </c>
      <c r="F17" s="21" t="s">
        <v>1725</v>
      </c>
      <c r="G17" s="97">
        <v>3510577560</v>
      </c>
    </row>
    <row r="18" spans="4:10" ht="16.5" customHeight="1" thickBot="1">
      <c r="D18" s="107"/>
      <c r="E18" s="101"/>
      <c r="F18" s="104" t="s">
        <v>1699</v>
      </c>
      <c r="G18" s="100">
        <f>SUM(E15:E17)-SUM(G15:G17)</f>
        <v>-2711934442</v>
      </c>
    </row>
    <row r="19" spans="4:10" ht="16.5" customHeight="1">
      <c r="G19" s="99">
        <f>SUM(G17:G18)</f>
        <v>798643118</v>
      </c>
    </row>
    <row r="20" spans="4:10" ht="16.5" customHeight="1" thickBot="1"/>
    <row r="21" spans="4:10" ht="16.5" customHeight="1">
      <c r="D21" s="108" t="s">
        <v>1701</v>
      </c>
      <c r="E21" s="109">
        <v>2590571062</v>
      </c>
      <c r="F21" s="109" t="s">
        <v>13</v>
      </c>
      <c r="G21" s="110">
        <v>2590571062</v>
      </c>
      <c r="H21" s="19" t="s">
        <v>1757</v>
      </c>
    </row>
    <row r="22" spans="4:10" ht="16.5" customHeight="1">
      <c r="D22" s="98"/>
      <c r="E22" s="21"/>
      <c r="F22" s="21"/>
      <c r="G22" s="97"/>
    </row>
    <row r="23" spans="4:10" ht="16.5" customHeight="1">
      <c r="D23" s="98" t="s">
        <v>1701</v>
      </c>
      <c r="E23" s="21">
        <f>SUM(G47:H47,J47)</f>
        <v>920006498</v>
      </c>
      <c r="F23" s="21" t="s">
        <v>302</v>
      </c>
      <c r="G23" s="97">
        <f>E23</f>
        <v>920006498</v>
      </c>
      <c r="H23" s="19" t="s">
        <v>1758</v>
      </c>
    </row>
    <row r="24" spans="4:10" ht="16.5" customHeight="1">
      <c r="D24" s="98"/>
      <c r="E24" s="21"/>
      <c r="F24" s="21"/>
      <c r="G24" s="97"/>
    </row>
    <row r="25" spans="4:10" ht="16.5" customHeight="1">
      <c r="D25" s="98" t="s">
        <v>854</v>
      </c>
      <c r="E25" s="21" t="e">
        <f>T_IS!#REF!</f>
        <v>#REF!</v>
      </c>
      <c r="F25" s="21" t="s">
        <v>1701</v>
      </c>
      <c r="G25" s="97" t="e">
        <f>E25</f>
        <v>#REF!</v>
      </c>
      <c r="H25" s="19" t="s">
        <v>1759</v>
      </c>
    </row>
    <row r="26" spans="4:10" ht="16.5" customHeight="1">
      <c r="D26" s="98"/>
      <c r="E26" s="21"/>
      <c r="F26" s="21"/>
      <c r="G26" s="97"/>
      <c r="J26" s="111"/>
    </row>
    <row r="27" spans="4:10" ht="16.5" customHeight="1">
      <c r="D27" s="98" t="s">
        <v>1699</v>
      </c>
      <c r="E27" s="21">
        <f>E9</f>
        <v>-798641919</v>
      </c>
      <c r="F27" s="21" t="s">
        <v>1701</v>
      </c>
      <c r="G27" s="97">
        <f>E27</f>
        <v>-798641919</v>
      </c>
      <c r="J27" s="111"/>
    </row>
    <row r="28" spans="4:10" ht="16.5" customHeight="1">
      <c r="D28" s="98"/>
      <c r="E28" s="21"/>
      <c r="F28" s="21"/>
      <c r="G28" s="97"/>
      <c r="J28" s="111"/>
    </row>
    <row r="29" spans="4:10" ht="16.5" customHeight="1">
      <c r="D29" s="98" t="s">
        <v>302</v>
      </c>
      <c r="E29" s="102">
        <v>0</v>
      </c>
      <c r="F29" s="21" t="s">
        <v>1701</v>
      </c>
      <c r="G29" s="97">
        <f>E29</f>
        <v>0</v>
      </c>
      <c r="J29" s="111"/>
    </row>
    <row r="30" spans="4:10" ht="16.5" customHeight="1" thickBot="1">
      <c r="D30" s="98"/>
      <c r="E30" s="21"/>
      <c r="F30" s="21"/>
      <c r="G30" s="97"/>
      <c r="J30" s="111"/>
    </row>
    <row r="31" spans="4:10" s="99" customFormat="1" ht="16.5" customHeight="1">
      <c r="D31" s="112" t="s">
        <v>1701</v>
      </c>
      <c r="E31" s="113">
        <f>SUMIF($D$21:$D$29,D31,$E$21:$E$29)</f>
        <v>3510577560</v>
      </c>
      <c r="F31" s="113" t="s">
        <v>1701</v>
      </c>
      <c r="G31" s="114" t="e">
        <f>SUMIF($F$21:$F$29,F31,$G$21:$G$29)</f>
        <v>#REF!</v>
      </c>
    </row>
    <row r="32" spans="4:10" ht="16.5" customHeight="1" thickBot="1">
      <c r="D32" s="115"/>
      <c r="E32" s="115"/>
      <c r="F32" s="115" t="s">
        <v>1719</v>
      </c>
      <c r="G32" s="116" t="e">
        <f>E31-G31</f>
        <v>#REF!</v>
      </c>
    </row>
    <row r="34" spans="4:14" ht="16.5" customHeight="1">
      <c r="D34" s="18"/>
    </row>
    <row r="36" spans="4:14" ht="16.5" customHeight="1" thickBot="1">
      <c r="D36" s="19" t="s">
        <v>1755</v>
      </c>
      <c r="F36" s="19" t="s">
        <v>1754</v>
      </c>
    </row>
    <row r="37" spans="4:14" ht="16.5" customHeight="1" thickBot="1">
      <c r="D37" s="117" t="s">
        <v>1707</v>
      </c>
      <c r="E37" s="118" t="s">
        <v>414</v>
      </c>
      <c r="F37" s="118" t="s">
        <v>1708</v>
      </c>
      <c r="G37" s="118" t="s">
        <v>302</v>
      </c>
      <c r="H37" s="118" t="s">
        <v>1709</v>
      </c>
      <c r="I37" s="118" t="s">
        <v>1710</v>
      </c>
      <c r="J37" s="118" t="s">
        <v>1711</v>
      </c>
      <c r="K37" s="118" t="s">
        <v>1712</v>
      </c>
      <c r="L37" s="118" t="s">
        <v>1713</v>
      </c>
      <c r="M37" s="119" t="s">
        <v>557</v>
      </c>
    </row>
    <row r="38" spans="4:14" ht="16.5" customHeight="1">
      <c r="D38" s="2147" t="s">
        <v>1714</v>
      </c>
      <c r="E38" s="120" t="s">
        <v>1715</v>
      </c>
      <c r="F38" s="121">
        <v>2590571062</v>
      </c>
      <c r="G38" s="121">
        <v>1711716954</v>
      </c>
      <c r="H38" s="121">
        <v>196355198</v>
      </c>
      <c r="I38" s="121">
        <v>-3510577560</v>
      </c>
      <c r="J38" s="121">
        <v>-306100509</v>
      </c>
      <c r="K38" s="121">
        <v>-2518274</v>
      </c>
      <c r="L38" s="121">
        <v>-396344008</v>
      </c>
      <c r="M38" s="122">
        <v>283102863</v>
      </c>
      <c r="N38" s="19" t="b">
        <f>SUM(F38:L38)=M38</f>
        <v>1</v>
      </c>
    </row>
    <row r="39" spans="4:14" ht="16.5" customHeight="1" thickBot="1">
      <c r="D39" s="2148"/>
      <c r="E39" s="136" t="s">
        <v>1716</v>
      </c>
      <c r="F39" s="123"/>
      <c r="G39" s="123"/>
      <c r="H39" s="123"/>
      <c r="I39" s="123"/>
      <c r="J39" s="123"/>
      <c r="K39" s="123"/>
      <c r="L39" s="123">
        <v>396344008</v>
      </c>
      <c r="M39" s="124">
        <v>396344008</v>
      </c>
      <c r="N39" s="19" t="b">
        <f>SUM(F39:L39)=M39</f>
        <v>1</v>
      </c>
    </row>
    <row r="40" spans="4:14" s="99" customFormat="1" ht="16.5" customHeight="1" thickBot="1">
      <c r="D40" s="2149" t="s">
        <v>1717</v>
      </c>
      <c r="E40" s="2150"/>
      <c r="F40" s="125">
        <v>2590571062</v>
      </c>
      <c r="G40" s="125">
        <v>1711716954</v>
      </c>
      <c r="H40" s="125">
        <v>196355198</v>
      </c>
      <c r="I40" s="125">
        <v>-3510577560</v>
      </c>
      <c r="J40" s="125">
        <v>-306100509</v>
      </c>
      <c r="K40" s="125">
        <v>-2518274</v>
      </c>
      <c r="L40" s="125">
        <v>0</v>
      </c>
      <c r="M40" s="126">
        <v>679446871</v>
      </c>
    </row>
    <row r="41" spans="4:14" ht="16.5" customHeight="1">
      <c r="D41" s="2151" t="s">
        <v>1718</v>
      </c>
      <c r="E41" s="127" t="s">
        <v>1715</v>
      </c>
      <c r="F41" s="128">
        <v>2316940.4</v>
      </c>
      <c r="G41" s="128">
        <v>1402188.24</v>
      </c>
      <c r="H41" s="128"/>
      <c r="I41" s="128">
        <v>-2888888.71</v>
      </c>
      <c r="J41" s="128">
        <v>-262385</v>
      </c>
      <c r="K41" s="128">
        <v>-2261.9299999999998</v>
      </c>
      <c r="L41" s="128">
        <v>-329929.25</v>
      </c>
      <c r="M41" s="129">
        <v>235663.75</v>
      </c>
    </row>
    <row r="42" spans="4:14" ht="16.5" customHeight="1" thickBot="1">
      <c r="D42" s="2148"/>
      <c r="E42" s="136" t="s">
        <v>1716</v>
      </c>
      <c r="F42" s="123"/>
      <c r="G42" s="123"/>
      <c r="H42" s="123"/>
      <c r="I42" s="123"/>
      <c r="J42" s="123"/>
      <c r="K42" s="123"/>
      <c r="L42" s="123">
        <v>329929.25</v>
      </c>
      <c r="M42" s="124">
        <v>329929.25</v>
      </c>
    </row>
    <row r="43" spans="4:14" ht="16.5" customHeight="1" thickBot="1">
      <c r="D43" s="2152" t="s">
        <v>1717</v>
      </c>
      <c r="E43" s="2153"/>
      <c r="F43" s="130">
        <v>2316940.4</v>
      </c>
      <c r="G43" s="130">
        <v>1402188.24</v>
      </c>
      <c r="H43" s="130">
        <v>0</v>
      </c>
      <c r="I43" s="130">
        <v>-2888888.71</v>
      </c>
      <c r="J43" s="130">
        <v>-262385</v>
      </c>
      <c r="K43" s="130">
        <v>-2261.9299999999998</v>
      </c>
      <c r="L43" s="130">
        <v>0</v>
      </c>
      <c r="M43" s="131">
        <v>565593</v>
      </c>
    </row>
    <row r="45" spans="4:14" ht="16.5" customHeight="1" thickBot="1">
      <c r="D45" s="19" t="s">
        <v>1756</v>
      </c>
    </row>
    <row r="46" spans="4:14" ht="16.5" customHeight="1" thickBot="1">
      <c r="D46" s="117" t="s">
        <v>1707</v>
      </c>
      <c r="E46" s="118" t="s">
        <v>414</v>
      </c>
      <c r="F46" s="118" t="s">
        <v>1708</v>
      </c>
      <c r="G46" s="118" t="s">
        <v>302</v>
      </c>
      <c r="H46" s="118" t="s">
        <v>1709</v>
      </c>
      <c r="I46" s="118" t="s">
        <v>1710</v>
      </c>
      <c r="J46" s="118" t="s">
        <v>1711</v>
      </c>
      <c r="K46" s="118" t="s">
        <v>1712</v>
      </c>
      <c r="L46" s="118" t="s">
        <v>1713</v>
      </c>
      <c r="M46" s="119" t="s">
        <v>557</v>
      </c>
    </row>
    <row r="47" spans="4:14" ht="16.5" customHeight="1">
      <c r="D47" s="2147" t="s">
        <v>1714</v>
      </c>
      <c r="E47" s="120" t="s">
        <v>1715</v>
      </c>
      <c r="F47" s="121">
        <v>2590571062</v>
      </c>
      <c r="G47" s="121">
        <v>1029751809</v>
      </c>
      <c r="H47" s="121">
        <v>196355198</v>
      </c>
      <c r="I47" s="121">
        <v>-3510577560</v>
      </c>
      <c r="J47" s="121">
        <f>J38</f>
        <v>-306100509</v>
      </c>
      <c r="K47" s="121"/>
      <c r="L47" s="121"/>
      <c r="M47" s="122">
        <f>SUM(F47:L47)</f>
        <v>0</v>
      </c>
      <c r="N47" s="19">
        <f>SUM(F47:L47)</f>
        <v>0</v>
      </c>
    </row>
    <row r="48" spans="4:14" ht="16.5" customHeight="1" thickBot="1">
      <c r="D48" s="2148"/>
      <c r="E48" s="136" t="s">
        <v>1716</v>
      </c>
      <c r="F48" s="123"/>
      <c r="G48" s="123"/>
      <c r="H48" s="123"/>
      <c r="I48" s="123"/>
      <c r="J48" s="123"/>
      <c r="K48" s="123"/>
      <c r="L48" s="123"/>
      <c r="M48" s="124">
        <f>SUM(F48:L48)</f>
        <v>0</v>
      </c>
      <c r="N48" s="19">
        <f>SUM(F48:L48)</f>
        <v>0</v>
      </c>
    </row>
    <row r="49" spans="4:13" ht="16.5" customHeight="1" thickBot="1">
      <c r="D49" s="2149" t="s">
        <v>1717</v>
      </c>
      <c r="E49" s="2150"/>
      <c r="F49" s="125">
        <v>2590571062</v>
      </c>
      <c r="G49" s="125">
        <v>1711716954</v>
      </c>
      <c r="H49" s="125">
        <v>196355198</v>
      </c>
      <c r="I49" s="125">
        <v>-3510577560</v>
      </c>
      <c r="J49" s="125">
        <v>-306100509</v>
      </c>
      <c r="K49" s="125">
        <v>0</v>
      </c>
      <c r="L49" s="125">
        <v>0</v>
      </c>
      <c r="M49" s="126">
        <f>SUM(M47:M48)</f>
        <v>0</v>
      </c>
    </row>
    <row r="50" spans="4:13" ht="16.5" customHeight="1">
      <c r="D50" s="2151" t="s">
        <v>1718</v>
      </c>
      <c r="E50" s="127" t="s">
        <v>1715</v>
      </c>
      <c r="F50" s="128">
        <v>2316940.4</v>
      </c>
      <c r="G50" s="128">
        <v>1402188.24</v>
      </c>
      <c r="H50" s="128"/>
      <c r="I50" s="128">
        <v>-2888888.71</v>
      </c>
      <c r="J50" s="128">
        <v>-262385</v>
      </c>
      <c r="K50" s="128">
        <v>-2261.9299999999998</v>
      </c>
      <c r="L50" s="128">
        <v>-329929.25</v>
      </c>
      <c r="M50" s="129">
        <v>235663.75</v>
      </c>
    </row>
    <row r="51" spans="4:13" ht="16.5" customHeight="1" thickBot="1">
      <c r="D51" s="2148"/>
      <c r="E51" s="136" t="s">
        <v>1716</v>
      </c>
      <c r="F51" s="123"/>
      <c r="G51" s="123"/>
      <c r="H51" s="123"/>
      <c r="I51" s="123"/>
      <c r="J51" s="123"/>
      <c r="K51" s="123"/>
      <c r="L51" s="123">
        <v>329929.25</v>
      </c>
      <c r="M51" s="124">
        <v>329929.25</v>
      </c>
    </row>
    <row r="52" spans="4:13" ht="16.5" customHeight="1" thickBot="1">
      <c r="D52" s="2152" t="s">
        <v>1717</v>
      </c>
      <c r="E52" s="2153"/>
      <c r="F52" s="130">
        <v>2316940.4</v>
      </c>
      <c r="G52" s="130">
        <v>1402188.24</v>
      </c>
      <c r="H52" s="130">
        <v>0</v>
      </c>
      <c r="I52" s="130">
        <v>-2888888.71</v>
      </c>
      <c r="J52" s="130">
        <v>-262385</v>
      </c>
      <c r="K52" s="130">
        <v>-2261.9299999999998</v>
      </c>
      <c r="L52" s="130">
        <v>0</v>
      </c>
      <c r="M52" s="131">
        <v>565593</v>
      </c>
    </row>
    <row r="53" spans="4:13" ht="16.5" customHeight="1">
      <c r="G53" s="19">
        <f>+G49-G47</f>
        <v>681965145</v>
      </c>
    </row>
    <row r="55" spans="4:13" ht="16.5" customHeight="1" thickBot="1">
      <c r="D55" s="19" t="s">
        <v>1721</v>
      </c>
    </row>
    <row r="56" spans="4:13" s="96" customFormat="1" ht="16.5" customHeight="1" thickBot="1">
      <c r="D56" s="132" t="s">
        <v>460</v>
      </c>
      <c r="E56" s="133" t="s">
        <v>1726</v>
      </c>
      <c r="F56" s="133" t="s">
        <v>1727</v>
      </c>
      <c r="G56" s="134" t="s">
        <v>557</v>
      </c>
    </row>
    <row r="57" spans="4:13" ht="16.5" customHeight="1" thickBot="1">
      <c r="D57" s="103">
        <v>0</v>
      </c>
      <c r="E57" s="104">
        <f>E29</f>
        <v>0</v>
      </c>
      <c r="F57" s="104">
        <v>0</v>
      </c>
      <c r="G57" s="100">
        <f>SUM(D57:F57)</f>
        <v>0</v>
      </c>
      <c r="H57" s="18" t="b">
        <f>G57=M49</f>
        <v>1</v>
      </c>
    </row>
    <row r="61" spans="4:13" ht="16.5" customHeight="1">
      <c r="G61" s="135"/>
    </row>
  </sheetData>
  <mergeCells count="9">
    <mergeCell ref="D14:G14"/>
    <mergeCell ref="D47:D48"/>
    <mergeCell ref="D49:E49"/>
    <mergeCell ref="D50:D51"/>
    <mergeCell ref="D52:E52"/>
    <mergeCell ref="D38:D39"/>
    <mergeCell ref="D40:E40"/>
    <mergeCell ref="D41:D42"/>
    <mergeCell ref="D43:E43"/>
  </mergeCells>
  <phoneticPr fontId="2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9">
    <tabColor rgb="FFFFFF00"/>
  </sheetPr>
  <dimension ref="D4:AA28"/>
  <sheetViews>
    <sheetView showGridLines="0" zoomScale="80" zoomScaleNormal="80" workbookViewId="0">
      <pane xSplit="5" ySplit="5" topLeftCell="F6" activePane="bottomRight" state="frozen"/>
      <selection activeCell="V34" sqref="V34"/>
      <selection pane="topRight" activeCell="V34" sqref="V34"/>
      <selection pane="bottomLeft" activeCell="V34" sqref="V34"/>
      <selection pane="bottomRight" activeCell="V34" sqref="V34"/>
    </sheetView>
  </sheetViews>
  <sheetFormatPr defaultColWidth="8.75" defaultRowHeight="18" customHeight="1" outlineLevelCol="1"/>
  <cols>
    <col min="1" max="3" width="2.375" style="498" customWidth="1"/>
    <col min="4" max="4" width="21.375" style="498" bestFit="1" customWidth="1"/>
    <col min="5" max="5" width="23.875" style="1196" bestFit="1" customWidth="1"/>
    <col min="6" max="14" width="16.625" style="498" hidden="1" customWidth="1" outlineLevel="1"/>
    <col min="15" max="15" width="16.625" style="498" customWidth="1" collapsed="1"/>
    <col min="16" max="22" width="16.625" style="498" customWidth="1"/>
    <col min="23" max="23" width="4.125" style="498" customWidth="1"/>
    <col min="24" max="28" width="20.375" style="498" customWidth="1"/>
    <col min="29" max="16384" width="8.75" style="498"/>
  </cols>
  <sheetData>
    <row r="4" spans="4:27" s="494" customFormat="1" ht="18" customHeight="1" thickBot="1">
      <c r="E4" s="518"/>
      <c r="F4" s="540" t="b">
        <f t="shared" ref="F4:V4" si="0">SUM(F7:F27)=0</f>
        <v>1</v>
      </c>
      <c r="G4" s="540" t="b">
        <f t="shared" si="0"/>
        <v>1</v>
      </c>
      <c r="H4" s="540" t="b">
        <f t="shared" si="0"/>
        <v>1</v>
      </c>
      <c r="I4" s="540" t="b">
        <f t="shared" si="0"/>
        <v>1</v>
      </c>
      <c r="J4" s="540" t="b">
        <f t="shared" si="0"/>
        <v>1</v>
      </c>
      <c r="K4" s="540" t="b">
        <f t="shared" si="0"/>
        <v>1</v>
      </c>
      <c r="L4" s="540" t="b">
        <f t="shared" si="0"/>
        <v>1</v>
      </c>
      <c r="M4" s="540" t="b">
        <f t="shared" si="0"/>
        <v>1</v>
      </c>
      <c r="N4" s="540" t="b">
        <f t="shared" si="0"/>
        <v>1</v>
      </c>
      <c r="O4" s="540" t="b">
        <f t="shared" si="0"/>
        <v>1</v>
      </c>
      <c r="P4" s="540" t="b">
        <f t="shared" si="0"/>
        <v>1</v>
      </c>
      <c r="Q4" s="540" t="b">
        <f t="shared" si="0"/>
        <v>1</v>
      </c>
      <c r="R4" s="540" t="b">
        <f t="shared" si="0"/>
        <v>1</v>
      </c>
      <c r="S4" s="540" t="b">
        <f t="shared" si="0"/>
        <v>1</v>
      </c>
      <c r="T4" s="540" t="b">
        <f t="shared" si="0"/>
        <v>1</v>
      </c>
      <c r="U4" s="540" t="b">
        <f t="shared" si="0"/>
        <v>1</v>
      </c>
      <c r="V4" s="540" t="b">
        <f t="shared" si="0"/>
        <v>1</v>
      </c>
      <c r="X4" s="498"/>
      <c r="Y4" s="498"/>
      <c r="Z4" s="498"/>
      <c r="AA4" s="498"/>
    </row>
    <row r="5" spans="4:27" ht="18" customHeight="1">
      <c r="D5" s="595" t="s">
        <v>16</v>
      </c>
      <c r="E5" s="841" t="s">
        <v>19</v>
      </c>
      <c r="F5" s="1927" t="s">
        <v>2346</v>
      </c>
      <c r="G5" s="1919" t="s">
        <v>2349</v>
      </c>
      <c r="H5" s="596" t="s">
        <v>2350</v>
      </c>
      <c r="I5" s="596" t="s">
        <v>2353</v>
      </c>
      <c r="J5" s="633" t="s">
        <v>2355</v>
      </c>
      <c r="K5" s="604" t="s">
        <v>2449</v>
      </c>
      <c r="L5" s="841" t="s">
        <v>2451</v>
      </c>
      <c r="M5" s="841" t="s">
        <v>2452</v>
      </c>
      <c r="N5" s="633" t="s">
        <v>2453</v>
      </c>
      <c r="O5" s="605" t="s">
        <v>2454</v>
      </c>
      <c r="P5" s="843" t="s">
        <v>2455</v>
      </c>
      <c r="Q5" s="844" t="s">
        <v>2456</v>
      </c>
      <c r="R5" s="841" t="s">
        <v>2457</v>
      </c>
      <c r="S5" s="489" t="s">
        <v>2577</v>
      </c>
      <c r="T5" s="605" t="s">
        <v>2588</v>
      </c>
      <c r="U5" s="605" t="s">
        <v>2886</v>
      </c>
      <c r="V5" s="606" t="s">
        <v>2891</v>
      </c>
    </row>
    <row r="6" spans="4:27" s="1185" customFormat="1" ht="18" customHeight="1">
      <c r="D6" s="1175" t="s">
        <v>1386</v>
      </c>
      <c r="E6" s="1176"/>
      <c r="F6" s="1928"/>
      <c r="G6" s="1925"/>
      <c r="H6" s="1177"/>
      <c r="I6" s="1177"/>
      <c r="J6" s="1178"/>
      <c r="K6" s="1179"/>
      <c r="L6" s="1180"/>
      <c r="M6" s="1180"/>
      <c r="N6" s="1178"/>
      <c r="O6" s="1181"/>
      <c r="P6" s="1182"/>
      <c r="Q6" s="1183"/>
      <c r="R6" s="1183"/>
      <c r="S6" s="1933"/>
      <c r="T6" s="1938"/>
      <c r="U6" s="1938"/>
      <c r="V6" s="1184"/>
      <c r="X6" s="498"/>
      <c r="Y6" s="498"/>
      <c r="Z6" s="498"/>
      <c r="AA6" s="498"/>
    </row>
    <row r="7" spans="4:27" ht="18" customHeight="1">
      <c r="D7" s="607" t="s">
        <v>1354</v>
      </c>
      <c r="E7" s="1186" t="s">
        <v>207</v>
      </c>
      <c r="F7" s="1929">
        <v>-270380191</v>
      </c>
      <c r="G7" s="1921"/>
      <c r="H7" s="609"/>
      <c r="I7" s="609"/>
      <c r="J7" s="684"/>
      <c r="K7" s="617"/>
      <c r="L7" s="905"/>
      <c r="M7" s="905"/>
      <c r="N7" s="684"/>
      <c r="O7" s="618"/>
      <c r="P7" s="907"/>
      <c r="Q7" s="1187"/>
      <c r="R7" s="1187"/>
      <c r="S7" s="1934"/>
      <c r="T7" s="1939"/>
      <c r="U7" s="1939"/>
      <c r="V7" s="619"/>
    </row>
    <row r="8" spans="4:27" ht="18" customHeight="1">
      <c r="D8" s="607" t="s">
        <v>1355</v>
      </c>
      <c r="E8" s="1186" t="s">
        <v>209</v>
      </c>
      <c r="F8" s="1929">
        <v>270380191</v>
      </c>
      <c r="G8" s="1921"/>
      <c r="H8" s="609"/>
      <c r="I8" s="609"/>
      <c r="J8" s="684"/>
      <c r="K8" s="617"/>
      <c r="L8" s="905"/>
      <c r="M8" s="905"/>
      <c r="N8" s="684"/>
      <c r="O8" s="618"/>
      <c r="P8" s="907"/>
      <c r="Q8" s="1187"/>
      <c r="R8" s="1187"/>
      <c r="S8" s="1934"/>
      <c r="T8" s="1939"/>
      <c r="U8" s="1939"/>
      <c r="V8" s="619"/>
    </row>
    <row r="9" spans="4:27" s="1185" customFormat="1" ht="18" customHeight="1">
      <c r="D9" s="1175" t="s">
        <v>216</v>
      </c>
      <c r="E9" s="1188"/>
      <c r="F9" s="1928"/>
      <c r="G9" s="1925"/>
      <c r="H9" s="1177"/>
      <c r="I9" s="1177"/>
      <c r="J9" s="1178"/>
      <c r="K9" s="1179"/>
      <c r="L9" s="1180"/>
      <c r="M9" s="1180"/>
      <c r="N9" s="1178"/>
      <c r="O9" s="1181"/>
      <c r="P9" s="1182"/>
      <c r="Q9" s="1183"/>
      <c r="R9" s="1183"/>
      <c r="S9" s="1933"/>
      <c r="T9" s="1940"/>
      <c r="U9" s="1940"/>
      <c r="V9" s="1184"/>
      <c r="X9" s="498"/>
      <c r="Y9" s="498"/>
      <c r="Z9" s="498"/>
      <c r="AA9" s="498"/>
    </row>
    <row r="10" spans="4:27" ht="18" customHeight="1">
      <c r="D10" s="607" t="s">
        <v>1354</v>
      </c>
      <c r="E10" s="1186" t="s">
        <v>207</v>
      </c>
      <c r="F10" s="1929"/>
      <c r="G10" s="1921"/>
      <c r="H10" s="609">
        <v>-4508613933</v>
      </c>
      <c r="I10" s="609"/>
      <c r="J10" s="684"/>
      <c r="K10" s="617"/>
      <c r="L10" s="905"/>
      <c r="M10" s="905"/>
      <c r="N10" s="684"/>
      <c r="O10" s="618"/>
      <c r="P10" s="907"/>
      <c r="Q10" s="1187"/>
      <c r="R10" s="1187"/>
      <c r="S10" s="1934"/>
      <c r="T10" s="1939"/>
      <c r="U10" s="1939"/>
      <c r="V10" s="619"/>
    </row>
    <row r="11" spans="4:27" ht="18" customHeight="1">
      <c r="D11" s="607" t="s">
        <v>1355</v>
      </c>
      <c r="E11" s="1186" t="s">
        <v>209</v>
      </c>
      <c r="F11" s="1929"/>
      <c r="G11" s="1921"/>
      <c r="H11" s="609">
        <v>4508613933</v>
      </c>
      <c r="I11" s="609"/>
      <c r="J11" s="684"/>
      <c r="K11" s="617"/>
      <c r="L11" s="905"/>
      <c r="M11" s="905"/>
      <c r="N11" s="684"/>
      <c r="O11" s="618"/>
      <c r="P11" s="907"/>
      <c r="Q11" s="1187"/>
      <c r="R11" s="1187"/>
      <c r="S11" s="1934"/>
      <c r="T11" s="1939"/>
      <c r="U11" s="1939"/>
      <c r="V11" s="619"/>
    </row>
    <row r="12" spans="4:27" s="1185" customFormat="1" ht="18" customHeight="1">
      <c r="D12" s="1175" t="s">
        <v>1697</v>
      </c>
      <c r="E12" s="1188"/>
      <c r="F12" s="1928"/>
      <c r="G12" s="1925"/>
      <c r="H12" s="1177"/>
      <c r="I12" s="1177"/>
      <c r="J12" s="1178"/>
      <c r="K12" s="1179"/>
      <c r="L12" s="1180"/>
      <c r="M12" s="1180"/>
      <c r="N12" s="1178"/>
      <c r="O12" s="1181"/>
      <c r="P12" s="1182"/>
      <c r="Q12" s="1183"/>
      <c r="R12" s="1183"/>
      <c r="S12" s="1933"/>
      <c r="T12" s="1940"/>
      <c r="U12" s="1940"/>
      <c r="V12" s="1184"/>
      <c r="X12" s="498"/>
      <c r="Y12" s="498"/>
      <c r="Z12" s="498"/>
      <c r="AA12" s="498"/>
    </row>
    <row r="13" spans="4:27" ht="18" customHeight="1">
      <c r="D13" s="607" t="s">
        <v>1354</v>
      </c>
      <c r="E13" s="1186" t="s">
        <v>401</v>
      </c>
      <c r="F13" s="1929"/>
      <c r="G13" s="1921"/>
      <c r="H13" s="609"/>
      <c r="I13" s="609">
        <v>-2590571062</v>
      </c>
      <c r="J13" s="684">
        <v>-2590571062</v>
      </c>
      <c r="K13" s="617"/>
      <c r="L13" s="905"/>
      <c r="M13" s="905"/>
      <c r="N13" s="684"/>
      <c r="O13" s="618"/>
      <c r="P13" s="907"/>
      <c r="Q13" s="1187"/>
      <c r="R13" s="1187"/>
      <c r="S13" s="1934"/>
      <c r="T13" s="1939"/>
      <c r="U13" s="1939"/>
      <c r="V13" s="619"/>
    </row>
    <row r="14" spans="4:27" ht="18" customHeight="1">
      <c r="D14" s="607" t="s">
        <v>373</v>
      </c>
      <c r="E14" s="1186" t="s">
        <v>1471</v>
      </c>
      <c r="F14" s="1929"/>
      <c r="G14" s="1921"/>
      <c r="H14" s="609"/>
      <c r="I14" s="609">
        <v>2590571062</v>
      </c>
      <c r="J14" s="684">
        <v>2590571062</v>
      </c>
      <c r="K14" s="617"/>
      <c r="L14" s="905"/>
      <c r="M14" s="905"/>
      <c r="N14" s="684"/>
      <c r="O14" s="618"/>
      <c r="P14" s="907"/>
      <c r="Q14" s="1187"/>
      <c r="R14" s="1187"/>
      <c r="S14" s="1934"/>
      <c r="T14" s="1939"/>
      <c r="U14" s="1939"/>
      <c r="V14" s="619"/>
    </row>
    <row r="15" spans="4:27" ht="18" customHeight="1">
      <c r="D15" s="607" t="s">
        <v>301</v>
      </c>
      <c r="E15" s="1186" t="s">
        <v>302</v>
      </c>
      <c r="F15" s="1929"/>
      <c r="G15" s="1921"/>
      <c r="H15" s="609"/>
      <c r="I15" s="609">
        <v>-1601971643</v>
      </c>
      <c r="J15" s="684">
        <v>-920006498</v>
      </c>
      <c r="K15" s="617"/>
      <c r="L15" s="905"/>
      <c r="M15" s="905"/>
      <c r="N15" s="684"/>
      <c r="O15" s="618"/>
      <c r="P15" s="907"/>
      <c r="Q15" s="1187"/>
      <c r="R15" s="1187"/>
      <c r="S15" s="1934"/>
      <c r="T15" s="1939"/>
      <c r="U15" s="1939"/>
      <c r="V15" s="619"/>
    </row>
    <row r="16" spans="4:27" ht="18" customHeight="1">
      <c r="D16" s="607" t="s">
        <v>373</v>
      </c>
      <c r="E16" s="1186" t="s">
        <v>1471</v>
      </c>
      <c r="F16" s="1929"/>
      <c r="G16" s="1921"/>
      <c r="H16" s="609"/>
      <c r="I16" s="609">
        <v>1601971643</v>
      </c>
      <c r="J16" s="684">
        <v>920006498</v>
      </c>
      <c r="K16" s="617"/>
      <c r="L16" s="905"/>
      <c r="M16" s="905"/>
      <c r="N16" s="684"/>
      <c r="O16" s="618"/>
      <c r="P16" s="907"/>
      <c r="Q16" s="1187"/>
      <c r="R16" s="1187"/>
      <c r="S16" s="1934"/>
      <c r="T16" s="1939"/>
      <c r="U16" s="1939"/>
      <c r="V16" s="619"/>
    </row>
    <row r="17" spans="4:27" ht="18" customHeight="1">
      <c r="D17" s="607" t="s">
        <v>1706</v>
      </c>
      <c r="E17" s="1186" t="s">
        <v>854</v>
      </c>
      <c r="F17" s="1929"/>
      <c r="G17" s="1921"/>
      <c r="H17" s="609"/>
      <c r="I17" s="609">
        <v>3510577560</v>
      </c>
      <c r="J17" s="684">
        <v>3510577560</v>
      </c>
      <c r="K17" s="617"/>
      <c r="L17" s="905"/>
      <c r="M17" s="905"/>
      <c r="N17" s="684"/>
      <c r="O17" s="618"/>
      <c r="P17" s="907"/>
      <c r="Q17" s="1187"/>
      <c r="R17" s="1187"/>
      <c r="S17" s="1934"/>
      <c r="T17" s="1939"/>
      <c r="U17" s="1939"/>
      <c r="V17" s="619"/>
    </row>
    <row r="18" spans="4:27" ht="18" customHeight="1">
      <c r="D18" s="607" t="s">
        <v>373</v>
      </c>
      <c r="E18" s="1186" t="s">
        <v>1471</v>
      </c>
      <c r="F18" s="1929"/>
      <c r="G18" s="1921"/>
      <c r="H18" s="609"/>
      <c r="I18" s="609">
        <v>-3510577560</v>
      </c>
      <c r="J18" s="684">
        <v>-3510577560</v>
      </c>
      <c r="K18" s="617"/>
      <c r="L18" s="905"/>
      <c r="M18" s="905"/>
      <c r="N18" s="684"/>
      <c r="O18" s="618"/>
      <c r="P18" s="907"/>
      <c r="Q18" s="1187"/>
      <c r="R18" s="1187"/>
      <c r="S18" s="1934"/>
      <c r="T18" s="1939"/>
      <c r="U18" s="1939"/>
      <c r="V18" s="619"/>
    </row>
    <row r="19" spans="4:27" ht="18" customHeight="1">
      <c r="D19" s="607" t="s">
        <v>301</v>
      </c>
      <c r="E19" s="1186" t="s">
        <v>302</v>
      </c>
      <c r="F19" s="1929"/>
      <c r="G19" s="1921"/>
      <c r="H19" s="609"/>
      <c r="I19" s="609">
        <v>681965145</v>
      </c>
      <c r="J19" s="684">
        <v>0</v>
      </c>
      <c r="K19" s="617"/>
      <c r="L19" s="905"/>
      <c r="M19" s="905"/>
      <c r="N19" s="684"/>
      <c r="O19" s="618"/>
      <c r="P19" s="907"/>
      <c r="Q19" s="1187"/>
      <c r="R19" s="1187"/>
      <c r="S19" s="1934"/>
      <c r="T19" s="1939"/>
      <c r="U19" s="1939"/>
      <c r="V19" s="619"/>
    </row>
    <row r="20" spans="4:27" ht="18" customHeight="1">
      <c r="D20" s="607" t="s">
        <v>373</v>
      </c>
      <c r="E20" s="1186" t="s">
        <v>1471</v>
      </c>
      <c r="F20" s="1929"/>
      <c r="G20" s="1921"/>
      <c r="H20" s="609"/>
      <c r="I20" s="609">
        <v>-681965145</v>
      </c>
      <c r="J20" s="684">
        <v>0</v>
      </c>
      <c r="K20" s="617"/>
      <c r="L20" s="905"/>
      <c r="M20" s="905"/>
      <c r="N20" s="684"/>
      <c r="O20" s="618"/>
      <c r="P20" s="907"/>
      <c r="Q20" s="1187"/>
      <c r="R20" s="1187"/>
      <c r="S20" s="1934"/>
      <c r="T20" s="1939"/>
      <c r="U20" s="1939"/>
      <c r="V20" s="619"/>
    </row>
    <row r="21" spans="4:27" s="543" customFormat="1" ht="18" customHeight="1">
      <c r="D21" s="651" t="s">
        <v>373</v>
      </c>
      <c r="E21" s="1189" t="s">
        <v>1471</v>
      </c>
      <c r="F21" s="1930"/>
      <c r="G21" s="1926"/>
      <c r="H21" s="653"/>
      <c r="I21" s="653">
        <v>798641919</v>
      </c>
      <c r="J21" s="654">
        <v>798641919</v>
      </c>
      <c r="K21" s="902"/>
      <c r="L21" s="854"/>
      <c r="M21" s="854"/>
      <c r="N21" s="684"/>
      <c r="O21" s="618"/>
      <c r="P21" s="907"/>
      <c r="Q21" s="1187"/>
      <c r="R21" s="1187"/>
      <c r="S21" s="1934"/>
      <c r="T21" s="1939"/>
      <c r="U21" s="1939"/>
      <c r="V21" s="619"/>
      <c r="X21" s="498"/>
      <c r="Y21" s="498"/>
      <c r="Z21" s="498"/>
      <c r="AA21" s="498"/>
    </row>
    <row r="22" spans="4:27" s="543" customFormat="1" ht="18" customHeight="1">
      <c r="D22" s="651" t="s">
        <v>373</v>
      </c>
      <c r="E22" s="1189" t="s">
        <v>1471</v>
      </c>
      <c r="F22" s="1930"/>
      <c r="G22" s="1926"/>
      <c r="H22" s="653"/>
      <c r="I22" s="653">
        <v>1199</v>
      </c>
      <c r="J22" s="654">
        <v>1199</v>
      </c>
      <c r="K22" s="902"/>
      <c r="L22" s="854"/>
      <c r="M22" s="854"/>
      <c r="N22" s="684"/>
      <c r="O22" s="618"/>
      <c r="P22" s="907"/>
      <c r="Q22" s="1187"/>
      <c r="R22" s="1187"/>
      <c r="S22" s="1934"/>
      <c r="T22" s="1939"/>
      <c r="U22" s="1939"/>
      <c r="V22" s="619"/>
      <c r="X22" s="498"/>
      <c r="Y22" s="498"/>
      <c r="Z22" s="498"/>
      <c r="AA22" s="498"/>
    </row>
    <row r="23" spans="4:27" s="543" customFormat="1" ht="18" customHeight="1">
      <c r="D23" s="651" t="s">
        <v>1355</v>
      </c>
      <c r="E23" s="1189" t="s">
        <v>209</v>
      </c>
      <c r="F23" s="1930"/>
      <c r="G23" s="1926"/>
      <c r="H23" s="653"/>
      <c r="I23" s="653">
        <v>-798643118</v>
      </c>
      <c r="J23" s="654">
        <v>-798643118</v>
      </c>
      <c r="K23" s="902"/>
      <c r="L23" s="854"/>
      <c r="M23" s="854"/>
      <c r="N23" s="684"/>
      <c r="O23" s="618"/>
      <c r="P23" s="907"/>
      <c r="Q23" s="1187"/>
      <c r="R23" s="1187"/>
      <c r="S23" s="1934"/>
      <c r="T23" s="1939"/>
      <c r="U23" s="1939"/>
      <c r="V23" s="619"/>
      <c r="X23" s="498"/>
      <c r="Y23" s="498"/>
      <c r="Z23" s="498"/>
      <c r="AA23" s="498"/>
    </row>
    <row r="24" spans="4:27" ht="18" customHeight="1">
      <c r="D24" s="607" t="s">
        <v>1355</v>
      </c>
      <c r="E24" s="1186" t="s">
        <v>209</v>
      </c>
      <c r="F24" s="1929"/>
      <c r="G24" s="1921"/>
      <c r="H24" s="609"/>
      <c r="I24" s="609">
        <v>3389214180</v>
      </c>
      <c r="J24" s="684">
        <v>3389214180</v>
      </c>
      <c r="K24" s="617"/>
      <c r="L24" s="905"/>
      <c r="M24" s="905"/>
      <c r="N24" s="684"/>
      <c r="O24" s="618"/>
      <c r="P24" s="907"/>
      <c r="Q24" s="1187"/>
      <c r="R24" s="1187"/>
      <c r="S24" s="1934"/>
      <c r="T24" s="1939"/>
      <c r="U24" s="1939"/>
      <c r="V24" s="619"/>
    </row>
    <row r="25" spans="4:27" ht="18" customHeight="1">
      <c r="D25" s="607"/>
      <c r="E25" s="1186" t="s">
        <v>421</v>
      </c>
      <c r="F25" s="1929"/>
      <c r="G25" s="1921"/>
      <c r="H25" s="609"/>
      <c r="I25" s="609">
        <v>-3389214180</v>
      </c>
      <c r="J25" s="684">
        <v>-3389214180</v>
      </c>
      <c r="K25" s="617"/>
      <c r="L25" s="905"/>
      <c r="M25" s="905"/>
      <c r="N25" s="684"/>
      <c r="O25" s="618"/>
      <c r="P25" s="907"/>
      <c r="Q25" s="1187"/>
      <c r="R25" s="1187"/>
      <c r="S25" s="1934"/>
      <c r="T25" s="1939"/>
      <c r="U25" s="1939"/>
      <c r="V25" s="619"/>
    </row>
    <row r="26" spans="4:27" s="1185" customFormat="1" ht="18" customHeight="1">
      <c r="D26" s="1175"/>
      <c r="E26" s="1188"/>
      <c r="F26" s="1928"/>
      <c r="G26" s="1925"/>
      <c r="H26" s="1177"/>
      <c r="I26" s="1177"/>
      <c r="J26" s="1178"/>
      <c r="K26" s="1179"/>
      <c r="L26" s="1180"/>
      <c r="M26" s="1180"/>
      <c r="N26" s="1178"/>
      <c r="O26" s="1181"/>
      <c r="P26" s="1182"/>
      <c r="Q26" s="1183"/>
      <c r="R26" s="1183"/>
      <c r="S26" s="1933"/>
      <c r="T26" s="1940"/>
      <c r="U26" s="1940"/>
      <c r="V26" s="1184"/>
      <c r="X26" s="498"/>
      <c r="Y26" s="498"/>
      <c r="Z26" s="498"/>
      <c r="AA26" s="498"/>
    </row>
    <row r="27" spans="4:27" ht="18" customHeight="1">
      <c r="D27" s="906"/>
      <c r="E27" s="1190"/>
      <c r="F27" s="1929"/>
      <c r="G27" s="1921"/>
      <c r="H27" s="609"/>
      <c r="I27" s="609"/>
      <c r="J27" s="684"/>
      <c r="K27" s="617"/>
      <c r="L27" s="905"/>
      <c r="M27" s="905"/>
      <c r="N27" s="684"/>
      <c r="O27" s="618"/>
      <c r="P27" s="907"/>
      <c r="Q27" s="1187"/>
      <c r="R27" s="1187"/>
      <c r="S27" s="1934"/>
      <c r="T27" s="1939"/>
      <c r="U27" s="1939"/>
      <c r="V27" s="619"/>
    </row>
    <row r="28" spans="4:27" ht="18" customHeight="1" thickBot="1">
      <c r="D28" s="1191"/>
      <c r="E28" s="1192"/>
      <c r="F28" s="1931"/>
      <c r="G28" s="1923"/>
      <c r="H28" s="621"/>
      <c r="I28" s="621"/>
      <c r="J28" s="693"/>
      <c r="K28" s="629"/>
      <c r="L28" s="1193"/>
      <c r="M28" s="1193"/>
      <c r="N28" s="693"/>
      <c r="O28" s="630"/>
      <c r="P28" s="1194"/>
      <c r="Q28" s="1195"/>
      <c r="R28" s="1195"/>
      <c r="S28" s="1935"/>
      <c r="T28" s="1941"/>
      <c r="U28" s="1941"/>
      <c r="V28" s="631"/>
    </row>
  </sheetData>
  <autoFilter ref="D5:V5" xr:uid="{00000000-0009-0000-0000-000018000000}"/>
  <phoneticPr fontId="22" type="noConversion"/>
  <pageMargins left="0.7" right="0.7" top="0.75" bottom="0.75" header="0.3" footer="0.3"/>
  <pageSetup paperSize="9" orientation="portrait" r:id="rId1"/>
  <ignoredErrors>
    <ignoredError sqref="D7:E2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2:N23"/>
  <sheetViews>
    <sheetView zoomScaleNormal="100" workbookViewId="0">
      <selection activeCell="I22" sqref="I22"/>
    </sheetView>
  </sheetViews>
  <sheetFormatPr defaultColWidth="9.125" defaultRowHeight="15.95" customHeight="1"/>
  <cols>
    <col min="1" max="1" width="12.375" style="42" customWidth="1"/>
    <col min="2" max="2" width="25" style="42" customWidth="1"/>
    <col min="3" max="3" width="12.375" style="42" customWidth="1"/>
    <col min="4" max="4" width="25.75" style="42" customWidth="1"/>
    <col min="5" max="5" width="12.375" style="42" customWidth="1"/>
    <col min="6" max="6" width="14.375" style="42" customWidth="1"/>
    <col min="7" max="8" width="12.375" style="42" customWidth="1"/>
    <col min="9" max="9" width="14.375" style="42" customWidth="1"/>
    <col min="10" max="10" width="9.125" style="42"/>
    <col min="11" max="11" width="14.375" style="42" bestFit="1" customWidth="1"/>
    <col min="12" max="12" width="13.75" style="45" bestFit="1" customWidth="1"/>
    <col min="13" max="13" width="4.125" style="42" customWidth="1"/>
    <col min="14" max="246" width="9.125" style="42"/>
    <col min="247" max="247" width="12.375" style="42" customWidth="1"/>
    <col min="248" max="248" width="25" style="42" customWidth="1"/>
    <col min="249" max="249" width="12.375" style="42" customWidth="1"/>
    <col min="250" max="250" width="25.75" style="42" customWidth="1"/>
    <col min="251" max="251" width="12.375" style="42" customWidth="1"/>
    <col min="252" max="252" width="14.375" style="42" customWidth="1"/>
    <col min="253" max="254" width="12.375" style="42" customWidth="1"/>
    <col min="255" max="255" width="14.375" style="42" customWidth="1"/>
    <col min="256" max="256" width="9.125" style="42"/>
    <col min="257" max="257" width="14.375" style="42" bestFit="1" customWidth="1"/>
    <col min="258" max="502" width="9.125" style="42"/>
    <col min="503" max="503" width="12.375" style="42" customWidth="1"/>
    <col min="504" max="504" width="25" style="42" customWidth="1"/>
    <col min="505" max="505" width="12.375" style="42" customWidth="1"/>
    <col min="506" max="506" width="25.75" style="42" customWidth="1"/>
    <col min="507" max="507" width="12.375" style="42" customWidth="1"/>
    <col min="508" max="508" width="14.375" style="42" customWidth="1"/>
    <col min="509" max="510" width="12.375" style="42" customWidth="1"/>
    <col min="511" max="511" width="14.375" style="42" customWidth="1"/>
    <col min="512" max="512" width="9.125" style="42"/>
    <col min="513" max="513" width="14.375" style="42" bestFit="1" customWidth="1"/>
    <col min="514" max="758" width="9.125" style="42"/>
    <col min="759" max="759" width="12.375" style="42" customWidth="1"/>
    <col min="760" max="760" width="25" style="42" customWidth="1"/>
    <col min="761" max="761" width="12.375" style="42" customWidth="1"/>
    <col min="762" max="762" width="25.75" style="42" customWidth="1"/>
    <col min="763" max="763" width="12.375" style="42" customWidth="1"/>
    <col min="764" max="764" width="14.375" style="42" customWidth="1"/>
    <col min="765" max="766" width="12.375" style="42" customWidth="1"/>
    <col min="767" max="767" width="14.375" style="42" customWidth="1"/>
    <col min="768" max="768" width="9.125" style="42"/>
    <col min="769" max="769" width="14.375" style="42" bestFit="1" customWidth="1"/>
    <col min="770" max="1014" width="9.125" style="42"/>
    <col min="1015" max="1015" width="12.375" style="42" customWidth="1"/>
    <col min="1016" max="1016" width="25" style="42" customWidth="1"/>
    <col min="1017" max="1017" width="12.375" style="42" customWidth="1"/>
    <col min="1018" max="1018" width="25.75" style="42" customWidth="1"/>
    <col min="1019" max="1019" width="12.375" style="42" customWidth="1"/>
    <col min="1020" max="1020" width="14.375" style="42" customWidth="1"/>
    <col min="1021" max="1022" width="12.375" style="42" customWidth="1"/>
    <col min="1023" max="1023" width="14.375" style="42" customWidth="1"/>
    <col min="1024" max="1024" width="9.125" style="42"/>
    <col min="1025" max="1025" width="14.375" style="42" bestFit="1" customWidth="1"/>
    <col min="1026" max="1270" width="9.125" style="42"/>
    <col min="1271" max="1271" width="12.375" style="42" customWidth="1"/>
    <col min="1272" max="1272" width="25" style="42" customWidth="1"/>
    <col min="1273" max="1273" width="12.375" style="42" customWidth="1"/>
    <col min="1274" max="1274" width="25.75" style="42" customWidth="1"/>
    <col min="1275" max="1275" width="12.375" style="42" customWidth="1"/>
    <col min="1276" max="1276" width="14.375" style="42" customWidth="1"/>
    <col min="1277" max="1278" width="12.375" style="42" customWidth="1"/>
    <col min="1279" max="1279" width="14.375" style="42" customWidth="1"/>
    <col min="1280" max="1280" width="9.125" style="42"/>
    <col min="1281" max="1281" width="14.375" style="42" bestFit="1" customWidth="1"/>
    <col min="1282" max="1526" width="9.125" style="42"/>
    <col min="1527" max="1527" width="12.375" style="42" customWidth="1"/>
    <col min="1528" max="1528" width="25" style="42" customWidth="1"/>
    <col min="1529" max="1529" width="12.375" style="42" customWidth="1"/>
    <col min="1530" max="1530" width="25.75" style="42" customWidth="1"/>
    <col min="1531" max="1531" width="12.375" style="42" customWidth="1"/>
    <col min="1532" max="1532" width="14.375" style="42" customWidth="1"/>
    <col min="1533" max="1534" width="12.375" style="42" customWidth="1"/>
    <col min="1535" max="1535" width="14.375" style="42" customWidth="1"/>
    <col min="1536" max="1536" width="9.125" style="42"/>
    <col min="1537" max="1537" width="14.375" style="42" bestFit="1" customWidth="1"/>
    <col min="1538" max="1782" width="9.125" style="42"/>
    <col min="1783" max="1783" width="12.375" style="42" customWidth="1"/>
    <col min="1784" max="1784" width="25" style="42" customWidth="1"/>
    <col min="1785" max="1785" width="12.375" style="42" customWidth="1"/>
    <col min="1786" max="1786" width="25.75" style="42" customWidth="1"/>
    <col min="1787" max="1787" width="12.375" style="42" customWidth="1"/>
    <col min="1788" max="1788" width="14.375" style="42" customWidth="1"/>
    <col min="1789" max="1790" width="12.375" style="42" customWidth="1"/>
    <col min="1791" max="1791" width="14.375" style="42" customWidth="1"/>
    <col min="1792" max="1792" width="9.125" style="42"/>
    <col min="1793" max="1793" width="14.375" style="42" bestFit="1" customWidth="1"/>
    <col min="1794" max="2038" width="9.125" style="42"/>
    <col min="2039" max="2039" width="12.375" style="42" customWidth="1"/>
    <col min="2040" max="2040" width="25" style="42" customWidth="1"/>
    <col min="2041" max="2041" width="12.375" style="42" customWidth="1"/>
    <col min="2042" max="2042" width="25.75" style="42" customWidth="1"/>
    <col min="2043" max="2043" width="12.375" style="42" customWidth="1"/>
    <col min="2044" max="2044" width="14.375" style="42" customWidth="1"/>
    <col min="2045" max="2046" width="12.375" style="42" customWidth="1"/>
    <col min="2047" max="2047" width="14.375" style="42" customWidth="1"/>
    <col min="2048" max="2048" width="9.125" style="42"/>
    <col min="2049" max="2049" width="14.375" style="42" bestFit="1" customWidth="1"/>
    <col min="2050" max="2294" width="9.125" style="42"/>
    <col min="2295" max="2295" width="12.375" style="42" customWidth="1"/>
    <col min="2296" max="2296" width="25" style="42" customWidth="1"/>
    <col min="2297" max="2297" width="12.375" style="42" customWidth="1"/>
    <col min="2298" max="2298" width="25.75" style="42" customWidth="1"/>
    <col min="2299" max="2299" width="12.375" style="42" customWidth="1"/>
    <col min="2300" max="2300" width="14.375" style="42" customWidth="1"/>
    <col min="2301" max="2302" width="12.375" style="42" customWidth="1"/>
    <col min="2303" max="2303" width="14.375" style="42" customWidth="1"/>
    <col min="2304" max="2304" width="9.125" style="42"/>
    <col min="2305" max="2305" width="14.375" style="42" bestFit="1" customWidth="1"/>
    <col min="2306" max="2550" width="9.125" style="42"/>
    <col min="2551" max="2551" width="12.375" style="42" customWidth="1"/>
    <col min="2552" max="2552" width="25" style="42" customWidth="1"/>
    <col min="2553" max="2553" width="12.375" style="42" customWidth="1"/>
    <col min="2554" max="2554" width="25.75" style="42" customWidth="1"/>
    <col min="2555" max="2555" width="12.375" style="42" customWidth="1"/>
    <col min="2556" max="2556" width="14.375" style="42" customWidth="1"/>
    <col min="2557" max="2558" width="12.375" style="42" customWidth="1"/>
    <col min="2559" max="2559" width="14.375" style="42" customWidth="1"/>
    <col min="2560" max="2560" width="9.125" style="42"/>
    <col min="2561" max="2561" width="14.375" style="42" bestFit="1" customWidth="1"/>
    <col min="2562" max="2806" width="9.125" style="42"/>
    <col min="2807" max="2807" width="12.375" style="42" customWidth="1"/>
    <col min="2808" max="2808" width="25" style="42" customWidth="1"/>
    <col min="2809" max="2809" width="12.375" style="42" customWidth="1"/>
    <col min="2810" max="2810" width="25.75" style="42" customWidth="1"/>
    <col min="2811" max="2811" width="12.375" style="42" customWidth="1"/>
    <col min="2812" max="2812" width="14.375" style="42" customWidth="1"/>
    <col min="2813" max="2814" width="12.375" style="42" customWidth="1"/>
    <col min="2815" max="2815" width="14.375" style="42" customWidth="1"/>
    <col min="2816" max="2816" width="9.125" style="42"/>
    <col min="2817" max="2817" width="14.375" style="42" bestFit="1" customWidth="1"/>
    <col min="2818" max="3062" width="9.125" style="42"/>
    <col min="3063" max="3063" width="12.375" style="42" customWidth="1"/>
    <col min="3064" max="3064" width="25" style="42" customWidth="1"/>
    <col min="3065" max="3065" width="12.375" style="42" customWidth="1"/>
    <col min="3066" max="3066" width="25.75" style="42" customWidth="1"/>
    <col min="3067" max="3067" width="12.375" style="42" customWidth="1"/>
    <col min="3068" max="3068" width="14.375" style="42" customWidth="1"/>
    <col min="3069" max="3070" width="12.375" style="42" customWidth="1"/>
    <col min="3071" max="3071" width="14.375" style="42" customWidth="1"/>
    <col min="3072" max="3072" width="9.125" style="42"/>
    <col min="3073" max="3073" width="14.375" style="42" bestFit="1" customWidth="1"/>
    <col min="3074" max="3318" width="9.125" style="42"/>
    <col min="3319" max="3319" width="12.375" style="42" customWidth="1"/>
    <col min="3320" max="3320" width="25" style="42" customWidth="1"/>
    <col min="3321" max="3321" width="12.375" style="42" customWidth="1"/>
    <col min="3322" max="3322" width="25.75" style="42" customWidth="1"/>
    <col min="3323" max="3323" width="12.375" style="42" customWidth="1"/>
    <col min="3324" max="3324" width="14.375" style="42" customWidth="1"/>
    <col min="3325" max="3326" width="12.375" style="42" customWidth="1"/>
    <col min="3327" max="3327" width="14.375" style="42" customWidth="1"/>
    <col min="3328" max="3328" width="9.125" style="42"/>
    <col min="3329" max="3329" width="14.375" style="42" bestFit="1" customWidth="1"/>
    <col min="3330" max="3574" width="9.125" style="42"/>
    <col min="3575" max="3575" width="12.375" style="42" customWidth="1"/>
    <col min="3576" max="3576" width="25" style="42" customWidth="1"/>
    <col min="3577" max="3577" width="12.375" style="42" customWidth="1"/>
    <col min="3578" max="3578" width="25.75" style="42" customWidth="1"/>
    <col min="3579" max="3579" width="12.375" style="42" customWidth="1"/>
    <col min="3580" max="3580" width="14.375" style="42" customWidth="1"/>
    <col min="3581" max="3582" width="12.375" style="42" customWidth="1"/>
    <col min="3583" max="3583" width="14.375" style="42" customWidth="1"/>
    <col min="3584" max="3584" width="9.125" style="42"/>
    <col min="3585" max="3585" width="14.375" style="42" bestFit="1" customWidth="1"/>
    <col min="3586" max="3830" width="9.125" style="42"/>
    <col min="3831" max="3831" width="12.375" style="42" customWidth="1"/>
    <col min="3832" max="3832" width="25" style="42" customWidth="1"/>
    <col min="3833" max="3833" width="12.375" style="42" customWidth="1"/>
    <col min="3834" max="3834" width="25.75" style="42" customWidth="1"/>
    <col min="3835" max="3835" width="12.375" style="42" customWidth="1"/>
    <col min="3836" max="3836" width="14.375" style="42" customWidth="1"/>
    <col min="3837" max="3838" width="12.375" style="42" customWidth="1"/>
    <col min="3839" max="3839" width="14.375" style="42" customWidth="1"/>
    <col min="3840" max="3840" width="9.125" style="42"/>
    <col min="3841" max="3841" width="14.375" style="42" bestFit="1" customWidth="1"/>
    <col min="3842" max="4086" width="9.125" style="42"/>
    <col min="4087" max="4087" width="12.375" style="42" customWidth="1"/>
    <col min="4088" max="4088" width="25" style="42" customWidth="1"/>
    <col min="4089" max="4089" width="12.375" style="42" customWidth="1"/>
    <col min="4090" max="4090" width="25.75" style="42" customWidth="1"/>
    <col min="4091" max="4091" width="12.375" style="42" customWidth="1"/>
    <col min="4092" max="4092" width="14.375" style="42" customWidth="1"/>
    <col min="4093" max="4094" width="12.375" style="42" customWidth="1"/>
    <col min="4095" max="4095" width="14.375" style="42" customWidth="1"/>
    <col min="4096" max="4096" width="9.125" style="42"/>
    <col min="4097" max="4097" width="14.375" style="42" bestFit="1" customWidth="1"/>
    <col min="4098" max="4342" width="9.125" style="42"/>
    <col min="4343" max="4343" width="12.375" style="42" customWidth="1"/>
    <col min="4344" max="4344" width="25" style="42" customWidth="1"/>
    <col min="4345" max="4345" width="12.375" style="42" customWidth="1"/>
    <col min="4346" max="4346" width="25.75" style="42" customWidth="1"/>
    <col min="4347" max="4347" width="12.375" style="42" customWidth="1"/>
    <col min="4348" max="4348" width="14.375" style="42" customWidth="1"/>
    <col min="4349" max="4350" width="12.375" style="42" customWidth="1"/>
    <col min="4351" max="4351" width="14.375" style="42" customWidth="1"/>
    <col min="4352" max="4352" width="9.125" style="42"/>
    <col min="4353" max="4353" width="14.375" style="42" bestFit="1" customWidth="1"/>
    <col min="4354" max="4598" width="9.125" style="42"/>
    <col min="4599" max="4599" width="12.375" style="42" customWidth="1"/>
    <col min="4600" max="4600" width="25" style="42" customWidth="1"/>
    <col min="4601" max="4601" width="12.375" style="42" customWidth="1"/>
    <col min="4602" max="4602" width="25.75" style="42" customWidth="1"/>
    <col min="4603" max="4603" width="12.375" style="42" customWidth="1"/>
    <col min="4604" max="4604" width="14.375" style="42" customWidth="1"/>
    <col min="4605" max="4606" width="12.375" style="42" customWidth="1"/>
    <col min="4607" max="4607" width="14.375" style="42" customWidth="1"/>
    <col min="4608" max="4608" width="9.125" style="42"/>
    <col min="4609" max="4609" width="14.375" style="42" bestFit="1" customWidth="1"/>
    <col min="4610" max="4854" width="9.125" style="42"/>
    <col min="4855" max="4855" width="12.375" style="42" customWidth="1"/>
    <col min="4856" max="4856" width="25" style="42" customWidth="1"/>
    <col min="4857" max="4857" width="12.375" style="42" customWidth="1"/>
    <col min="4858" max="4858" width="25.75" style="42" customWidth="1"/>
    <col min="4859" max="4859" width="12.375" style="42" customWidth="1"/>
    <col min="4860" max="4860" width="14.375" style="42" customWidth="1"/>
    <col min="4861" max="4862" width="12.375" style="42" customWidth="1"/>
    <col min="4863" max="4863" width="14.375" style="42" customWidth="1"/>
    <col min="4864" max="4864" width="9.125" style="42"/>
    <col min="4865" max="4865" width="14.375" style="42" bestFit="1" customWidth="1"/>
    <col min="4866" max="5110" width="9.125" style="42"/>
    <col min="5111" max="5111" width="12.375" style="42" customWidth="1"/>
    <col min="5112" max="5112" width="25" style="42" customWidth="1"/>
    <col min="5113" max="5113" width="12.375" style="42" customWidth="1"/>
    <col min="5114" max="5114" width="25.75" style="42" customWidth="1"/>
    <col min="5115" max="5115" width="12.375" style="42" customWidth="1"/>
    <col min="5116" max="5116" width="14.375" style="42" customWidth="1"/>
    <col min="5117" max="5118" width="12.375" style="42" customWidth="1"/>
    <col min="5119" max="5119" width="14.375" style="42" customWidth="1"/>
    <col min="5120" max="5120" width="9.125" style="42"/>
    <col min="5121" max="5121" width="14.375" style="42" bestFit="1" customWidth="1"/>
    <col min="5122" max="5366" width="9.125" style="42"/>
    <col min="5367" max="5367" width="12.375" style="42" customWidth="1"/>
    <col min="5368" max="5368" width="25" style="42" customWidth="1"/>
    <col min="5369" max="5369" width="12.375" style="42" customWidth="1"/>
    <col min="5370" max="5370" width="25.75" style="42" customWidth="1"/>
    <col min="5371" max="5371" width="12.375" style="42" customWidth="1"/>
    <col min="5372" max="5372" width="14.375" style="42" customWidth="1"/>
    <col min="5373" max="5374" width="12.375" style="42" customWidth="1"/>
    <col min="5375" max="5375" width="14.375" style="42" customWidth="1"/>
    <col min="5376" max="5376" width="9.125" style="42"/>
    <col min="5377" max="5377" width="14.375" style="42" bestFit="1" customWidth="1"/>
    <col min="5378" max="5622" width="9.125" style="42"/>
    <col min="5623" max="5623" width="12.375" style="42" customWidth="1"/>
    <col min="5624" max="5624" width="25" style="42" customWidth="1"/>
    <col min="5625" max="5625" width="12.375" style="42" customWidth="1"/>
    <col min="5626" max="5626" width="25.75" style="42" customWidth="1"/>
    <col min="5627" max="5627" width="12.375" style="42" customWidth="1"/>
    <col min="5628" max="5628" width="14.375" style="42" customWidth="1"/>
    <col min="5629" max="5630" width="12.375" style="42" customWidth="1"/>
    <col min="5631" max="5631" width="14.375" style="42" customWidth="1"/>
    <col min="5632" max="5632" width="9.125" style="42"/>
    <col min="5633" max="5633" width="14.375" style="42" bestFit="1" customWidth="1"/>
    <col min="5634" max="5878" width="9.125" style="42"/>
    <col min="5879" max="5879" width="12.375" style="42" customWidth="1"/>
    <col min="5880" max="5880" width="25" style="42" customWidth="1"/>
    <col min="5881" max="5881" width="12.375" style="42" customWidth="1"/>
    <col min="5882" max="5882" width="25.75" style="42" customWidth="1"/>
    <col min="5883" max="5883" width="12.375" style="42" customWidth="1"/>
    <col min="5884" max="5884" width="14.375" style="42" customWidth="1"/>
    <col min="5885" max="5886" width="12.375" style="42" customWidth="1"/>
    <col min="5887" max="5887" width="14.375" style="42" customWidth="1"/>
    <col min="5888" max="5888" width="9.125" style="42"/>
    <col min="5889" max="5889" width="14.375" style="42" bestFit="1" customWidth="1"/>
    <col min="5890" max="6134" width="9.125" style="42"/>
    <col min="6135" max="6135" width="12.375" style="42" customWidth="1"/>
    <col min="6136" max="6136" width="25" style="42" customWidth="1"/>
    <col min="6137" max="6137" width="12.375" style="42" customWidth="1"/>
    <col min="6138" max="6138" width="25.75" style="42" customWidth="1"/>
    <col min="6139" max="6139" width="12.375" style="42" customWidth="1"/>
    <col min="6140" max="6140" width="14.375" style="42" customWidth="1"/>
    <col min="6141" max="6142" width="12.375" style="42" customWidth="1"/>
    <col min="6143" max="6143" width="14.375" style="42" customWidth="1"/>
    <col min="6144" max="6144" width="9.125" style="42"/>
    <col min="6145" max="6145" width="14.375" style="42" bestFit="1" customWidth="1"/>
    <col min="6146" max="6390" width="9.125" style="42"/>
    <col min="6391" max="6391" width="12.375" style="42" customWidth="1"/>
    <col min="6392" max="6392" width="25" style="42" customWidth="1"/>
    <col min="6393" max="6393" width="12.375" style="42" customWidth="1"/>
    <col min="6394" max="6394" width="25.75" style="42" customWidth="1"/>
    <col min="6395" max="6395" width="12.375" style="42" customWidth="1"/>
    <col min="6396" max="6396" width="14.375" style="42" customWidth="1"/>
    <col min="6397" max="6398" width="12.375" style="42" customWidth="1"/>
    <col min="6399" max="6399" width="14.375" style="42" customWidth="1"/>
    <col min="6400" max="6400" width="9.125" style="42"/>
    <col min="6401" max="6401" width="14.375" style="42" bestFit="1" customWidth="1"/>
    <col min="6402" max="6646" width="9.125" style="42"/>
    <col min="6647" max="6647" width="12.375" style="42" customWidth="1"/>
    <col min="6648" max="6648" width="25" style="42" customWidth="1"/>
    <col min="6649" max="6649" width="12.375" style="42" customWidth="1"/>
    <col min="6650" max="6650" width="25.75" style="42" customWidth="1"/>
    <col min="6651" max="6651" width="12.375" style="42" customWidth="1"/>
    <col min="6652" max="6652" width="14.375" style="42" customWidth="1"/>
    <col min="6653" max="6654" width="12.375" style="42" customWidth="1"/>
    <col min="6655" max="6655" width="14.375" style="42" customWidth="1"/>
    <col min="6656" max="6656" width="9.125" style="42"/>
    <col min="6657" max="6657" width="14.375" style="42" bestFit="1" customWidth="1"/>
    <col min="6658" max="6902" width="9.125" style="42"/>
    <col min="6903" max="6903" width="12.375" style="42" customWidth="1"/>
    <col min="6904" max="6904" width="25" style="42" customWidth="1"/>
    <col min="6905" max="6905" width="12.375" style="42" customWidth="1"/>
    <col min="6906" max="6906" width="25.75" style="42" customWidth="1"/>
    <col min="6907" max="6907" width="12.375" style="42" customWidth="1"/>
    <col min="6908" max="6908" width="14.375" style="42" customWidth="1"/>
    <col min="6909" max="6910" width="12.375" style="42" customWidth="1"/>
    <col min="6911" max="6911" width="14.375" style="42" customWidth="1"/>
    <col min="6912" max="6912" width="9.125" style="42"/>
    <col min="6913" max="6913" width="14.375" style="42" bestFit="1" customWidth="1"/>
    <col min="6914" max="7158" width="9.125" style="42"/>
    <col min="7159" max="7159" width="12.375" style="42" customWidth="1"/>
    <col min="7160" max="7160" width="25" style="42" customWidth="1"/>
    <col min="7161" max="7161" width="12.375" style="42" customWidth="1"/>
    <col min="7162" max="7162" width="25.75" style="42" customWidth="1"/>
    <col min="7163" max="7163" width="12.375" style="42" customWidth="1"/>
    <col min="7164" max="7164" width="14.375" style="42" customWidth="1"/>
    <col min="7165" max="7166" width="12.375" style="42" customWidth="1"/>
    <col min="7167" max="7167" width="14.375" style="42" customWidth="1"/>
    <col min="7168" max="7168" width="9.125" style="42"/>
    <col min="7169" max="7169" width="14.375" style="42" bestFit="1" customWidth="1"/>
    <col min="7170" max="7414" width="9.125" style="42"/>
    <col min="7415" max="7415" width="12.375" style="42" customWidth="1"/>
    <col min="7416" max="7416" width="25" style="42" customWidth="1"/>
    <col min="7417" max="7417" width="12.375" style="42" customWidth="1"/>
    <col min="7418" max="7418" width="25.75" style="42" customWidth="1"/>
    <col min="7419" max="7419" width="12.375" style="42" customWidth="1"/>
    <col min="7420" max="7420" width="14.375" style="42" customWidth="1"/>
    <col min="7421" max="7422" width="12.375" style="42" customWidth="1"/>
    <col min="7423" max="7423" width="14.375" style="42" customWidth="1"/>
    <col min="7424" max="7424" width="9.125" style="42"/>
    <col min="7425" max="7425" width="14.375" style="42" bestFit="1" customWidth="1"/>
    <col min="7426" max="7670" width="9.125" style="42"/>
    <col min="7671" max="7671" width="12.375" style="42" customWidth="1"/>
    <col min="7672" max="7672" width="25" style="42" customWidth="1"/>
    <col min="7673" max="7673" width="12.375" style="42" customWidth="1"/>
    <col min="7674" max="7674" width="25.75" style="42" customWidth="1"/>
    <col min="7675" max="7675" width="12.375" style="42" customWidth="1"/>
    <col min="7676" max="7676" width="14.375" style="42" customWidth="1"/>
    <col min="7677" max="7678" width="12.375" style="42" customWidth="1"/>
    <col min="7679" max="7679" width="14.375" style="42" customWidth="1"/>
    <col min="7680" max="7680" width="9.125" style="42"/>
    <col min="7681" max="7681" width="14.375" style="42" bestFit="1" customWidth="1"/>
    <col min="7682" max="7926" width="9.125" style="42"/>
    <col min="7927" max="7927" width="12.375" style="42" customWidth="1"/>
    <col min="7928" max="7928" width="25" style="42" customWidth="1"/>
    <col min="7929" max="7929" width="12.375" style="42" customWidth="1"/>
    <col min="7930" max="7930" width="25.75" style="42" customWidth="1"/>
    <col min="7931" max="7931" width="12.375" style="42" customWidth="1"/>
    <col min="7932" max="7932" width="14.375" style="42" customWidth="1"/>
    <col min="7933" max="7934" width="12.375" style="42" customWidth="1"/>
    <col min="7935" max="7935" width="14.375" style="42" customWidth="1"/>
    <col min="7936" max="7936" width="9.125" style="42"/>
    <col min="7937" max="7937" width="14.375" style="42" bestFit="1" customWidth="1"/>
    <col min="7938" max="8182" width="9.125" style="42"/>
    <col min="8183" max="8183" width="12.375" style="42" customWidth="1"/>
    <col min="8184" max="8184" width="25" style="42" customWidth="1"/>
    <col min="8185" max="8185" width="12.375" style="42" customWidth="1"/>
    <col min="8186" max="8186" width="25.75" style="42" customWidth="1"/>
    <col min="8187" max="8187" width="12.375" style="42" customWidth="1"/>
    <col min="8188" max="8188" width="14.375" style="42" customWidth="1"/>
    <col min="8189" max="8190" width="12.375" style="42" customWidth="1"/>
    <col min="8191" max="8191" width="14.375" style="42" customWidth="1"/>
    <col min="8192" max="8192" width="9.125" style="42"/>
    <col min="8193" max="8193" width="14.375" style="42" bestFit="1" customWidth="1"/>
    <col min="8194" max="8438" width="9.125" style="42"/>
    <col min="8439" max="8439" width="12.375" style="42" customWidth="1"/>
    <col min="8440" max="8440" width="25" style="42" customWidth="1"/>
    <col min="8441" max="8441" width="12.375" style="42" customWidth="1"/>
    <col min="8442" max="8442" width="25.75" style="42" customWidth="1"/>
    <col min="8443" max="8443" width="12.375" style="42" customWidth="1"/>
    <col min="8444" max="8444" width="14.375" style="42" customWidth="1"/>
    <col min="8445" max="8446" width="12.375" style="42" customWidth="1"/>
    <col min="8447" max="8447" width="14.375" style="42" customWidth="1"/>
    <col min="8448" max="8448" width="9.125" style="42"/>
    <col min="8449" max="8449" width="14.375" style="42" bestFit="1" customWidth="1"/>
    <col min="8450" max="8694" width="9.125" style="42"/>
    <col min="8695" max="8695" width="12.375" style="42" customWidth="1"/>
    <col min="8696" max="8696" width="25" style="42" customWidth="1"/>
    <col min="8697" max="8697" width="12.375" style="42" customWidth="1"/>
    <col min="8698" max="8698" width="25.75" style="42" customWidth="1"/>
    <col min="8699" max="8699" width="12.375" style="42" customWidth="1"/>
    <col min="8700" max="8700" width="14.375" style="42" customWidth="1"/>
    <col min="8701" max="8702" width="12.375" style="42" customWidth="1"/>
    <col min="8703" max="8703" width="14.375" style="42" customWidth="1"/>
    <col min="8704" max="8704" width="9.125" style="42"/>
    <col min="8705" max="8705" width="14.375" style="42" bestFit="1" customWidth="1"/>
    <col min="8706" max="8950" width="9.125" style="42"/>
    <col min="8951" max="8951" width="12.375" style="42" customWidth="1"/>
    <col min="8952" max="8952" width="25" style="42" customWidth="1"/>
    <col min="8953" max="8953" width="12.375" style="42" customWidth="1"/>
    <col min="8954" max="8954" width="25.75" style="42" customWidth="1"/>
    <col min="8955" max="8955" width="12.375" style="42" customWidth="1"/>
    <col min="8956" max="8956" width="14.375" style="42" customWidth="1"/>
    <col min="8957" max="8958" width="12.375" style="42" customWidth="1"/>
    <col min="8959" max="8959" width="14.375" style="42" customWidth="1"/>
    <col min="8960" max="8960" width="9.125" style="42"/>
    <col min="8961" max="8961" width="14.375" style="42" bestFit="1" customWidth="1"/>
    <col min="8962" max="9206" width="9.125" style="42"/>
    <col min="9207" max="9207" width="12.375" style="42" customWidth="1"/>
    <col min="9208" max="9208" width="25" style="42" customWidth="1"/>
    <col min="9209" max="9209" width="12.375" style="42" customWidth="1"/>
    <col min="9210" max="9210" width="25.75" style="42" customWidth="1"/>
    <col min="9211" max="9211" width="12.375" style="42" customWidth="1"/>
    <col min="9212" max="9212" width="14.375" style="42" customWidth="1"/>
    <col min="9213" max="9214" width="12.375" style="42" customWidth="1"/>
    <col min="9215" max="9215" width="14.375" style="42" customWidth="1"/>
    <col min="9216" max="9216" width="9.125" style="42"/>
    <col min="9217" max="9217" width="14.375" style="42" bestFit="1" customWidth="1"/>
    <col min="9218" max="9462" width="9.125" style="42"/>
    <col min="9463" max="9463" width="12.375" style="42" customWidth="1"/>
    <col min="9464" max="9464" width="25" style="42" customWidth="1"/>
    <col min="9465" max="9465" width="12.375" style="42" customWidth="1"/>
    <col min="9466" max="9466" width="25.75" style="42" customWidth="1"/>
    <col min="9467" max="9467" width="12.375" style="42" customWidth="1"/>
    <col min="9468" max="9468" width="14.375" style="42" customWidth="1"/>
    <col min="9469" max="9470" width="12.375" style="42" customWidth="1"/>
    <col min="9471" max="9471" width="14.375" style="42" customWidth="1"/>
    <col min="9472" max="9472" width="9.125" style="42"/>
    <col min="9473" max="9473" width="14.375" style="42" bestFit="1" customWidth="1"/>
    <col min="9474" max="9718" width="9.125" style="42"/>
    <col min="9719" max="9719" width="12.375" style="42" customWidth="1"/>
    <col min="9720" max="9720" width="25" style="42" customWidth="1"/>
    <col min="9721" max="9721" width="12.375" style="42" customWidth="1"/>
    <col min="9722" max="9722" width="25.75" style="42" customWidth="1"/>
    <col min="9723" max="9723" width="12.375" style="42" customWidth="1"/>
    <col min="9724" max="9724" width="14.375" style="42" customWidth="1"/>
    <col min="9725" max="9726" width="12.375" style="42" customWidth="1"/>
    <col min="9727" max="9727" width="14.375" style="42" customWidth="1"/>
    <col min="9728" max="9728" width="9.125" style="42"/>
    <col min="9729" max="9729" width="14.375" style="42" bestFit="1" customWidth="1"/>
    <col min="9730" max="9974" width="9.125" style="42"/>
    <col min="9975" max="9975" width="12.375" style="42" customWidth="1"/>
    <col min="9976" max="9976" width="25" style="42" customWidth="1"/>
    <col min="9977" max="9977" width="12.375" style="42" customWidth="1"/>
    <col min="9978" max="9978" width="25.75" style="42" customWidth="1"/>
    <col min="9979" max="9979" width="12.375" style="42" customWidth="1"/>
    <col min="9980" max="9980" width="14.375" style="42" customWidth="1"/>
    <col min="9981" max="9982" width="12.375" style="42" customWidth="1"/>
    <col min="9983" max="9983" width="14.375" style="42" customWidth="1"/>
    <col min="9984" max="9984" width="9.125" style="42"/>
    <col min="9985" max="9985" width="14.375" style="42" bestFit="1" customWidth="1"/>
    <col min="9986" max="10230" width="9.125" style="42"/>
    <col min="10231" max="10231" width="12.375" style="42" customWidth="1"/>
    <col min="10232" max="10232" width="25" style="42" customWidth="1"/>
    <col min="10233" max="10233" width="12.375" style="42" customWidth="1"/>
    <col min="10234" max="10234" width="25.75" style="42" customWidth="1"/>
    <col min="10235" max="10235" width="12.375" style="42" customWidth="1"/>
    <col min="10236" max="10236" width="14.375" style="42" customWidth="1"/>
    <col min="10237" max="10238" width="12.375" style="42" customWidth="1"/>
    <col min="10239" max="10239" width="14.375" style="42" customWidth="1"/>
    <col min="10240" max="10240" width="9.125" style="42"/>
    <col min="10241" max="10241" width="14.375" style="42" bestFit="1" customWidth="1"/>
    <col min="10242" max="10486" width="9.125" style="42"/>
    <col min="10487" max="10487" width="12.375" style="42" customWidth="1"/>
    <col min="10488" max="10488" width="25" style="42" customWidth="1"/>
    <col min="10489" max="10489" width="12.375" style="42" customWidth="1"/>
    <col min="10490" max="10490" width="25.75" style="42" customWidth="1"/>
    <col min="10491" max="10491" width="12.375" style="42" customWidth="1"/>
    <col min="10492" max="10492" width="14.375" style="42" customWidth="1"/>
    <col min="10493" max="10494" width="12.375" style="42" customWidth="1"/>
    <col min="10495" max="10495" width="14.375" style="42" customWidth="1"/>
    <col min="10496" max="10496" width="9.125" style="42"/>
    <col min="10497" max="10497" width="14.375" style="42" bestFit="1" customWidth="1"/>
    <col min="10498" max="10742" width="9.125" style="42"/>
    <col min="10743" max="10743" width="12.375" style="42" customWidth="1"/>
    <col min="10744" max="10744" width="25" style="42" customWidth="1"/>
    <col min="10745" max="10745" width="12.375" style="42" customWidth="1"/>
    <col min="10746" max="10746" width="25.75" style="42" customWidth="1"/>
    <col min="10747" max="10747" width="12.375" style="42" customWidth="1"/>
    <col min="10748" max="10748" width="14.375" style="42" customWidth="1"/>
    <col min="10749" max="10750" width="12.375" style="42" customWidth="1"/>
    <col min="10751" max="10751" width="14.375" style="42" customWidth="1"/>
    <col min="10752" max="10752" width="9.125" style="42"/>
    <col min="10753" max="10753" width="14.375" style="42" bestFit="1" customWidth="1"/>
    <col min="10754" max="10998" width="9.125" style="42"/>
    <col min="10999" max="10999" width="12.375" style="42" customWidth="1"/>
    <col min="11000" max="11000" width="25" style="42" customWidth="1"/>
    <col min="11001" max="11001" width="12.375" style="42" customWidth="1"/>
    <col min="11002" max="11002" width="25.75" style="42" customWidth="1"/>
    <col min="11003" max="11003" width="12.375" style="42" customWidth="1"/>
    <col min="11004" max="11004" width="14.375" style="42" customWidth="1"/>
    <col min="11005" max="11006" width="12.375" style="42" customWidth="1"/>
    <col min="11007" max="11007" width="14.375" style="42" customWidth="1"/>
    <col min="11008" max="11008" width="9.125" style="42"/>
    <col min="11009" max="11009" width="14.375" style="42" bestFit="1" customWidth="1"/>
    <col min="11010" max="11254" width="9.125" style="42"/>
    <col min="11255" max="11255" width="12.375" style="42" customWidth="1"/>
    <col min="11256" max="11256" width="25" style="42" customWidth="1"/>
    <col min="11257" max="11257" width="12.375" style="42" customWidth="1"/>
    <col min="11258" max="11258" width="25.75" style="42" customWidth="1"/>
    <col min="11259" max="11259" width="12.375" style="42" customWidth="1"/>
    <col min="11260" max="11260" width="14.375" style="42" customWidth="1"/>
    <col min="11261" max="11262" width="12.375" style="42" customWidth="1"/>
    <col min="11263" max="11263" width="14.375" style="42" customWidth="1"/>
    <col min="11264" max="11264" width="9.125" style="42"/>
    <col min="11265" max="11265" width="14.375" style="42" bestFit="1" customWidth="1"/>
    <col min="11266" max="11510" width="9.125" style="42"/>
    <col min="11511" max="11511" width="12.375" style="42" customWidth="1"/>
    <col min="11512" max="11512" width="25" style="42" customWidth="1"/>
    <col min="11513" max="11513" width="12.375" style="42" customWidth="1"/>
    <col min="11514" max="11514" width="25.75" style="42" customWidth="1"/>
    <col min="11515" max="11515" width="12.375" style="42" customWidth="1"/>
    <col min="11516" max="11516" width="14.375" style="42" customWidth="1"/>
    <col min="11517" max="11518" width="12.375" style="42" customWidth="1"/>
    <col min="11519" max="11519" width="14.375" style="42" customWidth="1"/>
    <col min="11520" max="11520" width="9.125" style="42"/>
    <col min="11521" max="11521" width="14.375" style="42" bestFit="1" customWidth="1"/>
    <col min="11522" max="11766" width="9.125" style="42"/>
    <col min="11767" max="11767" width="12.375" style="42" customWidth="1"/>
    <col min="11768" max="11768" width="25" style="42" customWidth="1"/>
    <col min="11769" max="11769" width="12.375" style="42" customWidth="1"/>
    <col min="11770" max="11770" width="25.75" style="42" customWidth="1"/>
    <col min="11771" max="11771" width="12.375" style="42" customWidth="1"/>
    <col min="11772" max="11772" width="14.375" style="42" customWidth="1"/>
    <col min="11773" max="11774" width="12.375" style="42" customWidth="1"/>
    <col min="11775" max="11775" width="14.375" style="42" customWidth="1"/>
    <col min="11776" max="11776" width="9.125" style="42"/>
    <col min="11777" max="11777" width="14.375" style="42" bestFit="1" customWidth="1"/>
    <col min="11778" max="12022" width="9.125" style="42"/>
    <col min="12023" max="12023" width="12.375" style="42" customWidth="1"/>
    <col min="12024" max="12024" width="25" style="42" customWidth="1"/>
    <col min="12025" max="12025" width="12.375" style="42" customWidth="1"/>
    <col min="12026" max="12026" width="25.75" style="42" customWidth="1"/>
    <col min="12027" max="12027" width="12.375" style="42" customWidth="1"/>
    <col min="12028" max="12028" width="14.375" style="42" customWidth="1"/>
    <col min="12029" max="12030" width="12.375" style="42" customWidth="1"/>
    <col min="12031" max="12031" width="14.375" style="42" customWidth="1"/>
    <col min="12032" max="12032" width="9.125" style="42"/>
    <col min="12033" max="12033" width="14.375" style="42" bestFit="1" customWidth="1"/>
    <col min="12034" max="12278" width="9.125" style="42"/>
    <col min="12279" max="12279" width="12.375" style="42" customWidth="1"/>
    <col min="12280" max="12280" width="25" style="42" customWidth="1"/>
    <col min="12281" max="12281" width="12.375" style="42" customWidth="1"/>
    <col min="12282" max="12282" width="25.75" style="42" customWidth="1"/>
    <col min="12283" max="12283" width="12.375" style="42" customWidth="1"/>
    <col min="12284" max="12284" width="14.375" style="42" customWidth="1"/>
    <col min="12285" max="12286" width="12.375" style="42" customWidth="1"/>
    <col min="12287" max="12287" width="14.375" style="42" customWidth="1"/>
    <col min="12288" max="12288" width="9.125" style="42"/>
    <col min="12289" max="12289" width="14.375" style="42" bestFit="1" customWidth="1"/>
    <col min="12290" max="12534" width="9.125" style="42"/>
    <col min="12535" max="12535" width="12.375" style="42" customWidth="1"/>
    <col min="12536" max="12536" width="25" style="42" customWidth="1"/>
    <col min="12537" max="12537" width="12.375" style="42" customWidth="1"/>
    <col min="12538" max="12538" width="25.75" style="42" customWidth="1"/>
    <col min="12539" max="12539" width="12.375" style="42" customWidth="1"/>
    <col min="12540" max="12540" width="14.375" style="42" customWidth="1"/>
    <col min="12541" max="12542" width="12.375" style="42" customWidth="1"/>
    <col min="12543" max="12543" width="14.375" style="42" customWidth="1"/>
    <col min="12544" max="12544" width="9.125" style="42"/>
    <col min="12545" max="12545" width="14.375" style="42" bestFit="1" customWidth="1"/>
    <col min="12546" max="12790" width="9.125" style="42"/>
    <col min="12791" max="12791" width="12.375" style="42" customWidth="1"/>
    <col min="12792" max="12792" width="25" style="42" customWidth="1"/>
    <col min="12793" max="12793" width="12.375" style="42" customWidth="1"/>
    <col min="12794" max="12794" width="25.75" style="42" customWidth="1"/>
    <col min="12795" max="12795" width="12.375" style="42" customWidth="1"/>
    <col min="12796" max="12796" width="14.375" style="42" customWidth="1"/>
    <col min="12797" max="12798" width="12.375" style="42" customWidth="1"/>
    <col min="12799" max="12799" width="14.375" style="42" customWidth="1"/>
    <col min="12800" max="12800" width="9.125" style="42"/>
    <col min="12801" max="12801" width="14.375" style="42" bestFit="1" customWidth="1"/>
    <col min="12802" max="13046" width="9.125" style="42"/>
    <col min="13047" max="13047" width="12.375" style="42" customWidth="1"/>
    <col min="13048" max="13048" width="25" style="42" customWidth="1"/>
    <col min="13049" max="13049" width="12.375" style="42" customWidth="1"/>
    <col min="13050" max="13050" width="25.75" style="42" customWidth="1"/>
    <col min="13051" max="13051" width="12.375" style="42" customWidth="1"/>
    <col min="13052" max="13052" width="14.375" style="42" customWidth="1"/>
    <col min="13053" max="13054" width="12.375" style="42" customWidth="1"/>
    <col min="13055" max="13055" width="14.375" style="42" customWidth="1"/>
    <col min="13056" max="13056" width="9.125" style="42"/>
    <col min="13057" max="13057" width="14.375" style="42" bestFit="1" customWidth="1"/>
    <col min="13058" max="13302" width="9.125" style="42"/>
    <col min="13303" max="13303" width="12.375" style="42" customWidth="1"/>
    <col min="13304" max="13304" width="25" style="42" customWidth="1"/>
    <col min="13305" max="13305" width="12.375" style="42" customWidth="1"/>
    <col min="13306" max="13306" width="25.75" style="42" customWidth="1"/>
    <col min="13307" max="13307" width="12.375" style="42" customWidth="1"/>
    <col min="13308" max="13308" width="14.375" style="42" customWidth="1"/>
    <col min="13309" max="13310" width="12.375" style="42" customWidth="1"/>
    <col min="13311" max="13311" width="14.375" style="42" customWidth="1"/>
    <col min="13312" max="13312" width="9.125" style="42"/>
    <col min="13313" max="13313" width="14.375" style="42" bestFit="1" customWidth="1"/>
    <col min="13314" max="13558" width="9.125" style="42"/>
    <col min="13559" max="13559" width="12.375" style="42" customWidth="1"/>
    <col min="13560" max="13560" width="25" style="42" customWidth="1"/>
    <col min="13561" max="13561" width="12.375" style="42" customWidth="1"/>
    <col min="13562" max="13562" width="25.75" style="42" customWidth="1"/>
    <col min="13563" max="13563" width="12.375" style="42" customWidth="1"/>
    <col min="13564" max="13564" width="14.375" style="42" customWidth="1"/>
    <col min="13565" max="13566" width="12.375" style="42" customWidth="1"/>
    <col min="13567" max="13567" width="14.375" style="42" customWidth="1"/>
    <col min="13568" max="13568" width="9.125" style="42"/>
    <col min="13569" max="13569" width="14.375" style="42" bestFit="1" customWidth="1"/>
    <col min="13570" max="13814" width="9.125" style="42"/>
    <col min="13815" max="13815" width="12.375" style="42" customWidth="1"/>
    <col min="13816" max="13816" width="25" style="42" customWidth="1"/>
    <col min="13817" max="13817" width="12.375" style="42" customWidth="1"/>
    <col min="13818" max="13818" width="25.75" style="42" customWidth="1"/>
    <col min="13819" max="13819" width="12.375" style="42" customWidth="1"/>
    <col min="13820" max="13820" width="14.375" style="42" customWidth="1"/>
    <col min="13821" max="13822" width="12.375" style="42" customWidth="1"/>
    <col min="13823" max="13823" width="14.375" style="42" customWidth="1"/>
    <col min="13824" max="13824" width="9.125" style="42"/>
    <col min="13825" max="13825" width="14.375" style="42" bestFit="1" customWidth="1"/>
    <col min="13826" max="14070" width="9.125" style="42"/>
    <col min="14071" max="14071" width="12.375" style="42" customWidth="1"/>
    <col min="14072" max="14072" width="25" style="42" customWidth="1"/>
    <col min="14073" max="14073" width="12.375" style="42" customWidth="1"/>
    <col min="14074" max="14074" width="25.75" style="42" customWidth="1"/>
    <col min="14075" max="14075" width="12.375" style="42" customWidth="1"/>
    <col min="14076" max="14076" width="14.375" style="42" customWidth="1"/>
    <col min="14077" max="14078" width="12.375" style="42" customWidth="1"/>
    <col min="14079" max="14079" width="14.375" style="42" customWidth="1"/>
    <col min="14080" max="14080" width="9.125" style="42"/>
    <col min="14081" max="14081" width="14.375" style="42" bestFit="1" customWidth="1"/>
    <col min="14082" max="14326" width="9.125" style="42"/>
    <col min="14327" max="14327" width="12.375" style="42" customWidth="1"/>
    <col min="14328" max="14328" width="25" style="42" customWidth="1"/>
    <col min="14329" max="14329" width="12.375" style="42" customWidth="1"/>
    <col min="14330" max="14330" width="25.75" style="42" customWidth="1"/>
    <col min="14331" max="14331" width="12.375" style="42" customWidth="1"/>
    <col min="14332" max="14332" width="14.375" style="42" customWidth="1"/>
    <col min="14333" max="14334" width="12.375" style="42" customWidth="1"/>
    <col min="14335" max="14335" width="14.375" style="42" customWidth="1"/>
    <col min="14336" max="14336" width="9.125" style="42"/>
    <col min="14337" max="14337" width="14.375" style="42" bestFit="1" customWidth="1"/>
    <col min="14338" max="14582" width="9.125" style="42"/>
    <col min="14583" max="14583" width="12.375" style="42" customWidth="1"/>
    <col min="14584" max="14584" width="25" style="42" customWidth="1"/>
    <col min="14585" max="14585" width="12.375" style="42" customWidth="1"/>
    <col min="14586" max="14586" width="25.75" style="42" customWidth="1"/>
    <col min="14587" max="14587" width="12.375" style="42" customWidth="1"/>
    <col min="14588" max="14588" width="14.375" style="42" customWidth="1"/>
    <col min="14589" max="14590" width="12.375" style="42" customWidth="1"/>
    <col min="14591" max="14591" width="14.375" style="42" customWidth="1"/>
    <col min="14592" max="14592" width="9.125" style="42"/>
    <col min="14593" max="14593" width="14.375" style="42" bestFit="1" customWidth="1"/>
    <col min="14594" max="14838" width="9.125" style="42"/>
    <col min="14839" max="14839" width="12.375" style="42" customWidth="1"/>
    <col min="14840" max="14840" width="25" style="42" customWidth="1"/>
    <col min="14841" max="14841" width="12.375" style="42" customWidth="1"/>
    <col min="14842" max="14842" width="25.75" style="42" customWidth="1"/>
    <col min="14843" max="14843" width="12.375" style="42" customWidth="1"/>
    <col min="14844" max="14844" width="14.375" style="42" customWidth="1"/>
    <col min="14845" max="14846" width="12.375" style="42" customWidth="1"/>
    <col min="14847" max="14847" width="14.375" style="42" customWidth="1"/>
    <col min="14848" max="14848" width="9.125" style="42"/>
    <col min="14849" max="14849" width="14.375" style="42" bestFit="1" customWidth="1"/>
    <col min="14850" max="15094" width="9.125" style="42"/>
    <col min="15095" max="15095" width="12.375" style="42" customWidth="1"/>
    <col min="15096" max="15096" width="25" style="42" customWidth="1"/>
    <col min="15097" max="15097" width="12.375" style="42" customWidth="1"/>
    <col min="15098" max="15098" width="25.75" style="42" customWidth="1"/>
    <col min="15099" max="15099" width="12.375" style="42" customWidth="1"/>
    <col min="15100" max="15100" width="14.375" style="42" customWidth="1"/>
    <col min="15101" max="15102" width="12.375" style="42" customWidth="1"/>
    <col min="15103" max="15103" width="14.375" style="42" customWidth="1"/>
    <col min="15104" max="15104" width="9.125" style="42"/>
    <col min="15105" max="15105" width="14.375" style="42" bestFit="1" customWidth="1"/>
    <col min="15106" max="15350" width="9.125" style="42"/>
    <col min="15351" max="15351" width="12.375" style="42" customWidth="1"/>
    <col min="15352" max="15352" width="25" style="42" customWidth="1"/>
    <col min="15353" max="15353" width="12.375" style="42" customWidth="1"/>
    <col min="15354" max="15354" width="25.75" style="42" customWidth="1"/>
    <col min="15355" max="15355" width="12.375" style="42" customWidth="1"/>
    <col min="15356" max="15356" width="14.375" style="42" customWidth="1"/>
    <col min="15357" max="15358" width="12.375" style="42" customWidth="1"/>
    <col min="15359" max="15359" width="14.375" style="42" customWidth="1"/>
    <col min="15360" max="15360" width="9.125" style="42"/>
    <col min="15361" max="15361" width="14.375" style="42" bestFit="1" customWidth="1"/>
    <col min="15362" max="15606" width="9.125" style="42"/>
    <col min="15607" max="15607" width="12.375" style="42" customWidth="1"/>
    <col min="15608" max="15608" width="25" style="42" customWidth="1"/>
    <col min="15609" max="15609" width="12.375" style="42" customWidth="1"/>
    <col min="15610" max="15610" width="25.75" style="42" customWidth="1"/>
    <col min="15611" max="15611" width="12.375" style="42" customWidth="1"/>
    <col min="15612" max="15612" width="14.375" style="42" customWidth="1"/>
    <col min="15613" max="15614" width="12.375" style="42" customWidth="1"/>
    <col min="15615" max="15615" width="14.375" style="42" customWidth="1"/>
    <col min="15616" max="15616" width="9.125" style="42"/>
    <col min="15617" max="15617" width="14.375" style="42" bestFit="1" customWidth="1"/>
    <col min="15618" max="15862" width="9.125" style="42"/>
    <col min="15863" max="15863" width="12.375" style="42" customWidth="1"/>
    <col min="15864" max="15864" width="25" style="42" customWidth="1"/>
    <col min="15865" max="15865" width="12.375" style="42" customWidth="1"/>
    <col min="15866" max="15866" width="25.75" style="42" customWidth="1"/>
    <col min="15867" max="15867" width="12.375" style="42" customWidth="1"/>
    <col min="15868" max="15868" width="14.375" style="42" customWidth="1"/>
    <col min="15869" max="15870" width="12.375" style="42" customWidth="1"/>
    <col min="15871" max="15871" width="14.375" style="42" customWidth="1"/>
    <col min="15872" max="15872" width="9.125" style="42"/>
    <col min="15873" max="15873" width="14.375" style="42" bestFit="1" customWidth="1"/>
    <col min="15874" max="16118" width="9.125" style="42"/>
    <col min="16119" max="16119" width="12.375" style="42" customWidth="1"/>
    <col min="16120" max="16120" width="25" style="42" customWidth="1"/>
    <col min="16121" max="16121" width="12.375" style="42" customWidth="1"/>
    <col min="16122" max="16122" width="25.75" style="42" customWidth="1"/>
    <col min="16123" max="16123" width="12.375" style="42" customWidth="1"/>
    <col min="16124" max="16124" width="14.375" style="42" customWidth="1"/>
    <col min="16125" max="16126" width="12.375" style="42" customWidth="1"/>
    <col min="16127" max="16127" width="14.375" style="42" customWidth="1"/>
    <col min="16128" max="16128" width="9.125" style="42"/>
    <col min="16129" max="16129" width="14.375" style="42" bestFit="1" customWidth="1"/>
    <col min="16130" max="16384" width="9.125" style="42"/>
  </cols>
  <sheetData>
    <row r="2" spans="1:14" ht="15.95" customHeight="1">
      <c r="A2" s="42" t="s">
        <v>1581</v>
      </c>
      <c r="B2" s="42" t="s">
        <v>1582</v>
      </c>
      <c r="L2" s="45" t="s">
        <v>1583</v>
      </c>
      <c r="N2" s="42" t="s">
        <v>1584</v>
      </c>
    </row>
    <row r="3" spans="1:14" ht="15.95" customHeight="1">
      <c r="A3" s="41" t="s">
        <v>1550</v>
      </c>
      <c r="B3" s="41" t="s">
        <v>1551</v>
      </c>
      <c r="C3" s="41" t="s">
        <v>1552</v>
      </c>
      <c r="D3" s="41" t="s">
        <v>541</v>
      </c>
      <c r="E3" s="41" t="s">
        <v>1553</v>
      </c>
      <c r="F3" s="41" t="s">
        <v>1554</v>
      </c>
      <c r="G3" s="41" t="s">
        <v>1555</v>
      </c>
      <c r="H3" s="41" t="s">
        <v>1556</v>
      </c>
      <c r="I3" s="41" t="s">
        <v>1557</v>
      </c>
      <c r="K3" s="42" t="s">
        <v>541</v>
      </c>
    </row>
    <row r="4" spans="1:14" ht="15.95" customHeight="1">
      <c r="A4" s="43" t="s">
        <v>1558</v>
      </c>
      <c r="B4" s="43" t="s">
        <v>518</v>
      </c>
      <c r="C4" s="43" t="s">
        <v>1559</v>
      </c>
      <c r="D4" s="43" t="s">
        <v>67</v>
      </c>
      <c r="E4" s="43" t="s">
        <v>1560</v>
      </c>
      <c r="F4" s="44">
        <v>207476875</v>
      </c>
      <c r="G4" s="44">
        <v>0</v>
      </c>
      <c r="H4" s="44">
        <v>0</v>
      </c>
      <c r="I4" s="44">
        <v>207476875</v>
      </c>
      <c r="K4" s="42" t="s">
        <v>67</v>
      </c>
      <c r="L4" s="45">
        <f>SUMIF($D:$D,K4,$I:$I)</f>
        <v>207476875</v>
      </c>
    </row>
    <row r="5" spans="1:14" ht="15.95" customHeight="1">
      <c r="A5" s="43" t="s">
        <v>1558</v>
      </c>
      <c r="B5" s="43" t="s">
        <v>518</v>
      </c>
      <c r="C5" s="43" t="s">
        <v>128</v>
      </c>
      <c r="D5" s="43" t="s">
        <v>129</v>
      </c>
      <c r="E5" s="43" t="s">
        <v>1560</v>
      </c>
      <c r="F5" s="44">
        <v>0</v>
      </c>
      <c r="G5" s="44">
        <v>6828862305</v>
      </c>
      <c r="H5" s="44">
        <v>2731869088</v>
      </c>
      <c r="I5" s="44">
        <v>4096993217</v>
      </c>
      <c r="K5" s="42" t="s">
        <v>129</v>
      </c>
      <c r="L5" s="45">
        <f t="shared" ref="L5:L17" si="0">SUMIF($D:$D,K5,$I:$I)</f>
        <v>4096993217</v>
      </c>
    </row>
    <row r="6" spans="1:14" ht="15.95" customHeight="1">
      <c r="A6" s="43" t="s">
        <v>1558</v>
      </c>
      <c r="B6" s="43" t="s">
        <v>518</v>
      </c>
      <c r="C6" s="43" t="s">
        <v>317</v>
      </c>
      <c r="D6" s="43" t="s">
        <v>318</v>
      </c>
      <c r="E6" s="43" t="s">
        <v>1560</v>
      </c>
      <c r="F6" s="44">
        <v>0</v>
      </c>
      <c r="G6" s="44">
        <v>0</v>
      </c>
      <c r="H6" s="44">
        <v>12831289</v>
      </c>
      <c r="I6" s="44">
        <v>12831289</v>
      </c>
      <c r="K6" s="48" t="s">
        <v>318</v>
      </c>
      <c r="L6" s="49">
        <f t="shared" si="0"/>
        <v>12831289</v>
      </c>
    </row>
    <row r="7" spans="1:14" ht="15.95" customHeight="1">
      <c r="A7" s="43" t="s">
        <v>1561</v>
      </c>
      <c r="B7" s="43" t="s">
        <v>1562</v>
      </c>
      <c r="C7" s="43" t="s">
        <v>1563</v>
      </c>
      <c r="D7" s="43" t="s">
        <v>26</v>
      </c>
      <c r="E7" s="43" t="s">
        <v>1564</v>
      </c>
      <c r="F7" s="44">
        <v>24598200</v>
      </c>
      <c r="G7" s="44">
        <v>3315600</v>
      </c>
      <c r="H7" s="44">
        <v>5934600</v>
      </c>
      <c r="I7" s="44">
        <v>21979200</v>
      </c>
      <c r="K7" s="46" t="s">
        <v>26</v>
      </c>
      <c r="L7" s="47">
        <f t="shared" si="0"/>
        <v>4407094005</v>
      </c>
      <c r="N7" s="42" t="s">
        <v>139</v>
      </c>
    </row>
    <row r="8" spans="1:14" ht="15.95" customHeight="1">
      <c r="A8" s="43" t="s">
        <v>1561</v>
      </c>
      <c r="B8" s="43" t="s">
        <v>1562</v>
      </c>
      <c r="C8" s="43" t="s">
        <v>1350</v>
      </c>
      <c r="D8" s="43" t="s">
        <v>526</v>
      </c>
      <c r="E8" s="43" t="s">
        <v>1564</v>
      </c>
      <c r="F8" s="44">
        <v>9773508262</v>
      </c>
      <c r="G8" s="44">
        <v>0</v>
      </c>
      <c r="H8" s="44">
        <v>0</v>
      </c>
      <c r="I8" s="44">
        <v>9773508262</v>
      </c>
      <c r="K8" s="42" t="s">
        <v>526</v>
      </c>
      <c r="L8" s="45">
        <f t="shared" si="0"/>
        <v>9875157897</v>
      </c>
    </row>
    <row r="9" spans="1:14" ht="15.95" customHeight="1">
      <c r="A9" s="43" t="s">
        <v>1565</v>
      </c>
      <c r="B9" s="43" t="s">
        <v>1566</v>
      </c>
      <c r="C9" s="43" t="s">
        <v>1567</v>
      </c>
      <c r="D9" s="43" t="s">
        <v>139</v>
      </c>
      <c r="E9" s="43" t="s">
        <v>1568</v>
      </c>
      <c r="F9" s="44">
        <v>917350078</v>
      </c>
      <c r="G9" s="44">
        <v>107069301</v>
      </c>
      <c r="H9" s="44">
        <v>138820887</v>
      </c>
      <c r="I9" s="44">
        <v>949101664</v>
      </c>
      <c r="K9" s="46" t="s">
        <v>139</v>
      </c>
      <c r="L9" s="47">
        <f t="shared" si="0"/>
        <v>949101664</v>
      </c>
      <c r="N9" s="42" t="s">
        <v>26</v>
      </c>
    </row>
    <row r="10" spans="1:14" ht="15.95" customHeight="1">
      <c r="A10" s="43" t="s">
        <v>1569</v>
      </c>
      <c r="B10" s="43" t="s">
        <v>511</v>
      </c>
      <c r="C10" s="43" t="s">
        <v>1563</v>
      </c>
      <c r="D10" s="43" t="s">
        <v>26</v>
      </c>
      <c r="E10" s="43" t="s">
        <v>1564</v>
      </c>
      <c r="F10" s="44">
        <v>4726130293</v>
      </c>
      <c r="G10" s="44">
        <v>991418379</v>
      </c>
      <c r="H10" s="44">
        <v>1415260656</v>
      </c>
      <c r="I10" s="44">
        <v>4302288016</v>
      </c>
      <c r="K10" s="46" t="s">
        <v>145</v>
      </c>
      <c r="L10" s="47">
        <f t="shared" si="0"/>
        <v>8601548</v>
      </c>
      <c r="N10" s="42" t="s">
        <v>1585</v>
      </c>
    </row>
    <row r="11" spans="1:14" ht="15.95" customHeight="1">
      <c r="A11" s="43" t="s">
        <v>1569</v>
      </c>
      <c r="B11" s="43" t="s">
        <v>511</v>
      </c>
      <c r="C11" s="43" t="s">
        <v>1570</v>
      </c>
      <c r="D11" s="43" t="s">
        <v>145</v>
      </c>
      <c r="E11" s="43" t="s">
        <v>1564</v>
      </c>
      <c r="F11" s="44">
        <v>102927590</v>
      </c>
      <c r="G11" s="44">
        <v>86301717</v>
      </c>
      <c r="H11" s="44">
        <v>-8024325</v>
      </c>
      <c r="I11" s="44">
        <v>8601548</v>
      </c>
      <c r="K11" s="48" t="s">
        <v>614</v>
      </c>
      <c r="L11" s="49">
        <f t="shared" si="0"/>
        <v>154987587</v>
      </c>
    </row>
    <row r="12" spans="1:14" ht="15.95" customHeight="1">
      <c r="A12" s="43" t="s">
        <v>1569</v>
      </c>
      <c r="B12" s="43" t="s">
        <v>511</v>
      </c>
      <c r="C12" s="43" t="s">
        <v>1350</v>
      </c>
      <c r="D12" s="43" t="s">
        <v>526</v>
      </c>
      <c r="E12" s="43" t="s">
        <v>1564</v>
      </c>
      <c r="F12" s="44">
        <v>101649635</v>
      </c>
      <c r="G12" s="44">
        <v>0</v>
      </c>
      <c r="H12" s="44">
        <v>0</v>
      </c>
      <c r="I12" s="44">
        <v>101649635</v>
      </c>
      <c r="K12" s="48" t="s">
        <v>615</v>
      </c>
      <c r="L12" s="49">
        <f t="shared" si="0"/>
        <v>-24022782</v>
      </c>
    </row>
    <row r="13" spans="1:14" ht="15.95" customHeight="1">
      <c r="A13" s="43" t="s">
        <v>1569</v>
      </c>
      <c r="B13" s="43" t="s">
        <v>511</v>
      </c>
      <c r="C13" s="43" t="s">
        <v>1571</v>
      </c>
      <c r="D13" s="43" t="s">
        <v>614</v>
      </c>
      <c r="E13" s="43" t="s">
        <v>1564</v>
      </c>
      <c r="F13" s="44">
        <v>0</v>
      </c>
      <c r="G13" s="44">
        <v>0</v>
      </c>
      <c r="H13" s="44">
        <v>154987587</v>
      </c>
      <c r="I13" s="44">
        <v>154987587</v>
      </c>
      <c r="K13" s="48" t="s">
        <v>619</v>
      </c>
      <c r="L13" s="49">
        <f t="shared" si="0"/>
        <v>816683602</v>
      </c>
    </row>
    <row r="14" spans="1:14" ht="15.95" customHeight="1">
      <c r="A14" s="43" t="s">
        <v>1569</v>
      </c>
      <c r="B14" s="43" t="s">
        <v>511</v>
      </c>
      <c r="C14" s="43" t="s">
        <v>1572</v>
      </c>
      <c r="D14" s="43" t="s">
        <v>615</v>
      </c>
      <c r="E14" s="43" t="s">
        <v>1564</v>
      </c>
      <c r="F14" s="44">
        <v>0</v>
      </c>
      <c r="G14" s="44">
        <v>0</v>
      </c>
      <c r="H14" s="44">
        <v>-32607</v>
      </c>
      <c r="I14" s="44">
        <v>-32607</v>
      </c>
      <c r="K14" s="48" t="s">
        <v>620</v>
      </c>
      <c r="L14" s="49">
        <f t="shared" si="0"/>
        <v>-394852595</v>
      </c>
    </row>
    <row r="15" spans="1:14" ht="15.95" customHeight="1">
      <c r="A15" s="43" t="s">
        <v>1569</v>
      </c>
      <c r="B15" s="43" t="s">
        <v>511</v>
      </c>
      <c r="C15" s="43" t="s">
        <v>1573</v>
      </c>
      <c r="D15" s="43" t="s">
        <v>619</v>
      </c>
      <c r="E15" s="43" t="s">
        <v>1564</v>
      </c>
      <c r="F15" s="44">
        <v>0</v>
      </c>
      <c r="G15" s="44">
        <v>0</v>
      </c>
      <c r="H15" s="44">
        <v>656244159</v>
      </c>
      <c r="I15" s="44">
        <v>656244159</v>
      </c>
      <c r="K15" s="46" t="s">
        <v>24</v>
      </c>
      <c r="L15" s="47">
        <f t="shared" si="0"/>
        <v>57500000</v>
      </c>
      <c r="N15" s="42" t="s">
        <v>138</v>
      </c>
    </row>
    <row r="16" spans="1:14" ht="15.95" customHeight="1">
      <c r="A16" s="43" t="s">
        <v>1569</v>
      </c>
      <c r="B16" s="43" t="s">
        <v>511</v>
      </c>
      <c r="C16" s="43" t="s">
        <v>1574</v>
      </c>
      <c r="D16" s="43" t="s">
        <v>620</v>
      </c>
      <c r="E16" s="43" t="s">
        <v>1564</v>
      </c>
      <c r="F16" s="44">
        <v>0</v>
      </c>
      <c r="G16" s="44">
        <v>0</v>
      </c>
      <c r="H16" s="44">
        <v>-394852595</v>
      </c>
      <c r="I16" s="44">
        <v>-394852595</v>
      </c>
      <c r="K16" s="46" t="s">
        <v>33</v>
      </c>
      <c r="L16" s="47">
        <f t="shared" si="0"/>
        <v>14535638</v>
      </c>
      <c r="N16" s="42" t="s">
        <v>145</v>
      </c>
    </row>
    <row r="17" spans="1:12" ht="15.95" customHeight="1">
      <c r="A17" s="43" t="s">
        <v>1575</v>
      </c>
      <c r="B17" s="43" t="s">
        <v>1576</v>
      </c>
      <c r="C17" s="43" t="s">
        <v>1577</v>
      </c>
      <c r="D17" s="43" t="s">
        <v>24</v>
      </c>
      <c r="E17" s="43" t="s">
        <v>1564</v>
      </c>
      <c r="F17" s="44">
        <v>0</v>
      </c>
      <c r="G17" s="44">
        <v>57500000</v>
      </c>
      <c r="H17" s="44">
        <v>0</v>
      </c>
      <c r="I17" s="44">
        <v>57500000</v>
      </c>
      <c r="K17" s="42" t="s">
        <v>427</v>
      </c>
      <c r="L17" s="45">
        <f t="shared" si="0"/>
        <v>20182087945</v>
      </c>
    </row>
    <row r="18" spans="1:12" ht="18" customHeight="1">
      <c r="A18" s="43" t="s">
        <v>1575</v>
      </c>
      <c r="B18" s="43" t="s">
        <v>1576</v>
      </c>
      <c r="C18" s="43" t="s">
        <v>1563</v>
      </c>
      <c r="D18" s="43" t="s">
        <v>26</v>
      </c>
      <c r="E18" s="43" t="s">
        <v>1564</v>
      </c>
      <c r="F18" s="44">
        <v>95463378</v>
      </c>
      <c r="G18" s="44">
        <v>-716736</v>
      </c>
      <c r="H18" s="44">
        <v>11919853</v>
      </c>
      <c r="I18" s="44">
        <v>82826789</v>
      </c>
      <c r="K18"/>
    </row>
    <row r="19" spans="1:12" ht="18" customHeight="1">
      <c r="A19" s="43" t="s">
        <v>1575</v>
      </c>
      <c r="B19" s="43" t="s">
        <v>1576</v>
      </c>
      <c r="C19" s="43" t="s">
        <v>1578</v>
      </c>
      <c r="D19" s="43" t="s">
        <v>33</v>
      </c>
      <c r="E19" s="43" t="s">
        <v>1564</v>
      </c>
      <c r="F19" s="44">
        <v>0</v>
      </c>
      <c r="G19" s="44">
        <v>15494615</v>
      </c>
      <c r="H19" s="44">
        <v>958977</v>
      </c>
      <c r="I19" s="44">
        <v>14535638</v>
      </c>
      <c r="K19"/>
    </row>
    <row r="20" spans="1:12" ht="18" customHeight="1">
      <c r="A20" s="43" t="s">
        <v>1575</v>
      </c>
      <c r="B20" s="43" t="s">
        <v>1576</v>
      </c>
      <c r="C20" s="43" t="s">
        <v>1572</v>
      </c>
      <c r="D20" s="43" t="s">
        <v>615</v>
      </c>
      <c r="E20" s="43" t="s">
        <v>1564</v>
      </c>
      <c r="F20" s="44">
        <v>0</v>
      </c>
      <c r="G20" s="44">
        <v>0</v>
      </c>
      <c r="H20" s="44">
        <v>-23990175</v>
      </c>
      <c r="I20" s="44">
        <v>-23990175</v>
      </c>
      <c r="K20"/>
    </row>
    <row r="21" spans="1:12" ht="18" customHeight="1">
      <c r="A21" s="43" t="s">
        <v>1579</v>
      </c>
      <c r="B21" s="43" t="s">
        <v>515</v>
      </c>
      <c r="C21" s="43" t="s">
        <v>1573</v>
      </c>
      <c r="D21" s="43" t="s">
        <v>619</v>
      </c>
      <c r="E21" s="43" t="s">
        <v>1564</v>
      </c>
      <c r="F21" s="44">
        <v>0</v>
      </c>
      <c r="G21" s="44">
        <v>0</v>
      </c>
      <c r="H21" s="44">
        <v>160439443</v>
      </c>
      <c r="I21" s="44">
        <v>160439443</v>
      </c>
      <c r="K21"/>
    </row>
    <row r="22" spans="1:12" ht="18" customHeight="1">
      <c r="A22" s="43"/>
      <c r="B22" s="43"/>
      <c r="C22" s="43"/>
      <c r="D22" s="43" t="s">
        <v>427</v>
      </c>
      <c r="E22" s="43"/>
      <c r="F22" s="44">
        <v>15949104311</v>
      </c>
      <c r="G22" s="44">
        <v>8089245181</v>
      </c>
      <c r="H22" s="44">
        <v>4862366837</v>
      </c>
      <c r="I22" s="44">
        <v>20182087945</v>
      </c>
      <c r="K22"/>
    </row>
    <row r="23" spans="1:12" ht="15.95" customHeight="1">
      <c r="E23" s="42" t="s">
        <v>1580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>
    <tabColor rgb="FFFFFF00"/>
  </sheetPr>
  <dimension ref="D1:W318"/>
  <sheetViews>
    <sheetView showGridLines="0" zoomScale="85" zoomScaleNormal="85" workbookViewId="0">
      <pane xSplit="5" ySplit="5" topLeftCell="F6" activePane="bottomRight" state="frozen"/>
      <selection activeCell="V34" sqref="V34"/>
      <selection pane="topRight" activeCell="V34" sqref="V34"/>
      <selection pane="bottomLeft" activeCell="V34" sqref="V34"/>
      <selection pane="bottomRight" activeCell="N19" sqref="N19"/>
    </sheetView>
  </sheetViews>
  <sheetFormatPr defaultColWidth="8.75" defaultRowHeight="18" customHeight="1"/>
  <cols>
    <col min="1" max="3" width="2.375" style="498" customWidth="1"/>
    <col min="4" max="4" width="14.125" style="498" customWidth="1"/>
    <col min="5" max="5" width="32.375" style="498" bestFit="1" customWidth="1"/>
    <col min="6" max="8" width="14.125" style="498" customWidth="1"/>
    <col min="9" max="9" width="2.625" style="498" customWidth="1"/>
    <col min="10" max="10" width="11.25" style="1021" customWidth="1"/>
    <col min="11" max="11" width="18.375" style="498" bestFit="1" customWidth="1"/>
    <col min="12" max="13" width="14.125" style="498" customWidth="1"/>
    <col min="14" max="14" width="22.875" style="498" bestFit="1" customWidth="1"/>
    <col min="15" max="15" width="2.625" style="498" customWidth="1"/>
    <col min="16" max="16" width="25.125" style="498" bestFit="1" customWidth="1"/>
    <col min="17" max="17" width="18" style="498" customWidth="1"/>
    <col min="18" max="18" width="14.25" style="498" bestFit="1" customWidth="1"/>
    <col min="19" max="19" width="2.625" style="498" customWidth="1"/>
    <col min="20" max="20" width="10.25" style="498" customWidth="1"/>
    <col min="21" max="21" width="29.625" style="566" customWidth="1"/>
    <col min="22" max="22" width="25.5" style="566" customWidth="1"/>
    <col min="23" max="23" width="14" style="1022" customWidth="1"/>
    <col min="24" max="24" width="9.625" style="498" customWidth="1"/>
    <col min="25" max="25" width="8.875" style="498" bestFit="1" customWidth="1"/>
    <col min="26" max="16384" width="8.75" style="498"/>
  </cols>
  <sheetData>
    <row r="1" spans="4:23" ht="18" customHeight="1">
      <c r="H1" s="1020"/>
    </row>
    <row r="2" spans="4:23" ht="18" customHeight="1">
      <c r="H2" s="1994"/>
    </row>
    <row r="3" spans="4:23" ht="18" customHeight="1">
      <c r="H3" s="1654" t="b">
        <f>H4+H212=0</f>
        <v>1</v>
      </c>
      <c r="R3" s="540"/>
    </row>
    <row r="4" spans="4:23" ht="18" customHeight="1" thickBot="1">
      <c r="D4" s="1023" t="s">
        <v>407</v>
      </c>
      <c r="F4" s="540" t="b">
        <f>F210+F318=L4</f>
        <v>0</v>
      </c>
      <c r="G4" s="540" t="b">
        <f>G210+G318=M4</f>
        <v>0</v>
      </c>
      <c r="H4" s="498">
        <f>ROUND(SUM(H5:H209),)</f>
        <v>-1549804203</v>
      </c>
      <c r="L4" s="494">
        <f>SUM(L6:L59)</f>
        <v>5211512036</v>
      </c>
      <c r="M4" s="494">
        <f>SUM(M6:M59)</f>
        <v>5211512036</v>
      </c>
      <c r="N4" s="540" t="b">
        <f>L4=M4</f>
        <v>1</v>
      </c>
      <c r="P4" s="524" t="s">
        <v>2323</v>
      </c>
      <c r="R4" s="494">
        <f>SUM(R6:R30)</f>
        <v>5211512036</v>
      </c>
      <c r="S4" s="540"/>
      <c r="T4" s="524" t="s">
        <v>2323</v>
      </c>
    </row>
    <row r="5" spans="4:23" s="494" customFormat="1" ht="18" customHeight="1">
      <c r="D5" s="1024" t="s">
        <v>16</v>
      </c>
      <c r="E5" s="1025" t="s">
        <v>19</v>
      </c>
      <c r="F5" s="1025" t="s">
        <v>404</v>
      </c>
      <c r="G5" s="1025" t="s">
        <v>405</v>
      </c>
      <c r="H5" s="1026" t="s">
        <v>406</v>
      </c>
      <c r="J5" s="1027" t="s">
        <v>16</v>
      </c>
      <c r="K5" s="1028" t="s">
        <v>1772</v>
      </c>
      <c r="L5" s="1028" t="s">
        <v>1910</v>
      </c>
      <c r="M5" s="1028" t="s">
        <v>1911</v>
      </c>
      <c r="N5" s="1029" t="s">
        <v>1765</v>
      </c>
      <c r="P5" s="1030" t="s">
        <v>1551</v>
      </c>
      <c r="Q5" s="1031" t="s">
        <v>541</v>
      </c>
      <c r="R5" s="1032" t="s">
        <v>1557</v>
      </c>
      <c r="T5" s="1033" t="s">
        <v>1550</v>
      </c>
      <c r="U5" s="1034" t="s">
        <v>1551</v>
      </c>
      <c r="V5" s="1034" t="s">
        <v>541</v>
      </c>
      <c r="W5" s="1035" t="s">
        <v>1557</v>
      </c>
    </row>
    <row r="6" spans="4:23" ht="18" customHeight="1">
      <c r="D6" s="1036"/>
      <c r="E6" s="1037" t="s">
        <v>0</v>
      </c>
      <c r="F6" s="1037"/>
      <c r="G6" s="1037"/>
      <c r="H6" s="1038"/>
      <c r="J6" s="1039">
        <v>111731</v>
      </c>
      <c r="K6" s="925" t="s">
        <v>26</v>
      </c>
      <c r="L6" s="1040">
        <v>0</v>
      </c>
      <c r="M6" s="1041">
        <f>+R6</f>
        <v>24078700</v>
      </c>
      <c r="N6" s="1042" t="s">
        <v>15</v>
      </c>
      <c r="O6" s="575"/>
      <c r="P6" s="1043" t="s">
        <v>1562</v>
      </c>
      <c r="Q6" s="1044" t="s">
        <v>26</v>
      </c>
      <c r="R6" s="1045">
        <f>W7</f>
        <v>24078700</v>
      </c>
      <c r="S6" s="575"/>
      <c r="T6" s="1046" t="s">
        <v>1561</v>
      </c>
      <c r="U6" s="1047" t="s">
        <v>1562</v>
      </c>
      <c r="V6" s="1047" t="s">
        <v>22</v>
      </c>
      <c r="W6" s="1048">
        <v>-128173451</v>
      </c>
    </row>
    <row r="7" spans="4:23" ht="18" customHeight="1">
      <c r="D7" s="1049"/>
      <c r="E7" s="992" t="s">
        <v>20</v>
      </c>
      <c r="F7" s="992"/>
      <c r="G7" s="992"/>
      <c r="H7" s="1050"/>
      <c r="J7" s="1051">
        <v>211111</v>
      </c>
      <c r="K7" s="1052" t="s">
        <v>2601</v>
      </c>
      <c r="L7" s="1053">
        <f>+M6</f>
        <v>24078700</v>
      </c>
      <c r="M7" s="1053">
        <v>0</v>
      </c>
      <c r="N7" s="1054" t="s">
        <v>1562</v>
      </c>
      <c r="O7" s="575"/>
      <c r="P7" s="1055" t="s">
        <v>1566</v>
      </c>
      <c r="Q7" s="1056" t="s">
        <v>139</v>
      </c>
      <c r="R7" s="1057">
        <v>0</v>
      </c>
      <c r="S7" s="575"/>
      <c r="T7" s="1058" t="s">
        <v>1561</v>
      </c>
      <c r="U7" s="1059" t="s">
        <v>1562</v>
      </c>
      <c r="V7" s="1059" t="s">
        <v>26</v>
      </c>
      <c r="W7" s="1060">
        <v>24078700</v>
      </c>
    </row>
    <row r="8" spans="4:23" ht="18" customHeight="1">
      <c r="D8" s="1061"/>
      <c r="E8" s="1062" t="s">
        <v>1</v>
      </c>
      <c r="F8" s="1062"/>
      <c r="G8" s="1062"/>
      <c r="H8" s="1063"/>
      <c r="J8" s="1039">
        <v>211121</v>
      </c>
      <c r="K8" s="925" t="s">
        <v>139</v>
      </c>
      <c r="L8" s="1041">
        <f>+R7</f>
        <v>0</v>
      </c>
      <c r="M8" s="1040">
        <v>0</v>
      </c>
      <c r="N8" s="1042" t="s">
        <v>15</v>
      </c>
      <c r="O8" s="575"/>
      <c r="P8" s="1043" t="s">
        <v>1566</v>
      </c>
      <c r="Q8" s="1066" t="s">
        <v>26</v>
      </c>
      <c r="R8" s="1045">
        <v>0</v>
      </c>
      <c r="S8" s="575"/>
      <c r="T8" s="1058" t="s">
        <v>1561</v>
      </c>
      <c r="U8" s="1059" t="s">
        <v>1562</v>
      </c>
      <c r="V8" s="1059" t="s">
        <v>526</v>
      </c>
      <c r="W8" s="1060">
        <v>9773508262</v>
      </c>
    </row>
    <row r="9" spans="4:23" ht="18" customHeight="1">
      <c r="D9" s="1067">
        <v>111151</v>
      </c>
      <c r="E9" s="552" t="s">
        <v>21</v>
      </c>
      <c r="F9" s="552">
        <f>SUMIF($J:$J,$D9,L:L)</f>
        <v>0</v>
      </c>
      <c r="G9" s="552">
        <f>SUMIF($J:$J,$D9,M:M)</f>
        <v>0</v>
      </c>
      <c r="H9" s="1068">
        <f>F9-G9</f>
        <v>0</v>
      </c>
      <c r="J9" s="1130">
        <v>111731</v>
      </c>
      <c r="K9" s="1131" t="s">
        <v>26</v>
      </c>
      <c r="L9" s="1799">
        <v>0</v>
      </c>
      <c r="M9" s="1799">
        <f>+L8</f>
        <v>0</v>
      </c>
      <c r="N9" s="1133" t="s">
        <v>1566</v>
      </c>
      <c r="O9" s="575"/>
      <c r="P9" s="1043" t="s">
        <v>1566</v>
      </c>
      <c r="Q9" s="1066" t="s">
        <v>145</v>
      </c>
      <c r="R9" s="1045">
        <f t="shared" ref="R9:R14" si="0">W16</f>
        <v>7603800</v>
      </c>
      <c r="S9" s="575"/>
      <c r="T9" s="1069" t="s">
        <v>1565</v>
      </c>
      <c r="U9" s="1070" t="s">
        <v>1566</v>
      </c>
      <c r="V9" s="1070" t="s">
        <v>21</v>
      </c>
      <c r="W9" s="1071">
        <v>-10690187</v>
      </c>
    </row>
    <row r="10" spans="4:23" ht="18" customHeight="1">
      <c r="D10" s="1067">
        <v>111171</v>
      </c>
      <c r="E10" s="552" t="s">
        <v>22</v>
      </c>
      <c r="F10" s="552">
        <f>SUMIF($J:$J,$D10,L:L)</f>
        <v>0</v>
      </c>
      <c r="G10" s="552">
        <f>SUMIF($J:$J,$D10,M:M)</f>
        <v>0</v>
      </c>
      <c r="H10" s="1068">
        <f>F10-G10</f>
        <v>0</v>
      </c>
      <c r="J10" s="1039">
        <v>111731</v>
      </c>
      <c r="K10" s="925" t="s">
        <v>26</v>
      </c>
      <c r="L10" s="1040">
        <v>0</v>
      </c>
      <c r="M10" s="1041">
        <f>+R8</f>
        <v>0</v>
      </c>
      <c r="N10" s="1042" t="s">
        <v>15</v>
      </c>
      <c r="O10" s="575"/>
      <c r="P10" s="1043" t="s">
        <v>1566</v>
      </c>
      <c r="Q10" s="1066" t="s">
        <v>614</v>
      </c>
      <c r="R10" s="1045">
        <f t="shared" si="0"/>
        <v>5817830</v>
      </c>
      <c r="S10" s="575"/>
      <c r="T10" s="1073" t="s">
        <v>1565</v>
      </c>
      <c r="U10" s="1074" t="s">
        <v>1566</v>
      </c>
      <c r="V10" s="1074" t="s">
        <v>22</v>
      </c>
      <c r="W10" s="1075">
        <v>-7345571510</v>
      </c>
    </row>
    <row r="11" spans="4:23" ht="18" customHeight="1">
      <c r="D11" s="1061"/>
      <c r="E11" s="1062" t="s">
        <v>23</v>
      </c>
      <c r="F11" s="1062"/>
      <c r="G11" s="1062"/>
      <c r="H11" s="1063"/>
      <c r="J11" s="1051">
        <v>211121</v>
      </c>
      <c r="K11" s="1052" t="s">
        <v>139</v>
      </c>
      <c r="L11" s="1053">
        <f>+M10</f>
        <v>0</v>
      </c>
      <c r="M11" s="1053">
        <v>0</v>
      </c>
      <c r="N11" s="1054" t="s">
        <v>1566</v>
      </c>
      <c r="O11" s="575"/>
      <c r="P11" s="1043" t="s">
        <v>1566</v>
      </c>
      <c r="Q11" s="1066" t="s">
        <v>619</v>
      </c>
      <c r="R11" s="1045">
        <f t="shared" si="0"/>
        <v>2696524</v>
      </c>
      <c r="S11" s="575"/>
      <c r="T11" s="1073" t="s">
        <v>1565</v>
      </c>
      <c r="U11" s="1074" t="s">
        <v>1566</v>
      </c>
      <c r="V11" s="1074" t="s">
        <v>43</v>
      </c>
      <c r="W11" s="1075">
        <v>8007136905</v>
      </c>
    </row>
    <row r="12" spans="4:23" ht="18" customHeight="1">
      <c r="D12" s="1067">
        <v>111711</v>
      </c>
      <c r="E12" s="552" t="s">
        <v>24</v>
      </c>
      <c r="F12" s="552">
        <f t="shared" ref="F12:F29" si="1">SUMIF($J:$J,$D12,L:L)</f>
        <v>0</v>
      </c>
      <c r="G12" s="552">
        <f t="shared" ref="G12:G29" si="2">SUMIF($J:$J,$D12,M:M)</f>
        <v>7603800</v>
      </c>
      <c r="H12" s="1068">
        <f t="shared" ref="H12:H29" si="3">F12-G12</f>
        <v>-7603800</v>
      </c>
      <c r="J12" s="1039">
        <v>213150</v>
      </c>
      <c r="K12" s="925" t="s">
        <v>145</v>
      </c>
      <c r="L12" s="1041">
        <f>R9</f>
        <v>7603800</v>
      </c>
      <c r="M12" s="1076">
        <f>L13</f>
        <v>0</v>
      </c>
      <c r="N12" s="1042" t="s">
        <v>15</v>
      </c>
      <c r="O12" s="575"/>
      <c r="P12" s="1043" t="s">
        <v>1566</v>
      </c>
      <c r="Q12" s="1066" t="s">
        <v>2277</v>
      </c>
      <c r="R12" s="1045">
        <f t="shared" si="0"/>
        <v>1311402</v>
      </c>
      <c r="S12" s="575"/>
      <c r="T12" s="1073" t="s">
        <v>1565</v>
      </c>
      <c r="U12" s="1074" t="s">
        <v>1566</v>
      </c>
      <c r="V12" s="1074" t="s">
        <v>47</v>
      </c>
      <c r="W12" s="1075">
        <v>23264488</v>
      </c>
    </row>
    <row r="13" spans="4:23" ht="18" customHeight="1">
      <c r="D13" s="1077">
        <v>111712</v>
      </c>
      <c r="E13" s="668" t="s">
        <v>25</v>
      </c>
      <c r="F13" s="668">
        <f t="shared" si="1"/>
        <v>0</v>
      </c>
      <c r="G13" s="668">
        <f t="shared" si="2"/>
        <v>0</v>
      </c>
      <c r="H13" s="1078">
        <f t="shared" si="3"/>
        <v>0</v>
      </c>
      <c r="J13" s="1039">
        <v>111711</v>
      </c>
      <c r="K13" s="925" t="s">
        <v>24</v>
      </c>
      <c r="L13" s="1040">
        <v>0</v>
      </c>
      <c r="M13" s="1076">
        <f>L12</f>
        <v>7603800</v>
      </c>
      <c r="N13" s="1042" t="s">
        <v>1566</v>
      </c>
      <c r="O13" s="575"/>
      <c r="P13" s="1043" t="s">
        <v>1566</v>
      </c>
      <c r="Q13" s="1066" t="s">
        <v>2361</v>
      </c>
      <c r="R13" s="1045">
        <f t="shared" si="0"/>
        <v>371920800</v>
      </c>
      <c r="S13" s="575"/>
      <c r="T13" s="1073" t="s">
        <v>1565</v>
      </c>
      <c r="U13" s="1074" t="s">
        <v>1566</v>
      </c>
      <c r="V13" s="1074" t="s">
        <v>49</v>
      </c>
      <c r="W13" s="1075">
        <v>81543220</v>
      </c>
    </row>
    <row r="14" spans="4:23" ht="18" customHeight="1">
      <c r="D14" s="1077">
        <v>111731</v>
      </c>
      <c r="E14" s="668" t="s">
        <v>26</v>
      </c>
      <c r="F14" s="668">
        <f t="shared" si="1"/>
        <v>0</v>
      </c>
      <c r="G14" s="668">
        <f t="shared" si="2"/>
        <v>24078700</v>
      </c>
      <c r="H14" s="1078">
        <f t="shared" si="3"/>
        <v>-24078700</v>
      </c>
      <c r="J14" s="1079">
        <v>410130</v>
      </c>
      <c r="K14" s="1080" t="s">
        <v>614</v>
      </c>
      <c r="L14" s="1072">
        <f>R10</f>
        <v>5817830</v>
      </c>
      <c r="M14" s="1081">
        <v>0</v>
      </c>
      <c r="N14" s="1082" t="s">
        <v>15</v>
      </c>
      <c r="O14" s="575"/>
      <c r="P14" s="1043" t="s">
        <v>1566</v>
      </c>
      <c r="Q14" s="1066" t="s">
        <v>2273</v>
      </c>
      <c r="R14" s="1045">
        <f t="shared" si="0"/>
        <v>93209400</v>
      </c>
      <c r="S14" s="575"/>
      <c r="T14" s="1073" t="s">
        <v>1565</v>
      </c>
      <c r="U14" s="1074" t="s">
        <v>1566</v>
      </c>
      <c r="V14" s="1074" t="s">
        <v>51</v>
      </c>
      <c r="W14" s="1075">
        <v>-369036073</v>
      </c>
    </row>
    <row r="15" spans="4:23" ht="18" customHeight="1">
      <c r="D15" s="1077">
        <v>111732</v>
      </c>
      <c r="E15" s="668" t="s">
        <v>27</v>
      </c>
      <c r="F15" s="668">
        <f t="shared" si="1"/>
        <v>0</v>
      </c>
      <c r="G15" s="668">
        <f t="shared" si="2"/>
        <v>0</v>
      </c>
      <c r="H15" s="1078">
        <f t="shared" si="3"/>
        <v>0</v>
      </c>
      <c r="J15" s="1083">
        <v>410240</v>
      </c>
      <c r="K15" s="1084" t="s">
        <v>619</v>
      </c>
      <c r="L15" s="1041">
        <f>R11</f>
        <v>2696524</v>
      </c>
      <c r="M15" s="1076">
        <v>0</v>
      </c>
      <c r="N15" s="1042" t="s">
        <v>15</v>
      </c>
      <c r="O15" s="575"/>
      <c r="P15" s="1055" t="s">
        <v>515</v>
      </c>
      <c r="Q15" s="1056" t="s">
        <v>24</v>
      </c>
      <c r="R15" s="1057">
        <v>0</v>
      </c>
      <c r="S15" s="575"/>
      <c r="T15" s="1073" t="s">
        <v>1565</v>
      </c>
      <c r="U15" s="1074" t="s">
        <v>1566</v>
      </c>
      <c r="V15" s="1074" t="s">
        <v>92</v>
      </c>
      <c r="W15" s="1075">
        <v>20764032</v>
      </c>
    </row>
    <row r="16" spans="4:23" ht="18" customHeight="1">
      <c r="D16" s="1077">
        <v>111761</v>
      </c>
      <c r="E16" s="668" t="s">
        <v>28</v>
      </c>
      <c r="F16" s="668">
        <f t="shared" si="1"/>
        <v>0</v>
      </c>
      <c r="G16" s="668">
        <f t="shared" si="2"/>
        <v>0</v>
      </c>
      <c r="H16" s="1078">
        <f t="shared" si="3"/>
        <v>0</v>
      </c>
      <c r="J16" s="1083">
        <v>410899</v>
      </c>
      <c r="K16" s="1084" t="s">
        <v>237</v>
      </c>
      <c r="L16" s="1041">
        <f>R12</f>
        <v>1311402</v>
      </c>
      <c r="M16" s="1076">
        <v>0</v>
      </c>
      <c r="N16" s="1042" t="s">
        <v>15</v>
      </c>
      <c r="O16" s="575"/>
      <c r="P16" s="1043" t="s">
        <v>515</v>
      </c>
      <c r="Q16" s="1066" t="s">
        <v>26</v>
      </c>
      <c r="R16" s="1085">
        <v>0</v>
      </c>
      <c r="S16" s="575"/>
      <c r="T16" s="1073" t="s">
        <v>1565</v>
      </c>
      <c r="U16" s="1074" t="s">
        <v>1566</v>
      </c>
      <c r="V16" s="1074" t="s">
        <v>145</v>
      </c>
      <c r="W16" s="1075">
        <v>7603800</v>
      </c>
    </row>
    <row r="17" spans="4:23" ht="18" customHeight="1">
      <c r="D17" s="1077">
        <v>111762</v>
      </c>
      <c r="E17" s="668" t="s">
        <v>29</v>
      </c>
      <c r="F17" s="668">
        <f t="shared" si="1"/>
        <v>0</v>
      </c>
      <c r="G17" s="668">
        <f t="shared" si="2"/>
        <v>0</v>
      </c>
      <c r="H17" s="1078">
        <f t="shared" si="3"/>
        <v>0</v>
      </c>
      <c r="J17" s="1039">
        <v>420090</v>
      </c>
      <c r="K17" s="1086" t="s">
        <v>2400</v>
      </c>
      <c r="L17" s="1076">
        <v>0</v>
      </c>
      <c r="M17" s="1076">
        <f>L14</f>
        <v>5817830</v>
      </c>
      <c r="N17" s="1042" t="s">
        <v>1566</v>
      </c>
      <c r="O17" s="575"/>
      <c r="P17" s="1043" t="s">
        <v>515</v>
      </c>
      <c r="Q17" s="1066" t="s">
        <v>614</v>
      </c>
      <c r="R17" s="1045">
        <f>+W27</f>
        <v>1112741366</v>
      </c>
      <c r="S17" s="575"/>
      <c r="T17" s="1073" t="s">
        <v>1565</v>
      </c>
      <c r="U17" s="1074" t="s">
        <v>1566</v>
      </c>
      <c r="V17" s="1074" t="s">
        <v>614</v>
      </c>
      <c r="W17" s="1075">
        <v>5817830</v>
      </c>
    </row>
    <row r="18" spans="4:23" ht="18" customHeight="1">
      <c r="D18" s="1077">
        <v>111763</v>
      </c>
      <c r="E18" s="668" t="s">
        <v>30</v>
      </c>
      <c r="F18" s="668">
        <f t="shared" si="1"/>
        <v>0</v>
      </c>
      <c r="G18" s="668">
        <f t="shared" si="2"/>
        <v>0</v>
      </c>
      <c r="H18" s="1078">
        <f t="shared" si="3"/>
        <v>0</v>
      </c>
      <c r="J18" s="1051">
        <v>640000</v>
      </c>
      <c r="K18" s="1087" t="s">
        <v>2280</v>
      </c>
      <c r="L18" s="1088">
        <v>0</v>
      </c>
      <c r="M18" s="1088">
        <f>L15+L16</f>
        <v>4007926</v>
      </c>
      <c r="N18" s="1054" t="s">
        <v>1566</v>
      </c>
      <c r="O18" s="575"/>
      <c r="P18" s="1043" t="s">
        <v>515</v>
      </c>
      <c r="Q18" s="1066" t="s">
        <v>619</v>
      </c>
      <c r="R18" s="1045">
        <v>0</v>
      </c>
      <c r="S18" s="575"/>
      <c r="T18" s="1073" t="s">
        <v>1565</v>
      </c>
      <c r="U18" s="1074" t="s">
        <v>1566</v>
      </c>
      <c r="V18" s="1074" t="s">
        <v>619</v>
      </c>
      <c r="W18" s="1075">
        <v>2696524</v>
      </c>
    </row>
    <row r="19" spans="4:23" ht="18" customHeight="1">
      <c r="D19" s="1077">
        <v>111911</v>
      </c>
      <c r="E19" s="668" t="s">
        <v>31</v>
      </c>
      <c r="F19" s="668">
        <f t="shared" si="1"/>
        <v>0</v>
      </c>
      <c r="G19" s="668">
        <f t="shared" si="2"/>
        <v>0</v>
      </c>
      <c r="H19" s="1078">
        <f t="shared" si="3"/>
        <v>0</v>
      </c>
      <c r="J19" s="1083">
        <v>640000</v>
      </c>
      <c r="K19" s="1089" t="s">
        <v>296</v>
      </c>
      <c r="L19" s="1040">
        <v>0</v>
      </c>
      <c r="M19" s="1041">
        <f>R13</f>
        <v>371920800</v>
      </c>
      <c r="N19" s="1042" t="s">
        <v>15</v>
      </c>
      <c r="O19" s="575"/>
      <c r="P19" s="1043" t="s">
        <v>515</v>
      </c>
      <c r="Q19" s="1066" t="s">
        <v>2824</v>
      </c>
      <c r="R19" s="1045">
        <v>0</v>
      </c>
      <c r="S19" s="575"/>
      <c r="T19" s="1073" t="s">
        <v>1565</v>
      </c>
      <c r="U19" s="1074" t="s">
        <v>1566</v>
      </c>
      <c r="V19" s="1074" t="s">
        <v>2277</v>
      </c>
      <c r="W19" s="1075">
        <v>1311402</v>
      </c>
    </row>
    <row r="20" spans="4:23" ht="18" customHeight="1">
      <c r="D20" s="1077">
        <v>111912</v>
      </c>
      <c r="E20" s="668" t="s">
        <v>2393</v>
      </c>
      <c r="F20" s="668">
        <f t="shared" si="1"/>
        <v>1500000000</v>
      </c>
      <c r="G20" s="668">
        <f t="shared" si="2"/>
        <v>1500000000</v>
      </c>
      <c r="H20" s="1078">
        <f t="shared" ref="H20:H28" si="4">F20-G20</f>
        <v>0</v>
      </c>
      <c r="J20" s="1083">
        <v>647000</v>
      </c>
      <c r="K20" s="1089" t="s">
        <v>308</v>
      </c>
      <c r="L20" s="1040">
        <v>0</v>
      </c>
      <c r="M20" s="1041">
        <f>+R14</f>
        <v>93209400</v>
      </c>
      <c r="N20" s="1042" t="s">
        <v>15</v>
      </c>
      <c r="O20" s="575"/>
      <c r="P20" s="1043" t="s">
        <v>515</v>
      </c>
      <c r="Q20" s="1066" t="s">
        <v>318</v>
      </c>
      <c r="R20" s="1045">
        <v>0</v>
      </c>
      <c r="S20" s="575"/>
      <c r="T20" s="1073" t="s">
        <v>1565</v>
      </c>
      <c r="U20" s="1074" t="s">
        <v>1566</v>
      </c>
      <c r="V20" s="1074" t="s">
        <v>2361</v>
      </c>
      <c r="W20" s="1075">
        <v>371920800</v>
      </c>
    </row>
    <row r="21" spans="4:23" ht="18" customHeight="1">
      <c r="D21" s="1077" t="s">
        <v>1688</v>
      </c>
      <c r="E21" s="668" t="s">
        <v>1548</v>
      </c>
      <c r="F21" s="668">
        <f t="shared" si="1"/>
        <v>0</v>
      </c>
      <c r="G21" s="668">
        <f t="shared" si="2"/>
        <v>0</v>
      </c>
      <c r="H21" s="1078">
        <f t="shared" si="4"/>
        <v>0</v>
      </c>
      <c r="J21" s="1093">
        <v>410899</v>
      </c>
      <c r="K21" s="1087" t="s">
        <v>237</v>
      </c>
      <c r="L21" s="1088">
        <f>M19+M20</f>
        <v>465130200</v>
      </c>
      <c r="M21" s="1088">
        <v>0</v>
      </c>
      <c r="N21" s="1054" t="s">
        <v>1566</v>
      </c>
      <c r="O21" s="575"/>
      <c r="P21" s="1090" t="s">
        <v>2081</v>
      </c>
      <c r="Q21" s="1091" t="s">
        <v>60</v>
      </c>
      <c r="R21" s="1092">
        <f>W29</f>
        <v>0</v>
      </c>
      <c r="S21" s="575"/>
      <c r="T21" s="1073" t="s">
        <v>1565</v>
      </c>
      <c r="U21" s="1074" t="s">
        <v>1566</v>
      </c>
      <c r="V21" s="1074" t="s">
        <v>2273</v>
      </c>
      <c r="W21" s="1075">
        <v>93209400</v>
      </c>
    </row>
    <row r="22" spans="4:23" ht="18" customHeight="1">
      <c r="D22" s="1077">
        <v>112111</v>
      </c>
      <c r="E22" s="668" t="s">
        <v>32</v>
      </c>
      <c r="F22" s="668">
        <f t="shared" si="1"/>
        <v>0</v>
      </c>
      <c r="G22" s="668">
        <f t="shared" si="2"/>
        <v>0</v>
      </c>
      <c r="H22" s="1078">
        <f t="shared" si="4"/>
        <v>0</v>
      </c>
      <c r="J22" s="1064">
        <v>111711</v>
      </c>
      <c r="K22" s="1065" t="s">
        <v>24</v>
      </c>
      <c r="L22" s="1081">
        <v>0</v>
      </c>
      <c r="M22" s="1072">
        <f>R15</f>
        <v>0</v>
      </c>
      <c r="N22" s="1082" t="s">
        <v>15</v>
      </c>
      <c r="O22" s="575"/>
      <c r="P22" s="1043" t="s">
        <v>2081</v>
      </c>
      <c r="Q22" s="1066" t="s">
        <v>32</v>
      </c>
      <c r="R22" s="1045">
        <v>0</v>
      </c>
      <c r="S22" s="575"/>
      <c r="T22" s="1069" t="s">
        <v>1569</v>
      </c>
      <c r="U22" s="1070" t="s">
        <v>511</v>
      </c>
      <c r="V22" s="1070" t="s">
        <v>21</v>
      </c>
      <c r="W22" s="1071">
        <v>295774241</v>
      </c>
    </row>
    <row r="23" spans="4:23" ht="18" customHeight="1">
      <c r="D23" s="1077">
        <v>112113</v>
      </c>
      <c r="E23" s="668" t="s">
        <v>33</v>
      </c>
      <c r="F23" s="668">
        <f t="shared" si="1"/>
        <v>0</v>
      </c>
      <c r="G23" s="668">
        <f t="shared" si="2"/>
        <v>0</v>
      </c>
      <c r="H23" s="1078">
        <f t="shared" si="4"/>
        <v>0</v>
      </c>
      <c r="J23" s="1051">
        <v>213100</v>
      </c>
      <c r="K23" s="1052" t="s">
        <v>144</v>
      </c>
      <c r="L23" s="1088">
        <f>+M22</f>
        <v>0</v>
      </c>
      <c r="M23" s="1088">
        <v>0</v>
      </c>
      <c r="N23" s="1054" t="s">
        <v>515</v>
      </c>
      <c r="O23" s="575"/>
      <c r="P23" s="1043" t="s">
        <v>2081</v>
      </c>
      <c r="Q23" s="1044" t="s">
        <v>144</v>
      </c>
      <c r="R23" s="1045">
        <v>0</v>
      </c>
      <c r="S23" s="575"/>
      <c r="T23" s="1094" t="s">
        <v>1569</v>
      </c>
      <c r="U23" s="1095" t="s">
        <v>511</v>
      </c>
      <c r="V23" s="1095" t="s">
        <v>22</v>
      </c>
      <c r="W23" s="1096">
        <v>12936505186</v>
      </c>
    </row>
    <row r="24" spans="4:23" ht="18" customHeight="1">
      <c r="D24" s="1077">
        <v>112115</v>
      </c>
      <c r="E24" s="668" t="s">
        <v>34</v>
      </c>
      <c r="F24" s="668">
        <f t="shared" si="1"/>
        <v>0</v>
      </c>
      <c r="G24" s="668">
        <f t="shared" si="2"/>
        <v>0</v>
      </c>
      <c r="H24" s="1078">
        <f t="shared" si="4"/>
        <v>0</v>
      </c>
      <c r="J24" s="1064">
        <v>111731</v>
      </c>
      <c r="K24" s="1065" t="s">
        <v>26</v>
      </c>
      <c r="L24" s="1081">
        <v>0</v>
      </c>
      <c r="M24" s="1072">
        <f>R16</f>
        <v>0</v>
      </c>
      <c r="N24" s="1082" t="s">
        <v>15</v>
      </c>
      <c r="O24" s="575"/>
      <c r="P24" s="1043" t="s">
        <v>2081</v>
      </c>
      <c r="Q24" s="1044" t="s">
        <v>2398</v>
      </c>
      <c r="R24" s="1045">
        <f>W33</f>
        <v>1930081942</v>
      </c>
      <c r="S24" s="575"/>
      <c r="T24" s="1073" t="s">
        <v>1569</v>
      </c>
      <c r="U24" s="1074" t="s">
        <v>511</v>
      </c>
      <c r="V24" s="1074" t="s">
        <v>179</v>
      </c>
      <c r="W24" s="1075">
        <v>-36000</v>
      </c>
    </row>
    <row r="25" spans="4:23" ht="18" customHeight="1">
      <c r="D25" s="1077">
        <v>112116</v>
      </c>
      <c r="E25" s="668" t="s">
        <v>35</v>
      </c>
      <c r="F25" s="668">
        <f t="shared" si="1"/>
        <v>0</v>
      </c>
      <c r="G25" s="668">
        <f t="shared" si="2"/>
        <v>0</v>
      </c>
      <c r="H25" s="1078">
        <f t="shared" si="4"/>
        <v>0</v>
      </c>
      <c r="J25" s="1083">
        <v>214364</v>
      </c>
      <c r="K25" s="1086" t="s">
        <v>2022</v>
      </c>
      <c r="L25" s="1041">
        <f>R19</f>
        <v>0</v>
      </c>
      <c r="M25" s="1040">
        <v>0</v>
      </c>
      <c r="N25" s="1042" t="s">
        <v>15</v>
      </c>
      <c r="O25" s="575"/>
      <c r="P25" s="1043" t="s">
        <v>2081</v>
      </c>
      <c r="Q25" s="1044" t="s">
        <v>2399</v>
      </c>
      <c r="R25" s="1045">
        <f>W34</f>
        <v>37909532</v>
      </c>
      <c r="S25" s="575"/>
      <c r="T25" s="1073" t="s">
        <v>1569</v>
      </c>
      <c r="U25" s="1074" t="s">
        <v>511</v>
      </c>
      <c r="V25" s="1074" t="s">
        <v>526</v>
      </c>
      <c r="W25" s="1075">
        <v>101649635</v>
      </c>
    </row>
    <row r="26" spans="4:23" ht="18" customHeight="1">
      <c r="D26" s="1077">
        <v>112300</v>
      </c>
      <c r="E26" s="668" t="s">
        <v>1823</v>
      </c>
      <c r="F26" s="668">
        <f t="shared" si="1"/>
        <v>0</v>
      </c>
      <c r="G26" s="668">
        <f t="shared" si="2"/>
        <v>0</v>
      </c>
      <c r="H26" s="1078">
        <f t="shared" si="4"/>
        <v>0</v>
      </c>
      <c r="J26" s="1083">
        <v>214250</v>
      </c>
      <c r="K26" s="1086" t="s">
        <v>1829</v>
      </c>
      <c r="L26" s="1040">
        <v>0</v>
      </c>
      <c r="M26" s="1040">
        <v>0</v>
      </c>
      <c r="N26" s="1042" t="s">
        <v>15</v>
      </c>
      <c r="O26" s="575"/>
      <c r="P26" s="1043" t="s">
        <v>2081</v>
      </c>
      <c r="Q26" s="1044" t="s">
        <v>2426</v>
      </c>
      <c r="R26" s="1045">
        <f>W35</f>
        <v>2500000</v>
      </c>
      <c r="S26" s="575"/>
      <c r="T26" s="1069" t="s">
        <v>1579</v>
      </c>
      <c r="U26" s="1070" t="s">
        <v>515</v>
      </c>
      <c r="V26" s="1070" t="s">
        <v>21</v>
      </c>
      <c r="W26" s="1071">
        <v>-29999999995</v>
      </c>
    </row>
    <row r="27" spans="4:23" ht="18" customHeight="1">
      <c r="D27" s="1077">
        <v>112301</v>
      </c>
      <c r="E27" s="668" t="s">
        <v>2394</v>
      </c>
      <c r="F27" s="668">
        <f t="shared" si="1"/>
        <v>43857535</v>
      </c>
      <c r="G27" s="668">
        <f t="shared" si="2"/>
        <v>43857535</v>
      </c>
      <c r="H27" s="1078">
        <f t="shared" si="4"/>
        <v>0</v>
      </c>
      <c r="J27" s="1051">
        <v>211111</v>
      </c>
      <c r="K27" s="1052" t="s">
        <v>138</v>
      </c>
      <c r="L27" s="1053">
        <f>M24-L25-L26</f>
        <v>0</v>
      </c>
      <c r="M27" s="1053">
        <v>0</v>
      </c>
      <c r="N27" s="1054" t="s">
        <v>515</v>
      </c>
      <c r="O27" s="575"/>
      <c r="P27" s="1043" t="s">
        <v>2081</v>
      </c>
      <c r="Q27" s="1044" t="s">
        <v>2872</v>
      </c>
      <c r="R27" s="1045">
        <f>W36</f>
        <v>3600000</v>
      </c>
      <c r="S27" s="575"/>
      <c r="T27" s="1073" t="s">
        <v>1579</v>
      </c>
      <c r="U27" s="1074" t="s">
        <v>515</v>
      </c>
      <c r="V27" s="1074" t="s">
        <v>614</v>
      </c>
      <c r="W27" s="1097">
        <v>1112741366</v>
      </c>
    </row>
    <row r="28" spans="4:23" ht="18" customHeight="1">
      <c r="D28" s="1077">
        <v>112302</v>
      </c>
      <c r="E28" s="668" t="s">
        <v>1824</v>
      </c>
      <c r="F28" s="668">
        <f t="shared" si="1"/>
        <v>0</v>
      </c>
      <c r="G28" s="668">
        <f t="shared" si="2"/>
        <v>0</v>
      </c>
      <c r="H28" s="1078">
        <f t="shared" si="4"/>
        <v>0</v>
      </c>
      <c r="J28" s="1064">
        <v>410240</v>
      </c>
      <c r="K28" s="1065" t="s">
        <v>619</v>
      </c>
      <c r="L28" s="1072">
        <f>R18</f>
        <v>0</v>
      </c>
      <c r="M28" s="1081">
        <v>0</v>
      </c>
      <c r="N28" s="1082" t="s">
        <v>15</v>
      </c>
      <c r="O28" s="575"/>
      <c r="P28" s="1043" t="s">
        <v>2081</v>
      </c>
      <c r="Q28" s="1044" t="s">
        <v>2485</v>
      </c>
      <c r="R28" s="1045">
        <f>1200000+18975000+5967110+200000+200000+200000+200000+200000+200000</f>
        <v>27342110</v>
      </c>
      <c r="S28" s="575"/>
      <c r="T28" s="1102" t="s">
        <v>2019</v>
      </c>
      <c r="U28" s="1103" t="s">
        <v>2020</v>
      </c>
      <c r="V28" s="1103" t="s">
        <v>21</v>
      </c>
      <c r="W28" s="1104">
        <v>-198548000</v>
      </c>
    </row>
    <row r="29" spans="4:23" ht="18" customHeight="1">
      <c r="D29" s="1077">
        <v>113310</v>
      </c>
      <c r="E29" s="668" t="s">
        <v>37</v>
      </c>
      <c r="F29" s="552">
        <f t="shared" si="1"/>
        <v>0</v>
      </c>
      <c r="G29" s="552">
        <f t="shared" si="2"/>
        <v>0</v>
      </c>
      <c r="H29" s="1068">
        <f t="shared" si="3"/>
        <v>0</v>
      </c>
      <c r="J29" s="1051">
        <v>420199</v>
      </c>
      <c r="K29" s="1052" t="s">
        <v>242</v>
      </c>
      <c r="L29" s="1088">
        <v>0</v>
      </c>
      <c r="M29" s="1088">
        <f>+L28</f>
        <v>0</v>
      </c>
      <c r="N29" s="1054" t="s">
        <v>515</v>
      </c>
      <c r="O29" s="575"/>
      <c r="P29" s="1043" t="s">
        <v>2081</v>
      </c>
      <c r="Q29" s="1044" t="s">
        <v>318</v>
      </c>
      <c r="R29" s="1045">
        <f>W37</f>
        <v>46841095</v>
      </c>
      <c r="S29" s="575"/>
      <c r="T29" s="1058" t="s">
        <v>2080</v>
      </c>
      <c r="U29" s="1059" t="s">
        <v>2081</v>
      </c>
      <c r="V29" s="1059" t="s">
        <v>60</v>
      </c>
      <c r="W29" s="1060">
        <v>0</v>
      </c>
    </row>
    <row r="30" spans="4:23" ht="18" customHeight="1" thickBot="1">
      <c r="D30" s="1098"/>
      <c r="E30" s="1099" t="s">
        <v>38</v>
      </c>
      <c r="F30" s="1062"/>
      <c r="G30" s="1062"/>
      <c r="H30" s="1063"/>
      <c r="J30" s="1064">
        <v>410130</v>
      </c>
      <c r="K30" s="1065" t="s">
        <v>614</v>
      </c>
      <c r="L30" s="1072">
        <f>R17</f>
        <v>1112741366</v>
      </c>
      <c r="M30" s="1081">
        <v>0</v>
      </c>
      <c r="N30" s="1082" t="s">
        <v>15</v>
      </c>
      <c r="O30" s="575"/>
      <c r="P30" s="1043" t="s">
        <v>2081</v>
      </c>
      <c r="Q30" s="1066" t="s">
        <v>2599</v>
      </c>
      <c r="R30" s="1045">
        <f>+W38</f>
        <v>1543857535</v>
      </c>
      <c r="S30" s="575"/>
      <c r="T30" s="1058" t="s">
        <v>2080</v>
      </c>
      <c r="U30" s="1059" t="s">
        <v>2081</v>
      </c>
      <c r="V30" s="1059" t="s">
        <v>67</v>
      </c>
      <c r="W30" s="1060">
        <v>281696103</v>
      </c>
    </row>
    <row r="31" spans="4:23" ht="18" customHeight="1">
      <c r="D31" s="1067">
        <v>111391</v>
      </c>
      <c r="E31" s="552" t="s">
        <v>39</v>
      </c>
      <c r="F31" s="552">
        <f t="shared" ref="F31:G34" si="5">SUMIF($J:$J,$D31,L:L)</f>
        <v>0</v>
      </c>
      <c r="G31" s="552">
        <f t="shared" si="5"/>
        <v>0</v>
      </c>
      <c r="H31" s="1068">
        <f>F31-G31</f>
        <v>0</v>
      </c>
      <c r="J31" s="1083">
        <v>646000</v>
      </c>
      <c r="K31" s="1089" t="s">
        <v>306</v>
      </c>
      <c r="L31" s="1040">
        <v>0</v>
      </c>
      <c r="M31" s="1076">
        <v>0</v>
      </c>
      <c r="N31" s="1042" t="s">
        <v>515</v>
      </c>
      <c r="O31" s="575"/>
      <c r="P31" s="2048"/>
      <c r="Q31" s="2049"/>
      <c r="R31" s="2050"/>
      <c r="S31" s="575"/>
      <c r="T31" s="1058" t="s">
        <v>2080</v>
      </c>
      <c r="U31" s="1059" t="s">
        <v>2081</v>
      </c>
      <c r="V31" s="1059" t="s">
        <v>95</v>
      </c>
      <c r="W31" s="1107">
        <v>-250000</v>
      </c>
    </row>
    <row r="32" spans="4:23" ht="18" customHeight="1">
      <c r="D32" s="1067">
        <v>111410</v>
      </c>
      <c r="E32" s="552" t="s">
        <v>40</v>
      </c>
      <c r="F32" s="552">
        <f t="shared" si="5"/>
        <v>0</v>
      </c>
      <c r="G32" s="552">
        <f t="shared" si="5"/>
        <v>0</v>
      </c>
      <c r="H32" s="1068">
        <f>F32-G32</f>
        <v>0</v>
      </c>
      <c r="J32" s="1051">
        <v>420090</v>
      </c>
      <c r="K32" s="1052" t="s">
        <v>240</v>
      </c>
      <c r="L32" s="1053">
        <v>0</v>
      </c>
      <c r="M32" s="1088">
        <f>L30-M31</f>
        <v>1112741366</v>
      </c>
      <c r="N32" s="1054" t="s">
        <v>515</v>
      </c>
      <c r="O32" s="740"/>
      <c r="P32" s="1044"/>
      <c r="Q32" s="1066"/>
      <c r="R32" s="2051"/>
      <c r="S32" s="575"/>
      <c r="T32" s="1116" t="s">
        <v>2080</v>
      </c>
      <c r="U32" s="1117" t="s">
        <v>2081</v>
      </c>
      <c r="V32" s="1117" t="s">
        <v>179</v>
      </c>
      <c r="W32" s="1118">
        <v>300000</v>
      </c>
    </row>
    <row r="33" spans="4:23" ht="18" customHeight="1">
      <c r="D33" s="1108" t="s">
        <v>219</v>
      </c>
      <c r="E33" s="552" t="s">
        <v>41</v>
      </c>
      <c r="F33" s="552">
        <f t="shared" si="5"/>
        <v>0</v>
      </c>
      <c r="G33" s="552">
        <f t="shared" si="5"/>
        <v>0</v>
      </c>
      <c r="H33" s="1068">
        <f>F33-G33</f>
        <v>0</v>
      </c>
      <c r="J33" s="1039">
        <v>711191</v>
      </c>
      <c r="K33" s="925" t="s">
        <v>318</v>
      </c>
      <c r="L33" s="1041">
        <f>R20</f>
        <v>0</v>
      </c>
      <c r="M33" s="1076">
        <v>0</v>
      </c>
      <c r="N33" s="1042" t="s">
        <v>15</v>
      </c>
      <c r="O33" s="575"/>
      <c r="P33" s="575"/>
      <c r="Q33" s="575"/>
      <c r="R33" s="575"/>
      <c r="S33" s="575"/>
      <c r="T33" s="1116" t="s">
        <v>2080</v>
      </c>
      <c r="U33" s="1117" t="s">
        <v>2081</v>
      </c>
      <c r="V33" s="1117" t="s">
        <v>2398</v>
      </c>
      <c r="W33" s="1118">
        <v>1930081942</v>
      </c>
    </row>
    <row r="34" spans="4:23" ht="18" customHeight="1">
      <c r="D34" s="1108" t="s">
        <v>220</v>
      </c>
      <c r="E34" s="552" t="s">
        <v>42</v>
      </c>
      <c r="F34" s="552">
        <f t="shared" si="5"/>
        <v>0</v>
      </c>
      <c r="G34" s="552">
        <f t="shared" si="5"/>
        <v>0</v>
      </c>
      <c r="H34" s="1068">
        <f>F34-G34</f>
        <v>0</v>
      </c>
      <c r="J34" s="1130">
        <v>731200</v>
      </c>
      <c r="K34" s="1131" t="s">
        <v>337</v>
      </c>
      <c r="L34" s="1800">
        <v>0</v>
      </c>
      <c r="M34" s="1800">
        <f>+L33</f>
        <v>0</v>
      </c>
      <c r="N34" s="1133" t="s">
        <v>515</v>
      </c>
      <c r="O34" s="575"/>
      <c r="P34" s="1100"/>
      <c r="Q34" s="1100"/>
      <c r="R34" s="1101"/>
      <c r="S34" s="575"/>
      <c r="T34" s="1116" t="s">
        <v>2080</v>
      </c>
      <c r="U34" s="1117" t="s">
        <v>2081</v>
      </c>
      <c r="V34" s="1117" t="s">
        <v>2399</v>
      </c>
      <c r="W34" s="1118">
        <v>37909532</v>
      </c>
    </row>
    <row r="35" spans="4:23" ht="18" customHeight="1">
      <c r="D35" s="1061"/>
      <c r="E35" s="1062" t="s">
        <v>2</v>
      </c>
      <c r="F35" s="1062"/>
      <c r="G35" s="1062"/>
      <c r="H35" s="1063"/>
      <c r="J35" s="1112">
        <v>213100</v>
      </c>
      <c r="K35" s="1110" t="s">
        <v>144</v>
      </c>
      <c r="L35" s="1113">
        <f>R23</f>
        <v>0</v>
      </c>
      <c r="M35" s="1114">
        <v>0</v>
      </c>
      <c r="N35" s="1111" t="s">
        <v>15</v>
      </c>
      <c r="O35" s="575"/>
      <c r="P35" s="1105"/>
      <c r="Q35" s="1106"/>
      <c r="R35" s="925"/>
      <c r="S35" s="575"/>
      <c r="T35" s="1116" t="s">
        <v>2080</v>
      </c>
      <c r="U35" s="1117" t="s">
        <v>2081</v>
      </c>
      <c r="V35" s="1117" t="s">
        <v>2426</v>
      </c>
      <c r="W35" s="1118">
        <v>2500000</v>
      </c>
    </row>
    <row r="36" spans="4:23" ht="18" customHeight="1">
      <c r="D36" s="1067">
        <v>115100</v>
      </c>
      <c r="E36" s="552" t="s">
        <v>43</v>
      </c>
      <c r="F36" s="552">
        <f t="shared" ref="F36:F44" si="6">SUMIF($J:$J,$D36,L:L)</f>
        <v>0</v>
      </c>
      <c r="G36" s="552">
        <f t="shared" ref="G36:G44" si="7">SUMIF($J:$J,$D36,M:M)</f>
        <v>0</v>
      </c>
      <c r="H36" s="1068">
        <f t="shared" ref="H36:H44" si="8">F36-G36</f>
        <v>0</v>
      </c>
      <c r="J36" s="1119">
        <v>111711</v>
      </c>
      <c r="K36" s="1052" t="s">
        <v>24</v>
      </c>
      <c r="L36" s="1088">
        <v>0</v>
      </c>
      <c r="M36" s="1088">
        <f>L35</f>
        <v>0</v>
      </c>
      <c r="N36" s="1054" t="s">
        <v>2362</v>
      </c>
      <c r="O36" s="575"/>
      <c r="P36" s="575"/>
      <c r="Q36" s="936"/>
      <c r="R36" s="925"/>
      <c r="S36" s="575"/>
      <c r="T36" s="1116" t="s">
        <v>2080</v>
      </c>
      <c r="U36" s="1117" t="s">
        <v>2081</v>
      </c>
      <c r="V36" s="1117" t="s">
        <v>2871</v>
      </c>
      <c r="W36" s="1118">
        <v>3600000</v>
      </c>
    </row>
    <row r="37" spans="4:23" ht="18" customHeight="1">
      <c r="D37" s="1067">
        <v>115170</v>
      </c>
      <c r="E37" s="552" t="s">
        <v>44</v>
      </c>
      <c r="F37" s="552">
        <f t="shared" si="6"/>
        <v>0</v>
      </c>
      <c r="G37" s="552">
        <f t="shared" si="7"/>
        <v>0</v>
      </c>
      <c r="H37" s="1068">
        <f t="shared" si="8"/>
        <v>0</v>
      </c>
      <c r="J37" s="1112">
        <v>112111</v>
      </c>
      <c r="K37" s="1110" t="s">
        <v>32</v>
      </c>
      <c r="L37" s="2052">
        <v>0</v>
      </c>
      <c r="M37" s="1113">
        <f>R22</f>
        <v>0</v>
      </c>
      <c r="N37" s="1111" t="s">
        <v>15</v>
      </c>
      <c r="O37" s="575"/>
      <c r="P37" s="1109"/>
      <c r="Q37" s="925"/>
      <c r="R37" s="925"/>
      <c r="S37" s="575"/>
      <c r="T37" s="1116" t="s">
        <v>2080</v>
      </c>
      <c r="U37" s="1117" t="s">
        <v>2081</v>
      </c>
      <c r="V37" s="1117" t="s">
        <v>318</v>
      </c>
      <c r="W37" s="1118">
        <v>46841095</v>
      </c>
    </row>
    <row r="38" spans="4:23" ht="18" customHeight="1" thickBot="1">
      <c r="D38" s="1067">
        <v>115200</v>
      </c>
      <c r="E38" s="552" t="s">
        <v>45</v>
      </c>
      <c r="F38" s="552">
        <f t="shared" si="6"/>
        <v>0</v>
      </c>
      <c r="G38" s="552">
        <f t="shared" si="7"/>
        <v>0</v>
      </c>
      <c r="H38" s="1068">
        <f t="shared" si="8"/>
        <v>0</v>
      </c>
      <c r="J38" s="1119">
        <v>213100</v>
      </c>
      <c r="K38" s="1052" t="s">
        <v>144</v>
      </c>
      <c r="L38" s="1053">
        <f>M37</f>
        <v>0</v>
      </c>
      <c r="M38" s="1053">
        <f>L37</f>
        <v>0</v>
      </c>
      <c r="N38" s="1054" t="s">
        <v>2362</v>
      </c>
      <c r="O38" s="575"/>
      <c r="P38" s="1109"/>
      <c r="Q38" s="925"/>
      <c r="R38" s="925"/>
      <c r="S38" s="575"/>
      <c r="T38" s="1121" t="s">
        <v>2080</v>
      </c>
      <c r="U38" s="1122" t="s">
        <v>2081</v>
      </c>
      <c r="V38" s="1122" t="s">
        <v>2599</v>
      </c>
      <c r="W38" s="1123">
        <v>1543857535</v>
      </c>
    </row>
    <row r="39" spans="4:23" ht="18" customHeight="1">
      <c r="D39" s="1067">
        <v>115270</v>
      </c>
      <c r="E39" s="552" t="s">
        <v>46</v>
      </c>
      <c r="F39" s="552">
        <f t="shared" si="6"/>
        <v>0</v>
      </c>
      <c r="G39" s="552">
        <f t="shared" si="7"/>
        <v>0</v>
      </c>
      <c r="H39" s="1068">
        <f t="shared" si="8"/>
        <v>0</v>
      </c>
      <c r="J39" s="1064">
        <v>112511</v>
      </c>
      <c r="K39" s="1065" t="s">
        <v>60</v>
      </c>
      <c r="L39" s="1120">
        <v>0</v>
      </c>
      <c r="M39" s="2088">
        <v>0</v>
      </c>
      <c r="N39" s="1082" t="s">
        <v>15</v>
      </c>
      <c r="O39" s="575"/>
      <c r="P39" s="575"/>
      <c r="Q39" s="925"/>
      <c r="R39" s="925"/>
      <c r="S39" s="575"/>
      <c r="T39" s="575"/>
      <c r="U39" s="577"/>
      <c r="V39" s="577"/>
      <c r="W39" s="1126"/>
    </row>
    <row r="40" spans="4:23" ht="18" customHeight="1">
      <c r="D40" s="1067">
        <v>115300</v>
      </c>
      <c r="E40" s="552" t="s">
        <v>47</v>
      </c>
      <c r="F40" s="552">
        <f t="shared" si="6"/>
        <v>0</v>
      </c>
      <c r="G40" s="552">
        <f t="shared" si="7"/>
        <v>0</v>
      </c>
      <c r="H40" s="1068">
        <f t="shared" si="8"/>
        <v>0</v>
      </c>
      <c r="J40" s="1039">
        <v>640000</v>
      </c>
      <c r="K40" s="1086" t="s">
        <v>296</v>
      </c>
      <c r="L40" s="1124">
        <v>0</v>
      </c>
      <c r="M40" s="1125">
        <f>R24</f>
        <v>1930081942</v>
      </c>
      <c r="N40" s="1042" t="s">
        <v>15</v>
      </c>
      <c r="O40" s="575"/>
      <c r="P40" s="577"/>
      <c r="Q40" s="925"/>
      <c r="R40" s="925"/>
      <c r="S40" s="575"/>
      <c r="T40" s="575"/>
      <c r="U40" s="577"/>
      <c r="V40" s="577"/>
      <c r="W40" s="1126"/>
    </row>
    <row r="41" spans="4:23" ht="18" customHeight="1">
      <c r="D41" s="1067">
        <v>115350</v>
      </c>
      <c r="E41" s="552" t="s">
        <v>48</v>
      </c>
      <c r="F41" s="552">
        <f t="shared" si="6"/>
        <v>0</v>
      </c>
      <c r="G41" s="552">
        <f t="shared" si="7"/>
        <v>0</v>
      </c>
      <c r="H41" s="1068">
        <f t="shared" si="8"/>
        <v>0</v>
      </c>
      <c r="J41" s="1039">
        <v>640000</v>
      </c>
      <c r="K41" s="1086" t="s">
        <v>296</v>
      </c>
      <c r="L41" s="1124">
        <v>0</v>
      </c>
      <c r="M41" s="1125">
        <f>R25</f>
        <v>37909532</v>
      </c>
      <c r="N41" s="1042" t="s">
        <v>15</v>
      </c>
      <c r="O41" s="575"/>
      <c r="P41" s="1115"/>
      <c r="Q41" s="936"/>
      <c r="R41" s="925"/>
      <c r="S41" s="575"/>
      <c r="T41" s="575"/>
      <c r="U41" s="577"/>
      <c r="V41" s="577"/>
      <c r="W41" s="1126"/>
    </row>
    <row r="42" spans="4:23" ht="18" customHeight="1">
      <c r="D42" s="1067">
        <v>115400</v>
      </c>
      <c r="E42" s="552" t="s">
        <v>49</v>
      </c>
      <c r="F42" s="552">
        <f t="shared" si="6"/>
        <v>0</v>
      </c>
      <c r="G42" s="552">
        <f t="shared" si="7"/>
        <v>0</v>
      </c>
      <c r="H42" s="1068">
        <f t="shared" si="8"/>
        <v>0</v>
      </c>
      <c r="J42" s="1083">
        <v>214100</v>
      </c>
      <c r="K42" s="925" t="s">
        <v>163</v>
      </c>
      <c r="L42" s="2087">
        <f>M39+M40+M41-L43-L44</f>
        <v>-5946668</v>
      </c>
      <c r="M42" s="1124">
        <v>0</v>
      </c>
      <c r="N42" s="1042" t="s">
        <v>2362</v>
      </c>
      <c r="O42" s="575"/>
      <c r="P42" s="1109"/>
      <c r="Q42" s="925"/>
      <c r="R42" s="925"/>
      <c r="S42" s="575"/>
      <c r="T42" s="575"/>
      <c r="U42" s="577"/>
      <c r="V42" s="577"/>
      <c r="W42" s="1126"/>
    </row>
    <row r="43" spans="4:23" ht="18" customHeight="1">
      <c r="D43" s="1067">
        <v>115470</v>
      </c>
      <c r="E43" s="552" t="s">
        <v>50</v>
      </c>
      <c r="F43" s="552">
        <f t="shared" si="6"/>
        <v>0</v>
      </c>
      <c r="G43" s="552">
        <f t="shared" si="7"/>
        <v>0</v>
      </c>
      <c r="H43" s="1068">
        <f t="shared" si="8"/>
        <v>0</v>
      </c>
      <c r="J43" s="1083">
        <v>214400</v>
      </c>
      <c r="K43" s="925" t="s">
        <v>168</v>
      </c>
      <c r="L43" s="1124">
        <v>0</v>
      </c>
      <c r="M43" s="1124">
        <v>0</v>
      </c>
      <c r="N43" s="1042" t="s">
        <v>2362</v>
      </c>
      <c r="O43" s="575"/>
      <c r="P43" s="1109"/>
      <c r="Q43" s="925"/>
      <c r="R43" s="925"/>
      <c r="S43" s="575"/>
      <c r="T43" s="575"/>
      <c r="U43" s="577"/>
      <c r="V43" s="577"/>
      <c r="W43" s="1126"/>
    </row>
    <row r="44" spans="4:23" ht="18" customHeight="1">
      <c r="D44" s="1067">
        <v>115800</v>
      </c>
      <c r="E44" s="552" t="s">
        <v>51</v>
      </c>
      <c r="F44" s="552">
        <f t="shared" si="6"/>
        <v>0</v>
      </c>
      <c r="G44" s="552">
        <f t="shared" si="7"/>
        <v>0</v>
      </c>
      <c r="H44" s="1068">
        <f t="shared" si="8"/>
        <v>0</v>
      </c>
      <c r="J44" s="1039">
        <v>410899</v>
      </c>
      <c r="K44" s="925" t="s">
        <v>237</v>
      </c>
      <c r="L44" s="1124">
        <v>1973938142</v>
      </c>
      <c r="M44" s="1124">
        <v>0</v>
      </c>
      <c r="N44" s="1042" t="s">
        <v>2362</v>
      </c>
      <c r="O44" s="575"/>
      <c r="P44" s="925"/>
      <c r="Q44" s="925"/>
      <c r="R44" s="925"/>
      <c r="S44" s="575"/>
      <c r="T44" s="575"/>
      <c r="U44" s="577"/>
      <c r="V44" s="577"/>
      <c r="W44" s="1126"/>
    </row>
    <row r="45" spans="4:23" ht="18" customHeight="1">
      <c r="D45" s="1061"/>
      <c r="E45" s="1062" t="s">
        <v>3</v>
      </c>
      <c r="F45" s="1062"/>
      <c r="G45" s="1062"/>
      <c r="H45" s="1063"/>
      <c r="J45" s="1127" t="s">
        <v>297</v>
      </c>
      <c r="K45" s="1110" t="s">
        <v>298</v>
      </c>
      <c r="L45" s="1128">
        <v>0</v>
      </c>
      <c r="M45" s="1129">
        <f>R26+R27</f>
        <v>6100000</v>
      </c>
      <c r="N45" s="1111" t="s">
        <v>15</v>
      </c>
      <c r="O45" s="575"/>
      <c r="P45" s="1106"/>
      <c r="Q45" s="1106"/>
      <c r="R45" s="1106"/>
      <c r="S45" s="575"/>
    </row>
    <row r="46" spans="4:23" ht="18" customHeight="1">
      <c r="D46" s="1067">
        <v>113100</v>
      </c>
      <c r="E46" s="552" t="s">
        <v>52</v>
      </c>
      <c r="F46" s="552">
        <f t="shared" ref="F46:G49" si="9">SUMIF($J:$J,$D46,L:L)</f>
        <v>0</v>
      </c>
      <c r="G46" s="552">
        <f t="shared" si="9"/>
        <v>0</v>
      </c>
      <c r="H46" s="1068">
        <f>F46-G46</f>
        <v>0</v>
      </c>
      <c r="J46" s="1130">
        <v>410899</v>
      </c>
      <c r="K46" s="1131" t="s">
        <v>237</v>
      </c>
      <c r="L46" s="1132">
        <f>M45</f>
        <v>6100000</v>
      </c>
      <c r="M46" s="1132">
        <v>0</v>
      </c>
      <c r="N46" s="1133" t="s">
        <v>2362</v>
      </c>
      <c r="O46" s="575"/>
      <c r="P46" s="575"/>
      <c r="Q46" s="575"/>
      <c r="R46" s="575"/>
      <c r="S46" s="575"/>
    </row>
    <row r="47" spans="4:23" ht="18" customHeight="1">
      <c r="D47" s="1067">
        <v>113101</v>
      </c>
      <c r="E47" s="552" t="s">
        <v>53</v>
      </c>
      <c r="F47" s="552">
        <f t="shared" si="9"/>
        <v>0</v>
      </c>
      <c r="G47" s="552">
        <f t="shared" si="9"/>
        <v>0</v>
      </c>
      <c r="H47" s="1068">
        <f>F47-G47</f>
        <v>0</v>
      </c>
      <c r="J47" s="1112">
        <v>711191</v>
      </c>
      <c r="K47" s="1110" t="s">
        <v>318</v>
      </c>
      <c r="L47" s="1113">
        <f>R29</f>
        <v>46841095</v>
      </c>
      <c r="M47" s="1113"/>
      <c r="N47" s="1111" t="s">
        <v>15</v>
      </c>
      <c r="O47" s="575"/>
      <c r="P47" s="575"/>
      <c r="Q47" s="575"/>
      <c r="R47" s="575"/>
      <c r="S47" s="575"/>
    </row>
    <row r="48" spans="4:23" ht="18" customHeight="1">
      <c r="D48" s="1067">
        <v>113160</v>
      </c>
      <c r="E48" s="552" t="s">
        <v>54</v>
      </c>
      <c r="F48" s="552">
        <f t="shared" si="9"/>
        <v>0</v>
      </c>
      <c r="G48" s="552">
        <f t="shared" si="9"/>
        <v>0</v>
      </c>
      <c r="H48" s="1068">
        <f>F48-G48</f>
        <v>0</v>
      </c>
      <c r="J48" s="1083">
        <v>731200</v>
      </c>
      <c r="K48" s="925" t="s">
        <v>337</v>
      </c>
      <c r="L48" s="1040">
        <v>0</v>
      </c>
      <c r="M48" s="1040">
        <f>L47</f>
        <v>46841095</v>
      </c>
      <c r="N48" s="1042" t="s">
        <v>2362</v>
      </c>
      <c r="O48" s="575"/>
      <c r="P48" s="575"/>
      <c r="Q48" s="575"/>
      <c r="R48" s="575"/>
      <c r="S48" s="575"/>
    </row>
    <row r="49" spans="4:19" ht="18" customHeight="1">
      <c r="D49" s="1067">
        <v>113161</v>
      </c>
      <c r="E49" s="552" t="s">
        <v>55</v>
      </c>
      <c r="F49" s="552">
        <f t="shared" si="9"/>
        <v>0</v>
      </c>
      <c r="G49" s="552">
        <f t="shared" si="9"/>
        <v>0</v>
      </c>
      <c r="H49" s="1068">
        <f>F49-G49</f>
        <v>0</v>
      </c>
      <c r="J49" s="1127" t="s">
        <v>359</v>
      </c>
      <c r="K49" s="1134" t="s">
        <v>2403</v>
      </c>
      <c r="L49" s="1129">
        <f>R28</f>
        <v>27342110</v>
      </c>
      <c r="M49" s="1128">
        <v>0</v>
      </c>
      <c r="N49" s="1111" t="s">
        <v>15</v>
      </c>
      <c r="O49" s="575"/>
      <c r="P49" s="575"/>
      <c r="Q49" s="575"/>
      <c r="R49" s="575"/>
      <c r="S49" s="925"/>
    </row>
    <row r="50" spans="4:19" ht="18" customHeight="1">
      <c r="D50" s="1061"/>
      <c r="E50" s="1062" t="s">
        <v>4</v>
      </c>
      <c r="F50" s="1062"/>
      <c r="G50" s="1062"/>
      <c r="H50" s="1063"/>
      <c r="J50" s="1039" t="s">
        <v>368</v>
      </c>
      <c r="K50" s="1086" t="s">
        <v>2587</v>
      </c>
      <c r="L50" s="1125"/>
      <c r="M50" s="1124">
        <f>+L49-M51</f>
        <v>24942110</v>
      </c>
      <c r="N50" s="1042" t="s">
        <v>2362</v>
      </c>
      <c r="O50" s="575"/>
      <c r="P50" s="925"/>
      <c r="Q50" s="925"/>
      <c r="R50" s="925"/>
      <c r="S50" s="925"/>
    </row>
    <row r="51" spans="4:19" ht="18" customHeight="1">
      <c r="D51" s="1067">
        <v>112710</v>
      </c>
      <c r="E51" s="552" t="s">
        <v>56</v>
      </c>
      <c r="F51" s="552">
        <f t="shared" ref="F51:F63" si="10">SUMIF($J:$J,$D51,L:L)</f>
        <v>0</v>
      </c>
      <c r="G51" s="552">
        <f t="shared" ref="G51:G63" si="11">SUMIF($J:$J,$D51,M:M)</f>
        <v>0</v>
      </c>
      <c r="H51" s="1068">
        <f t="shared" ref="H51:H63" si="12">F51-G51</f>
        <v>0</v>
      </c>
      <c r="J51" s="1051">
        <v>640000</v>
      </c>
      <c r="K51" s="1087" t="s">
        <v>296</v>
      </c>
      <c r="L51" s="1135">
        <v>0</v>
      </c>
      <c r="M51" s="1135">
        <v>2400000</v>
      </c>
      <c r="N51" s="1054" t="s">
        <v>2362</v>
      </c>
      <c r="O51" s="575"/>
      <c r="P51" s="925"/>
      <c r="Q51" s="925"/>
      <c r="R51" s="925"/>
      <c r="S51" s="925"/>
    </row>
    <row r="52" spans="4:19" ht="18" customHeight="1">
      <c r="D52" s="1067">
        <v>112720</v>
      </c>
      <c r="E52" s="552" t="s">
        <v>57</v>
      </c>
      <c r="F52" s="552">
        <f t="shared" si="10"/>
        <v>0</v>
      </c>
      <c r="G52" s="552">
        <f t="shared" si="11"/>
        <v>0</v>
      </c>
      <c r="H52" s="1068">
        <f t="shared" si="12"/>
        <v>0</v>
      </c>
      <c r="J52" s="1039">
        <v>111911</v>
      </c>
      <c r="K52" s="1086" t="s">
        <v>2407</v>
      </c>
      <c r="L52" s="1124">
        <v>0</v>
      </c>
      <c r="M52" s="1125">
        <v>0</v>
      </c>
      <c r="N52" s="1042" t="s">
        <v>15</v>
      </c>
      <c r="P52" s="925"/>
      <c r="Q52" s="925"/>
      <c r="R52" s="925"/>
      <c r="S52" s="925"/>
    </row>
    <row r="53" spans="4:19" ht="18" customHeight="1">
      <c r="D53" s="1067">
        <v>112730</v>
      </c>
      <c r="E53" s="552" t="s">
        <v>58</v>
      </c>
      <c r="F53" s="552">
        <f t="shared" si="10"/>
        <v>0</v>
      </c>
      <c r="G53" s="552">
        <f t="shared" si="11"/>
        <v>0</v>
      </c>
      <c r="H53" s="1068">
        <f t="shared" si="12"/>
        <v>0</v>
      </c>
      <c r="J53" s="1039">
        <v>212300</v>
      </c>
      <c r="K53" s="1086" t="s">
        <v>2408</v>
      </c>
      <c r="L53" s="1124">
        <v>0</v>
      </c>
      <c r="M53" s="1125">
        <v>0</v>
      </c>
      <c r="N53" s="1042" t="s">
        <v>2362</v>
      </c>
      <c r="P53" s="575"/>
      <c r="Q53" s="925"/>
      <c r="R53" s="925"/>
      <c r="S53" s="925"/>
    </row>
    <row r="54" spans="4:19" ht="18" customHeight="1">
      <c r="D54" s="1067">
        <v>113340</v>
      </c>
      <c r="E54" s="552" t="s">
        <v>59</v>
      </c>
      <c r="F54" s="552">
        <f t="shared" si="10"/>
        <v>0</v>
      </c>
      <c r="G54" s="552">
        <f t="shared" si="11"/>
        <v>0</v>
      </c>
      <c r="H54" s="1068">
        <f t="shared" si="12"/>
        <v>0</v>
      </c>
      <c r="J54" s="1136">
        <v>712900</v>
      </c>
      <c r="K54" s="1137" t="s">
        <v>2600</v>
      </c>
      <c r="L54" s="1138">
        <f>M55+M56</f>
        <v>1543857535</v>
      </c>
      <c r="M54" s="1139">
        <v>0</v>
      </c>
      <c r="N54" s="1140" t="s">
        <v>15</v>
      </c>
      <c r="P54" s="575" t="s">
        <v>2401</v>
      </c>
      <c r="Q54" s="925"/>
      <c r="R54" s="925"/>
      <c r="S54" s="575"/>
    </row>
    <row r="55" spans="4:19" ht="18" customHeight="1">
      <c r="D55" s="1067">
        <v>112511</v>
      </c>
      <c r="E55" s="552" t="s">
        <v>60</v>
      </c>
      <c r="F55" s="552">
        <f t="shared" si="10"/>
        <v>0</v>
      </c>
      <c r="G55" s="552">
        <f t="shared" si="11"/>
        <v>2333333</v>
      </c>
      <c r="H55" s="1068">
        <f t="shared" si="12"/>
        <v>-2333333</v>
      </c>
      <c r="J55" s="1141">
        <v>111912</v>
      </c>
      <c r="K55" s="1142" t="s">
        <v>2393</v>
      </c>
      <c r="L55" s="1143">
        <v>0</v>
      </c>
      <c r="M55" s="1144">
        <v>1500000000</v>
      </c>
      <c r="N55" s="1145" t="s">
        <v>15</v>
      </c>
      <c r="R55" s="575"/>
      <c r="S55" s="575"/>
    </row>
    <row r="56" spans="4:19" ht="18" customHeight="1">
      <c r="D56" s="1067">
        <v>112521</v>
      </c>
      <c r="E56" s="552" t="s">
        <v>61</v>
      </c>
      <c r="F56" s="552">
        <f t="shared" si="10"/>
        <v>0</v>
      </c>
      <c r="G56" s="552">
        <f t="shared" si="11"/>
        <v>0</v>
      </c>
      <c r="H56" s="1068">
        <f t="shared" si="12"/>
        <v>0</v>
      </c>
      <c r="J56" s="1146">
        <v>112301</v>
      </c>
      <c r="K56" s="1147" t="s">
        <v>2394</v>
      </c>
      <c r="L56" s="1148">
        <v>0</v>
      </c>
      <c r="M56" s="1149">
        <v>43857535</v>
      </c>
      <c r="N56" s="1150" t="s">
        <v>15</v>
      </c>
      <c r="Q56" s="575"/>
      <c r="R56" s="575"/>
      <c r="S56" s="575"/>
    </row>
    <row r="57" spans="4:19" ht="18" customHeight="1">
      <c r="D57" s="1067">
        <v>112522</v>
      </c>
      <c r="E57" s="552" t="s">
        <v>62</v>
      </c>
      <c r="F57" s="552">
        <f t="shared" si="10"/>
        <v>0</v>
      </c>
      <c r="G57" s="552">
        <f t="shared" si="11"/>
        <v>0</v>
      </c>
      <c r="H57" s="1068">
        <f t="shared" si="12"/>
        <v>0</v>
      </c>
      <c r="J57" s="1151" t="s">
        <v>1354</v>
      </c>
      <c r="K57" s="1152" t="s">
        <v>207</v>
      </c>
      <c r="L57" s="1152">
        <v>-1543857535</v>
      </c>
      <c r="M57" s="1152">
        <v>0</v>
      </c>
      <c r="N57" s="1153" t="s">
        <v>15</v>
      </c>
      <c r="P57" s="575" t="s">
        <v>2402</v>
      </c>
      <c r="R57" s="575"/>
      <c r="S57" s="575"/>
    </row>
    <row r="58" spans="4:19" ht="18" customHeight="1">
      <c r="D58" s="1067">
        <v>112531</v>
      </c>
      <c r="E58" s="552" t="s">
        <v>63</v>
      </c>
      <c r="F58" s="552">
        <f t="shared" si="10"/>
        <v>0</v>
      </c>
      <c r="G58" s="552">
        <f t="shared" si="11"/>
        <v>0</v>
      </c>
      <c r="H58" s="1068">
        <f t="shared" si="12"/>
        <v>0</v>
      </c>
      <c r="J58" s="1141">
        <v>111912</v>
      </c>
      <c r="K58" s="1154" t="s">
        <v>2393</v>
      </c>
      <c r="L58" s="1154">
        <v>1500000000</v>
      </c>
      <c r="M58" s="1154">
        <v>0</v>
      </c>
      <c r="N58" s="1145" t="s">
        <v>15</v>
      </c>
      <c r="R58" s="575"/>
      <c r="S58" s="575"/>
    </row>
    <row r="59" spans="4:19" ht="18" customHeight="1">
      <c r="D59" s="1067">
        <v>112533</v>
      </c>
      <c r="E59" s="552" t="s">
        <v>64</v>
      </c>
      <c r="F59" s="552">
        <f t="shared" si="10"/>
        <v>0</v>
      </c>
      <c r="G59" s="552">
        <f t="shared" si="11"/>
        <v>0</v>
      </c>
      <c r="H59" s="1068">
        <f t="shared" si="12"/>
        <v>0</v>
      </c>
      <c r="J59" s="1141">
        <v>112301</v>
      </c>
      <c r="K59" s="1154" t="s">
        <v>2394</v>
      </c>
      <c r="L59" s="1154">
        <v>43857535</v>
      </c>
      <c r="M59" s="1154">
        <v>0</v>
      </c>
      <c r="N59" s="1145" t="s">
        <v>15</v>
      </c>
      <c r="R59" s="575"/>
      <c r="S59" s="575"/>
    </row>
    <row r="60" spans="4:19" ht="18" customHeight="1">
      <c r="D60" s="1067">
        <v>112534</v>
      </c>
      <c r="E60" s="552" t="s">
        <v>65</v>
      </c>
      <c r="F60" s="552">
        <f t="shared" si="10"/>
        <v>0</v>
      </c>
      <c r="G60" s="552">
        <f t="shared" si="11"/>
        <v>0</v>
      </c>
      <c r="H60" s="1068">
        <f t="shared" si="12"/>
        <v>0</v>
      </c>
      <c r="J60" s="1136">
        <v>112511</v>
      </c>
      <c r="K60" s="1155" t="s">
        <v>60</v>
      </c>
      <c r="L60" s="1155">
        <v>0</v>
      </c>
      <c r="M60" s="1155">
        <v>2333333</v>
      </c>
      <c r="N60" s="1140" t="s">
        <v>15</v>
      </c>
      <c r="R60" s="575"/>
      <c r="S60" s="575"/>
    </row>
    <row r="61" spans="4:19" ht="18" customHeight="1">
      <c r="D61" s="1067">
        <v>112535</v>
      </c>
      <c r="E61" s="552" t="s">
        <v>66</v>
      </c>
      <c r="F61" s="552">
        <f t="shared" si="10"/>
        <v>0</v>
      </c>
      <c r="G61" s="552">
        <f t="shared" si="11"/>
        <v>0</v>
      </c>
      <c r="H61" s="1068">
        <f t="shared" si="12"/>
        <v>0</v>
      </c>
      <c r="J61" s="1141" t="s">
        <v>1354</v>
      </c>
      <c r="K61" s="1154" t="s">
        <v>207</v>
      </c>
      <c r="L61" s="1154">
        <v>0</v>
      </c>
      <c r="M61" s="1154">
        <v>466667</v>
      </c>
      <c r="N61" s="1145" t="s">
        <v>15</v>
      </c>
      <c r="Q61" s="575"/>
      <c r="R61" s="575"/>
      <c r="S61" s="575"/>
    </row>
    <row r="62" spans="4:19" ht="18" customHeight="1" thickBot="1">
      <c r="D62" s="1067">
        <v>112900</v>
      </c>
      <c r="E62" s="552" t="s">
        <v>67</v>
      </c>
      <c r="F62" s="552">
        <f t="shared" si="10"/>
        <v>0</v>
      </c>
      <c r="G62" s="552">
        <f t="shared" si="11"/>
        <v>0</v>
      </c>
      <c r="H62" s="1068">
        <f t="shared" si="12"/>
        <v>0</v>
      </c>
      <c r="J62" s="1156" t="s">
        <v>1354</v>
      </c>
      <c r="K62" s="1157" t="s">
        <v>207</v>
      </c>
      <c r="L62" s="1157">
        <v>2800000</v>
      </c>
      <c r="M62" s="1157">
        <v>0</v>
      </c>
      <c r="N62" s="1158" t="s">
        <v>2362</v>
      </c>
      <c r="Q62" s="575"/>
      <c r="R62" s="575"/>
    </row>
    <row r="63" spans="4:19" ht="18" customHeight="1">
      <c r="D63" s="1067" t="s">
        <v>68</v>
      </c>
      <c r="E63" s="552" t="s">
        <v>69</v>
      </c>
      <c r="F63" s="552">
        <f t="shared" si="10"/>
        <v>0</v>
      </c>
      <c r="G63" s="552">
        <f t="shared" si="11"/>
        <v>0</v>
      </c>
      <c r="H63" s="1068">
        <f t="shared" si="12"/>
        <v>0</v>
      </c>
      <c r="Q63" s="575"/>
      <c r="R63" s="575"/>
    </row>
    <row r="64" spans="4:19" ht="18" customHeight="1">
      <c r="D64" s="1049"/>
      <c r="E64" s="992" t="s">
        <v>70</v>
      </c>
      <c r="F64" s="992"/>
      <c r="G64" s="992"/>
      <c r="H64" s="1050"/>
      <c r="Q64" s="575"/>
      <c r="R64" s="575"/>
    </row>
    <row r="65" spans="4:18" ht="18" customHeight="1">
      <c r="D65" s="1061"/>
      <c r="E65" s="1062" t="s">
        <v>71</v>
      </c>
      <c r="F65" s="1062"/>
      <c r="G65" s="1062"/>
      <c r="H65" s="1063"/>
      <c r="Q65" s="575"/>
      <c r="R65" s="575"/>
    </row>
    <row r="66" spans="4:18" ht="18" customHeight="1">
      <c r="D66" s="1067">
        <v>121551</v>
      </c>
      <c r="E66" s="552" t="s">
        <v>72</v>
      </c>
      <c r="F66" s="552">
        <f t="shared" ref="F66:G70" si="13">SUMIF($J:$J,$D66,L:L)</f>
        <v>0</v>
      </c>
      <c r="G66" s="552">
        <f t="shared" si="13"/>
        <v>0</v>
      </c>
      <c r="H66" s="1068">
        <f>F66-G66</f>
        <v>0</v>
      </c>
      <c r="Q66" s="575"/>
      <c r="R66" s="575"/>
    </row>
    <row r="67" spans="4:18" ht="18" customHeight="1">
      <c r="D67" s="1067">
        <v>121511</v>
      </c>
      <c r="E67" s="552" t="s">
        <v>73</v>
      </c>
      <c r="F67" s="552">
        <f t="shared" si="13"/>
        <v>0</v>
      </c>
      <c r="G67" s="552">
        <f t="shared" si="13"/>
        <v>0</v>
      </c>
      <c r="H67" s="1068">
        <f>F67-G67</f>
        <v>0</v>
      </c>
      <c r="Q67" s="575"/>
      <c r="R67" s="575"/>
    </row>
    <row r="68" spans="4:18" ht="18" customHeight="1">
      <c r="D68" s="1067">
        <v>121602</v>
      </c>
      <c r="E68" s="552" t="s">
        <v>1694</v>
      </c>
      <c r="F68" s="552">
        <f t="shared" si="13"/>
        <v>0</v>
      </c>
      <c r="G68" s="552">
        <f t="shared" si="13"/>
        <v>0</v>
      </c>
      <c r="H68" s="1068">
        <f>F68-G68</f>
        <v>0</v>
      </c>
      <c r="Q68" s="575"/>
      <c r="R68" s="575"/>
    </row>
    <row r="69" spans="4:18" ht="18" customHeight="1">
      <c r="D69" s="1067">
        <v>121532</v>
      </c>
      <c r="E69" s="552" t="s">
        <v>74</v>
      </c>
      <c r="F69" s="552">
        <f t="shared" si="13"/>
        <v>0</v>
      </c>
      <c r="G69" s="552">
        <f t="shared" si="13"/>
        <v>0</v>
      </c>
      <c r="H69" s="1068">
        <f>F69-G69</f>
        <v>0</v>
      </c>
      <c r="P69" s="575"/>
      <c r="Q69" s="575"/>
      <c r="R69" s="575"/>
    </row>
    <row r="70" spans="4:18" ht="18" customHeight="1">
      <c r="D70" s="1067">
        <v>121531</v>
      </c>
      <c r="E70" s="552" t="s">
        <v>75</v>
      </c>
      <c r="F70" s="552">
        <f t="shared" si="13"/>
        <v>0</v>
      </c>
      <c r="G70" s="552">
        <f t="shared" si="13"/>
        <v>0</v>
      </c>
      <c r="H70" s="1068">
        <f>F70-G70</f>
        <v>0</v>
      </c>
      <c r="P70" s="575"/>
      <c r="Q70" s="575"/>
      <c r="R70" s="575"/>
    </row>
    <row r="71" spans="4:18" ht="18" customHeight="1">
      <c r="D71" s="1061"/>
      <c r="E71" s="1062" t="s">
        <v>76</v>
      </c>
      <c r="F71" s="1062"/>
      <c r="G71" s="1062"/>
      <c r="H71" s="1063"/>
      <c r="P71" s="575"/>
      <c r="Q71" s="575"/>
      <c r="R71" s="575"/>
    </row>
    <row r="72" spans="4:18" ht="18" customHeight="1">
      <c r="D72" s="1067">
        <v>121410</v>
      </c>
      <c r="E72" s="552" t="s">
        <v>77</v>
      </c>
      <c r="F72" s="552">
        <f t="shared" ref="F72:G75" si="14">SUMIF($J:$J,$D72,L:L)</f>
        <v>0</v>
      </c>
      <c r="G72" s="552">
        <f t="shared" si="14"/>
        <v>0</v>
      </c>
      <c r="H72" s="1068">
        <f>F72-G72</f>
        <v>0</v>
      </c>
      <c r="P72" s="575"/>
      <c r="Q72" s="575"/>
      <c r="R72" s="575"/>
    </row>
    <row r="73" spans="4:18" ht="18" customHeight="1">
      <c r="D73" s="1108" t="s">
        <v>221</v>
      </c>
      <c r="E73" s="552" t="s">
        <v>78</v>
      </c>
      <c r="F73" s="552">
        <f t="shared" si="14"/>
        <v>0</v>
      </c>
      <c r="G73" s="552">
        <f t="shared" si="14"/>
        <v>0</v>
      </c>
      <c r="H73" s="1068">
        <f>F73-G73</f>
        <v>0</v>
      </c>
      <c r="P73" s="575"/>
      <c r="Q73" s="575"/>
    </row>
    <row r="74" spans="4:18" ht="18" customHeight="1">
      <c r="D74" s="1108" t="s">
        <v>222</v>
      </c>
      <c r="E74" s="552" t="s">
        <v>79</v>
      </c>
      <c r="F74" s="552">
        <f t="shared" si="14"/>
        <v>0</v>
      </c>
      <c r="G74" s="552">
        <f t="shared" si="14"/>
        <v>0</v>
      </c>
      <c r="H74" s="1068">
        <f>F74-G74</f>
        <v>0</v>
      </c>
      <c r="P74" s="575"/>
      <c r="Q74" s="575"/>
    </row>
    <row r="75" spans="4:18" ht="18" customHeight="1">
      <c r="D75" s="1108" t="s">
        <v>223</v>
      </c>
      <c r="E75" s="552" t="s">
        <v>42</v>
      </c>
      <c r="F75" s="552">
        <f t="shared" si="14"/>
        <v>0</v>
      </c>
      <c r="G75" s="552">
        <f t="shared" si="14"/>
        <v>0</v>
      </c>
      <c r="H75" s="1068">
        <f>F75-G75</f>
        <v>0</v>
      </c>
      <c r="P75" s="575"/>
      <c r="Q75" s="575"/>
    </row>
    <row r="76" spans="4:18" ht="18" customHeight="1">
      <c r="D76" s="1061"/>
      <c r="E76" s="1062" t="s">
        <v>80</v>
      </c>
      <c r="F76" s="1062"/>
      <c r="G76" s="1062"/>
      <c r="H76" s="1063"/>
      <c r="P76" s="575"/>
    </row>
    <row r="77" spans="4:18" ht="18" customHeight="1">
      <c r="D77" s="1067">
        <v>900019</v>
      </c>
      <c r="E77" s="552" t="s">
        <v>81</v>
      </c>
      <c r="F77" s="552">
        <f>SUMIF($J:$J,$D77,L:L)</f>
        <v>0</v>
      </c>
      <c r="G77" s="552">
        <f>SUMIF($J:$J,$D77,M:M)</f>
        <v>0</v>
      </c>
      <c r="H77" s="1068">
        <f>F77-G77</f>
        <v>0</v>
      </c>
      <c r="P77" s="575"/>
    </row>
    <row r="78" spans="4:18" ht="18" customHeight="1">
      <c r="D78" s="1067" t="s">
        <v>82</v>
      </c>
      <c r="E78" s="552" t="s">
        <v>83</v>
      </c>
      <c r="F78" s="552">
        <f>SUMIF($J:$J,$D78,L:L)</f>
        <v>0</v>
      </c>
      <c r="G78" s="552">
        <f>SUMIF($J:$J,$D78,M:M)</f>
        <v>0</v>
      </c>
      <c r="H78" s="1068">
        <f>F78-G78</f>
        <v>0</v>
      </c>
      <c r="P78" s="575"/>
    </row>
    <row r="79" spans="4:18" ht="18" customHeight="1">
      <c r="D79" s="1061"/>
      <c r="E79" s="1062" t="s">
        <v>5</v>
      </c>
      <c r="F79" s="1062"/>
      <c r="G79" s="1062"/>
      <c r="H79" s="1063"/>
    </row>
    <row r="80" spans="4:18" ht="18" customHeight="1">
      <c r="D80" s="1067">
        <v>123700</v>
      </c>
      <c r="E80" s="552" t="s">
        <v>84</v>
      </c>
      <c r="F80" s="552">
        <f t="shared" ref="F80:F100" si="15">SUMIF($J:$J,$D80,L:L)</f>
        <v>0</v>
      </c>
      <c r="G80" s="552">
        <f t="shared" ref="G80:G100" si="16">SUMIF($J:$J,$D80,M:M)</f>
        <v>0</v>
      </c>
      <c r="H80" s="1068">
        <f t="shared" ref="H80:H100" si="17">F80-G80</f>
        <v>0</v>
      </c>
    </row>
    <row r="81" spans="4:8" ht="18" customHeight="1">
      <c r="D81" s="1067">
        <v>123750</v>
      </c>
      <c r="E81" s="552" t="s">
        <v>85</v>
      </c>
      <c r="F81" s="552">
        <f t="shared" si="15"/>
        <v>0</v>
      </c>
      <c r="G81" s="552">
        <f t="shared" si="16"/>
        <v>0</v>
      </c>
      <c r="H81" s="1068">
        <f t="shared" si="17"/>
        <v>0</v>
      </c>
    </row>
    <row r="82" spans="4:8" ht="18" customHeight="1">
      <c r="D82" s="1067">
        <v>123900</v>
      </c>
      <c r="E82" s="552" t="s">
        <v>86</v>
      </c>
      <c r="F82" s="552">
        <f t="shared" si="15"/>
        <v>0</v>
      </c>
      <c r="G82" s="552">
        <f t="shared" si="16"/>
        <v>0</v>
      </c>
      <c r="H82" s="1068">
        <f t="shared" si="17"/>
        <v>0</v>
      </c>
    </row>
    <row r="83" spans="4:8" ht="18" customHeight="1">
      <c r="D83" s="1067">
        <v>123950</v>
      </c>
      <c r="E83" s="552" t="s">
        <v>87</v>
      </c>
      <c r="F83" s="552">
        <f t="shared" si="15"/>
        <v>0</v>
      </c>
      <c r="G83" s="552">
        <f t="shared" si="16"/>
        <v>0</v>
      </c>
      <c r="H83" s="1068">
        <f t="shared" si="17"/>
        <v>0</v>
      </c>
    </row>
    <row r="84" spans="4:8" ht="18" customHeight="1">
      <c r="D84" s="1067">
        <v>123960</v>
      </c>
      <c r="E84" s="552" t="s">
        <v>88</v>
      </c>
      <c r="F84" s="552">
        <f t="shared" si="15"/>
        <v>0</v>
      </c>
      <c r="G84" s="552">
        <f t="shared" si="16"/>
        <v>0</v>
      </c>
      <c r="H84" s="1068">
        <f t="shared" si="17"/>
        <v>0</v>
      </c>
    </row>
    <row r="85" spans="4:8" ht="18" customHeight="1">
      <c r="D85" s="1067">
        <v>124000</v>
      </c>
      <c r="E85" s="552" t="s">
        <v>89</v>
      </c>
      <c r="F85" s="552">
        <f t="shared" si="15"/>
        <v>0</v>
      </c>
      <c r="G85" s="552">
        <f t="shared" si="16"/>
        <v>0</v>
      </c>
      <c r="H85" s="1068">
        <f t="shared" si="17"/>
        <v>0</v>
      </c>
    </row>
    <row r="86" spans="4:8" ht="18" customHeight="1">
      <c r="D86" s="1067">
        <v>124050</v>
      </c>
      <c r="E86" s="552" t="s">
        <v>90</v>
      </c>
      <c r="F86" s="552">
        <f t="shared" si="15"/>
        <v>0</v>
      </c>
      <c r="G86" s="552">
        <f t="shared" si="16"/>
        <v>0</v>
      </c>
      <c r="H86" s="1068">
        <f t="shared" si="17"/>
        <v>0</v>
      </c>
    </row>
    <row r="87" spans="4:8" ht="18" customHeight="1">
      <c r="D87" s="1067">
        <v>124160</v>
      </c>
      <c r="E87" s="552" t="s">
        <v>91</v>
      </c>
      <c r="F87" s="552">
        <f t="shared" si="15"/>
        <v>0</v>
      </c>
      <c r="G87" s="552">
        <f t="shared" si="16"/>
        <v>0</v>
      </c>
      <c r="H87" s="1068">
        <f t="shared" si="17"/>
        <v>0</v>
      </c>
    </row>
    <row r="88" spans="4:8" ht="18" customHeight="1">
      <c r="D88" s="1067">
        <v>124200</v>
      </c>
      <c r="E88" s="552" t="s">
        <v>92</v>
      </c>
      <c r="F88" s="552">
        <f t="shared" si="15"/>
        <v>0</v>
      </c>
      <c r="G88" s="552">
        <f t="shared" si="16"/>
        <v>0</v>
      </c>
      <c r="H88" s="1068">
        <f t="shared" si="17"/>
        <v>0</v>
      </c>
    </row>
    <row r="89" spans="4:8" ht="18" customHeight="1">
      <c r="D89" s="1067">
        <v>124250</v>
      </c>
      <c r="E89" s="552" t="s">
        <v>93</v>
      </c>
      <c r="F89" s="552">
        <f t="shared" si="15"/>
        <v>0</v>
      </c>
      <c r="G89" s="552">
        <f t="shared" si="16"/>
        <v>0</v>
      </c>
      <c r="H89" s="1068">
        <f t="shared" si="17"/>
        <v>0</v>
      </c>
    </row>
    <row r="90" spans="4:8" ht="18" customHeight="1">
      <c r="D90" s="1067">
        <v>124260</v>
      </c>
      <c r="E90" s="552" t="s">
        <v>94</v>
      </c>
      <c r="F90" s="552">
        <f t="shared" si="15"/>
        <v>0</v>
      </c>
      <c r="G90" s="552">
        <f t="shared" si="16"/>
        <v>0</v>
      </c>
      <c r="H90" s="1068">
        <f t="shared" si="17"/>
        <v>0</v>
      </c>
    </row>
    <row r="91" spans="4:8" ht="18" customHeight="1">
      <c r="D91" s="1067">
        <v>124300</v>
      </c>
      <c r="E91" s="552" t="s">
        <v>95</v>
      </c>
      <c r="F91" s="552">
        <f t="shared" si="15"/>
        <v>0</v>
      </c>
      <c r="G91" s="552">
        <f t="shared" si="16"/>
        <v>0</v>
      </c>
      <c r="H91" s="1068">
        <f t="shared" si="17"/>
        <v>0</v>
      </c>
    </row>
    <row r="92" spans="4:8" ht="18" customHeight="1">
      <c r="D92" s="1067">
        <v>124350</v>
      </c>
      <c r="E92" s="552" t="s">
        <v>96</v>
      </c>
      <c r="F92" s="552">
        <f t="shared" si="15"/>
        <v>0</v>
      </c>
      <c r="G92" s="552">
        <f t="shared" si="16"/>
        <v>0</v>
      </c>
      <c r="H92" s="1068">
        <f t="shared" si="17"/>
        <v>0</v>
      </c>
    </row>
    <row r="93" spans="4:8" ht="18" customHeight="1">
      <c r="D93" s="1067">
        <v>124360</v>
      </c>
      <c r="E93" s="552" t="s">
        <v>97</v>
      </c>
      <c r="F93" s="552">
        <f t="shared" si="15"/>
        <v>0</v>
      </c>
      <c r="G93" s="552">
        <f t="shared" si="16"/>
        <v>0</v>
      </c>
      <c r="H93" s="1068">
        <f t="shared" si="17"/>
        <v>0</v>
      </c>
    </row>
    <row r="94" spans="4:8" ht="18" customHeight="1">
      <c r="D94" s="1067">
        <v>124400</v>
      </c>
      <c r="E94" s="552" t="s">
        <v>98</v>
      </c>
      <c r="F94" s="552">
        <f t="shared" si="15"/>
        <v>0</v>
      </c>
      <c r="G94" s="552">
        <f t="shared" si="16"/>
        <v>0</v>
      </c>
      <c r="H94" s="1068">
        <f t="shared" si="17"/>
        <v>0</v>
      </c>
    </row>
    <row r="95" spans="4:8" ht="18" customHeight="1">
      <c r="D95" s="1067">
        <v>124450</v>
      </c>
      <c r="E95" s="552" t="s">
        <v>99</v>
      </c>
      <c r="F95" s="552">
        <f t="shared" si="15"/>
        <v>0</v>
      </c>
      <c r="G95" s="552">
        <f t="shared" si="16"/>
        <v>0</v>
      </c>
      <c r="H95" s="1068">
        <f t="shared" si="17"/>
        <v>0</v>
      </c>
    </row>
    <row r="96" spans="4:8" ht="18" customHeight="1">
      <c r="D96" s="1067">
        <v>124600</v>
      </c>
      <c r="E96" s="552" t="s">
        <v>100</v>
      </c>
      <c r="F96" s="552">
        <f t="shared" si="15"/>
        <v>0</v>
      </c>
      <c r="G96" s="552">
        <f t="shared" si="16"/>
        <v>0</v>
      </c>
      <c r="H96" s="1068">
        <f t="shared" si="17"/>
        <v>0</v>
      </c>
    </row>
    <row r="97" spans="4:8" ht="18" customHeight="1">
      <c r="D97" s="1067">
        <v>126100</v>
      </c>
      <c r="E97" s="552" t="s">
        <v>101</v>
      </c>
      <c r="F97" s="552">
        <f t="shared" si="15"/>
        <v>0</v>
      </c>
      <c r="G97" s="552">
        <f t="shared" si="16"/>
        <v>0</v>
      </c>
      <c r="H97" s="1068">
        <f t="shared" si="17"/>
        <v>0</v>
      </c>
    </row>
    <row r="98" spans="4:8" ht="18" customHeight="1">
      <c r="D98" s="1067">
        <v>126110</v>
      </c>
      <c r="E98" s="552" t="s">
        <v>102</v>
      </c>
      <c r="F98" s="552">
        <f t="shared" si="15"/>
        <v>0</v>
      </c>
      <c r="G98" s="552">
        <f t="shared" si="16"/>
        <v>0</v>
      </c>
      <c r="H98" s="1068">
        <f t="shared" si="17"/>
        <v>0</v>
      </c>
    </row>
    <row r="99" spans="4:8" ht="18" customHeight="1">
      <c r="D99" s="1067">
        <v>126200</v>
      </c>
      <c r="E99" s="552" t="s">
        <v>103</v>
      </c>
      <c r="F99" s="552">
        <f t="shared" si="15"/>
        <v>0</v>
      </c>
      <c r="G99" s="552">
        <f t="shared" si="16"/>
        <v>0</v>
      </c>
      <c r="H99" s="1068">
        <f t="shared" si="17"/>
        <v>0</v>
      </c>
    </row>
    <row r="100" spans="4:8" ht="18" customHeight="1">
      <c r="D100" s="1067">
        <v>126210</v>
      </c>
      <c r="E100" s="552" t="s">
        <v>104</v>
      </c>
      <c r="F100" s="552">
        <f t="shared" si="15"/>
        <v>0</v>
      </c>
      <c r="G100" s="552">
        <f t="shared" si="16"/>
        <v>0</v>
      </c>
      <c r="H100" s="1068">
        <f t="shared" si="17"/>
        <v>0</v>
      </c>
    </row>
    <row r="101" spans="4:8" ht="18" customHeight="1">
      <c r="D101" s="1061"/>
      <c r="E101" s="1062" t="s">
        <v>6</v>
      </c>
      <c r="F101" s="1062"/>
      <c r="G101" s="1062"/>
      <c r="H101" s="1063"/>
    </row>
    <row r="102" spans="4:8" ht="18" customHeight="1">
      <c r="D102" s="1067" t="s">
        <v>105</v>
      </c>
      <c r="E102" s="552" t="s">
        <v>106</v>
      </c>
      <c r="F102" s="552">
        <f t="shared" ref="F102:F120" si="18">SUMIF($J:$J,$D102,L:L)</f>
        <v>0</v>
      </c>
      <c r="G102" s="552">
        <f t="shared" ref="G102:G120" si="19">SUMIF($J:$J,$D102,M:M)</f>
        <v>0</v>
      </c>
      <c r="H102" s="1068">
        <f t="shared" ref="H102:H120" si="20">F102-G102</f>
        <v>0</v>
      </c>
    </row>
    <row r="103" spans="4:8" ht="18" customHeight="1">
      <c r="D103" s="1067" t="s">
        <v>107</v>
      </c>
      <c r="E103" s="552" t="s">
        <v>108</v>
      </c>
      <c r="F103" s="552">
        <f t="shared" si="18"/>
        <v>0</v>
      </c>
      <c r="G103" s="552">
        <f t="shared" si="19"/>
        <v>0</v>
      </c>
      <c r="H103" s="1068">
        <f t="shared" si="20"/>
        <v>0</v>
      </c>
    </row>
    <row r="104" spans="4:8" ht="18" customHeight="1">
      <c r="D104" s="1067" t="s">
        <v>109</v>
      </c>
      <c r="E104" s="552" t="s">
        <v>110</v>
      </c>
      <c r="F104" s="552">
        <f t="shared" si="18"/>
        <v>0</v>
      </c>
      <c r="G104" s="552">
        <f t="shared" si="19"/>
        <v>0</v>
      </c>
      <c r="H104" s="1068">
        <f t="shared" si="20"/>
        <v>0</v>
      </c>
    </row>
    <row r="105" spans="4:8" ht="18" customHeight="1">
      <c r="D105" s="1067" t="s">
        <v>111</v>
      </c>
      <c r="E105" s="552" t="s">
        <v>112</v>
      </c>
      <c r="F105" s="552">
        <f t="shared" si="18"/>
        <v>0</v>
      </c>
      <c r="G105" s="552">
        <f t="shared" si="19"/>
        <v>0</v>
      </c>
      <c r="H105" s="1068">
        <f t="shared" si="20"/>
        <v>0</v>
      </c>
    </row>
    <row r="106" spans="4:8" ht="18" customHeight="1">
      <c r="D106" s="1067" t="s">
        <v>113</v>
      </c>
      <c r="E106" s="552" t="s">
        <v>114</v>
      </c>
      <c r="F106" s="552">
        <f t="shared" si="18"/>
        <v>0</v>
      </c>
      <c r="G106" s="552">
        <f t="shared" si="19"/>
        <v>0</v>
      </c>
      <c r="H106" s="1068">
        <f t="shared" si="20"/>
        <v>0</v>
      </c>
    </row>
    <row r="107" spans="4:8" ht="18" customHeight="1">
      <c r="D107" s="1067">
        <v>125300</v>
      </c>
      <c r="E107" s="552" t="s">
        <v>115</v>
      </c>
      <c r="F107" s="552">
        <f t="shared" si="18"/>
        <v>0</v>
      </c>
      <c r="G107" s="552">
        <f t="shared" si="19"/>
        <v>0</v>
      </c>
      <c r="H107" s="1068">
        <f t="shared" si="20"/>
        <v>0</v>
      </c>
    </row>
    <row r="108" spans="4:8" ht="18" customHeight="1">
      <c r="D108" s="1067">
        <v>125400</v>
      </c>
      <c r="E108" s="552" t="s">
        <v>116</v>
      </c>
      <c r="F108" s="552">
        <f t="shared" si="18"/>
        <v>0</v>
      </c>
      <c r="G108" s="552">
        <f t="shared" si="19"/>
        <v>0</v>
      </c>
      <c r="H108" s="1068">
        <f t="shared" si="20"/>
        <v>0</v>
      </c>
    </row>
    <row r="109" spans="4:8" ht="18" customHeight="1">
      <c r="D109" s="1067" t="s">
        <v>117</v>
      </c>
      <c r="E109" s="552" t="s">
        <v>118</v>
      </c>
      <c r="F109" s="552">
        <f t="shared" si="18"/>
        <v>0</v>
      </c>
      <c r="G109" s="552">
        <f t="shared" si="19"/>
        <v>0</v>
      </c>
      <c r="H109" s="1068">
        <f t="shared" si="20"/>
        <v>0</v>
      </c>
    </row>
    <row r="110" spans="4:8" ht="18" customHeight="1">
      <c r="D110" s="1067" t="s">
        <v>119</v>
      </c>
      <c r="E110" s="552" t="s">
        <v>120</v>
      </c>
      <c r="F110" s="552">
        <f t="shared" si="18"/>
        <v>0</v>
      </c>
      <c r="G110" s="552">
        <f t="shared" si="19"/>
        <v>0</v>
      </c>
      <c r="H110" s="1068">
        <f t="shared" si="20"/>
        <v>0</v>
      </c>
    </row>
    <row r="111" spans="4:8" ht="18" customHeight="1">
      <c r="D111" s="1067" t="s">
        <v>121</v>
      </c>
      <c r="E111" s="552" t="s">
        <v>122</v>
      </c>
      <c r="F111" s="552">
        <f t="shared" si="18"/>
        <v>0</v>
      </c>
      <c r="G111" s="552">
        <f t="shared" si="19"/>
        <v>0</v>
      </c>
      <c r="H111" s="1068">
        <f t="shared" si="20"/>
        <v>0</v>
      </c>
    </row>
    <row r="112" spans="4:8" ht="18" customHeight="1">
      <c r="D112" s="1067">
        <v>125900</v>
      </c>
      <c r="E112" s="552" t="s">
        <v>123</v>
      </c>
      <c r="F112" s="552">
        <f t="shared" si="18"/>
        <v>0</v>
      </c>
      <c r="G112" s="552">
        <f t="shared" si="19"/>
        <v>0</v>
      </c>
      <c r="H112" s="1068">
        <f t="shared" si="20"/>
        <v>0</v>
      </c>
    </row>
    <row r="113" spans="4:8" ht="18" customHeight="1">
      <c r="D113" s="1067" t="s">
        <v>126</v>
      </c>
      <c r="E113" s="552" t="s">
        <v>127</v>
      </c>
      <c r="F113" s="552">
        <f t="shared" si="18"/>
        <v>0</v>
      </c>
      <c r="G113" s="552">
        <f t="shared" si="19"/>
        <v>0</v>
      </c>
      <c r="H113" s="1068">
        <f t="shared" si="20"/>
        <v>0</v>
      </c>
    </row>
    <row r="114" spans="4:8" ht="18" customHeight="1">
      <c r="D114" s="1067" t="s">
        <v>124</v>
      </c>
      <c r="E114" s="552" t="s">
        <v>125</v>
      </c>
      <c r="F114" s="552">
        <f t="shared" si="18"/>
        <v>0</v>
      </c>
      <c r="G114" s="552">
        <f t="shared" si="19"/>
        <v>0</v>
      </c>
      <c r="H114" s="1068">
        <f t="shared" si="20"/>
        <v>0</v>
      </c>
    </row>
    <row r="115" spans="4:8" ht="18" customHeight="1">
      <c r="D115" s="1067" t="s">
        <v>128</v>
      </c>
      <c r="E115" s="552" t="s">
        <v>129</v>
      </c>
      <c r="F115" s="552">
        <f t="shared" si="18"/>
        <v>0</v>
      </c>
      <c r="G115" s="552">
        <f t="shared" si="19"/>
        <v>0</v>
      </c>
      <c r="H115" s="1068">
        <f t="shared" si="20"/>
        <v>0</v>
      </c>
    </row>
    <row r="116" spans="4:8" ht="18" customHeight="1">
      <c r="D116" s="1067" t="s">
        <v>130</v>
      </c>
      <c r="E116" s="552" t="s">
        <v>131</v>
      </c>
      <c r="F116" s="552">
        <f t="shared" si="18"/>
        <v>0</v>
      </c>
      <c r="G116" s="552">
        <f t="shared" si="19"/>
        <v>0</v>
      </c>
      <c r="H116" s="1068">
        <f t="shared" si="20"/>
        <v>0</v>
      </c>
    </row>
    <row r="117" spans="4:8" ht="18" customHeight="1">
      <c r="D117" s="1067">
        <v>125950</v>
      </c>
      <c r="E117" s="552" t="s">
        <v>132</v>
      </c>
      <c r="F117" s="552">
        <f t="shared" si="18"/>
        <v>0</v>
      </c>
      <c r="G117" s="552">
        <f t="shared" si="19"/>
        <v>0</v>
      </c>
      <c r="H117" s="1068">
        <f t="shared" si="20"/>
        <v>0</v>
      </c>
    </row>
    <row r="118" spans="4:8" ht="18" customHeight="1">
      <c r="D118" s="1067">
        <v>125960</v>
      </c>
      <c r="E118" s="552" t="s">
        <v>133</v>
      </c>
      <c r="F118" s="552">
        <f t="shared" si="18"/>
        <v>0</v>
      </c>
      <c r="G118" s="552">
        <f t="shared" si="19"/>
        <v>0</v>
      </c>
      <c r="H118" s="1068">
        <f t="shared" si="20"/>
        <v>0</v>
      </c>
    </row>
    <row r="119" spans="4:8" ht="18" customHeight="1">
      <c r="D119" s="1067">
        <v>125970</v>
      </c>
      <c r="E119" s="552" t="s">
        <v>134</v>
      </c>
      <c r="F119" s="552">
        <f t="shared" si="18"/>
        <v>0</v>
      </c>
      <c r="G119" s="552">
        <f t="shared" si="19"/>
        <v>0</v>
      </c>
      <c r="H119" s="1068">
        <f t="shared" si="20"/>
        <v>0</v>
      </c>
    </row>
    <row r="120" spans="4:8" ht="18" customHeight="1">
      <c r="D120" s="1067">
        <v>125980</v>
      </c>
      <c r="E120" s="552" t="s">
        <v>135</v>
      </c>
      <c r="F120" s="552">
        <f t="shared" si="18"/>
        <v>0</v>
      </c>
      <c r="G120" s="552">
        <f t="shared" si="19"/>
        <v>0</v>
      </c>
      <c r="H120" s="1068">
        <f t="shared" si="20"/>
        <v>0</v>
      </c>
    </row>
    <row r="121" spans="4:8" ht="18" customHeight="1">
      <c r="D121" s="1061"/>
      <c r="E121" s="1062" t="s">
        <v>7</v>
      </c>
      <c r="F121" s="1062"/>
      <c r="G121" s="1062"/>
      <c r="H121" s="1063"/>
    </row>
    <row r="122" spans="4:8" ht="18" customHeight="1">
      <c r="D122" s="1067">
        <v>121850</v>
      </c>
      <c r="E122" s="552" t="s">
        <v>136</v>
      </c>
      <c r="F122" s="552">
        <f>SUMIF($J:$J,$D122,L:L)</f>
        <v>0</v>
      </c>
      <c r="G122" s="552">
        <f>SUMIF($J:$J,$D122,M:M)</f>
        <v>0</v>
      </c>
      <c r="H122" s="1068">
        <f>F122-G122</f>
        <v>0</v>
      </c>
    </row>
    <row r="123" spans="4:8" ht="18" customHeight="1">
      <c r="D123" s="1036"/>
      <c r="E123" s="1037" t="s">
        <v>8</v>
      </c>
      <c r="F123" s="1037"/>
      <c r="G123" s="1037"/>
      <c r="H123" s="1038"/>
    </row>
    <row r="124" spans="4:8" ht="18" customHeight="1">
      <c r="D124" s="1049"/>
      <c r="E124" s="992" t="s">
        <v>9</v>
      </c>
      <c r="F124" s="992"/>
      <c r="G124" s="992"/>
      <c r="H124" s="1050"/>
    </row>
    <row r="125" spans="4:8" ht="18" customHeight="1">
      <c r="D125" s="1061">
        <v>211000</v>
      </c>
      <c r="E125" s="1062" t="s">
        <v>137</v>
      </c>
      <c r="F125" s="1062"/>
      <c r="G125" s="1062"/>
      <c r="H125" s="1063"/>
    </row>
    <row r="126" spans="4:8" ht="18" customHeight="1">
      <c r="D126" s="1067">
        <v>211111</v>
      </c>
      <c r="E126" s="552" t="s">
        <v>138</v>
      </c>
      <c r="F126" s="552">
        <f t="shared" ref="F126:F144" si="21">SUMIF($J:$J,$D126,L:L)</f>
        <v>24078700</v>
      </c>
      <c r="G126" s="552">
        <f t="shared" ref="G126:G144" si="22">SUMIF($J:$J,$D126,M:M)</f>
        <v>0</v>
      </c>
      <c r="H126" s="1068">
        <f t="shared" ref="H126:H151" si="23">F126-G126</f>
        <v>24078700</v>
      </c>
    </row>
    <row r="127" spans="4:8" ht="18" customHeight="1">
      <c r="D127" s="1067">
        <v>211121</v>
      </c>
      <c r="E127" s="552" t="s">
        <v>139</v>
      </c>
      <c r="F127" s="552">
        <f t="shared" si="21"/>
        <v>0</v>
      </c>
      <c r="G127" s="552">
        <f t="shared" si="22"/>
        <v>0</v>
      </c>
      <c r="H127" s="1068">
        <f t="shared" si="23"/>
        <v>0</v>
      </c>
    </row>
    <row r="128" spans="4:8" ht="18" customHeight="1">
      <c r="D128" s="1067">
        <v>211131</v>
      </c>
      <c r="E128" s="552" t="s">
        <v>140</v>
      </c>
      <c r="F128" s="552">
        <f t="shared" si="21"/>
        <v>0</v>
      </c>
      <c r="G128" s="552">
        <f t="shared" si="22"/>
        <v>0</v>
      </c>
      <c r="H128" s="1068">
        <f t="shared" si="23"/>
        <v>0</v>
      </c>
    </row>
    <row r="129" spans="4:8" ht="18" customHeight="1">
      <c r="D129" s="1067">
        <v>211141</v>
      </c>
      <c r="E129" s="552" t="s">
        <v>141</v>
      </c>
      <c r="F129" s="552">
        <f t="shared" si="21"/>
        <v>0</v>
      </c>
      <c r="G129" s="552">
        <f t="shared" si="22"/>
        <v>0</v>
      </c>
      <c r="H129" s="1068">
        <f t="shared" si="23"/>
        <v>0</v>
      </c>
    </row>
    <row r="130" spans="4:8" ht="18" customHeight="1">
      <c r="D130" s="1067">
        <v>211151</v>
      </c>
      <c r="E130" s="552" t="s">
        <v>142</v>
      </c>
      <c r="F130" s="552">
        <f t="shared" si="21"/>
        <v>0</v>
      </c>
      <c r="G130" s="552">
        <f t="shared" si="22"/>
        <v>0</v>
      </c>
      <c r="H130" s="1068">
        <f t="shared" si="23"/>
        <v>0</v>
      </c>
    </row>
    <row r="131" spans="4:8" ht="18" customHeight="1">
      <c r="D131" s="1067">
        <v>211161</v>
      </c>
      <c r="E131" s="552" t="s">
        <v>143</v>
      </c>
      <c r="F131" s="552">
        <f t="shared" si="21"/>
        <v>0</v>
      </c>
      <c r="G131" s="552">
        <f t="shared" si="22"/>
        <v>0</v>
      </c>
      <c r="H131" s="1068">
        <f t="shared" si="23"/>
        <v>0</v>
      </c>
    </row>
    <row r="132" spans="4:8" ht="18" customHeight="1">
      <c r="D132" s="1067">
        <v>213100</v>
      </c>
      <c r="E132" s="552" t="s">
        <v>144</v>
      </c>
      <c r="F132" s="552">
        <f t="shared" si="21"/>
        <v>0</v>
      </c>
      <c r="G132" s="552">
        <f t="shared" si="22"/>
        <v>0</v>
      </c>
      <c r="H132" s="1068">
        <f t="shared" si="23"/>
        <v>0</v>
      </c>
    </row>
    <row r="133" spans="4:8" ht="18" customHeight="1">
      <c r="D133" s="1067">
        <v>213150</v>
      </c>
      <c r="E133" s="552" t="s">
        <v>145</v>
      </c>
      <c r="F133" s="552">
        <f t="shared" si="21"/>
        <v>7603800</v>
      </c>
      <c r="G133" s="552">
        <f t="shared" si="22"/>
        <v>0</v>
      </c>
      <c r="H133" s="1068">
        <f t="shared" si="23"/>
        <v>7603800</v>
      </c>
    </row>
    <row r="134" spans="4:8" ht="18" customHeight="1">
      <c r="D134" s="1067">
        <v>213900</v>
      </c>
      <c r="E134" s="552" t="s">
        <v>146</v>
      </c>
      <c r="F134" s="552">
        <f t="shared" si="21"/>
        <v>0</v>
      </c>
      <c r="G134" s="552">
        <f t="shared" si="22"/>
        <v>0</v>
      </c>
      <c r="H134" s="1068">
        <f t="shared" si="23"/>
        <v>0</v>
      </c>
    </row>
    <row r="135" spans="4:8" ht="18" customHeight="1">
      <c r="D135" s="1067">
        <v>213800</v>
      </c>
      <c r="E135" s="552" t="s">
        <v>147</v>
      </c>
      <c r="F135" s="552">
        <f t="shared" si="21"/>
        <v>0</v>
      </c>
      <c r="G135" s="552">
        <f t="shared" si="22"/>
        <v>0</v>
      </c>
      <c r="H135" s="1068">
        <f t="shared" si="23"/>
        <v>0</v>
      </c>
    </row>
    <row r="136" spans="4:8" ht="18" customHeight="1">
      <c r="D136" s="1067">
        <v>213101</v>
      </c>
      <c r="E136" s="552" t="s">
        <v>148</v>
      </c>
      <c r="F136" s="552">
        <f t="shared" si="21"/>
        <v>0</v>
      </c>
      <c r="G136" s="552">
        <f t="shared" si="22"/>
        <v>0</v>
      </c>
      <c r="H136" s="1068">
        <f t="shared" si="23"/>
        <v>0</v>
      </c>
    </row>
    <row r="137" spans="4:8" ht="18" customHeight="1">
      <c r="D137" s="1067">
        <v>213200</v>
      </c>
      <c r="E137" s="552" t="s">
        <v>149</v>
      </c>
      <c r="F137" s="552">
        <f t="shared" si="21"/>
        <v>0</v>
      </c>
      <c r="G137" s="552">
        <f t="shared" si="22"/>
        <v>0</v>
      </c>
      <c r="H137" s="1068">
        <f t="shared" si="23"/>
        <v>0</v>
      </c>
    </row>
    <row r="138" spans="4:8" ht="18" customHeight="1">
      <c r="D138" s="1067">
        <v>217900</v>
      </c>
      <c r="E138" s="552" t="s">
        <v>150</v>
      </c>
      <c r="F138" s="552">
        <f t="shared" si="21"/>
        <v>0</v>
      </c>
      <c r="G138" s="552">
        <f t="shared" si="22"/>
        <v>0</v>
      </c>
      <c r="H138" s="1068">
        <f t="shared" si="23"/>
        <v>0</v>
      </c>
    </row>
    <row r="139" spans="4:8" ht="18" customHeight="1">
      <c r="D139" s="1077">
        <v>217100</v>
      </c>
      <c r="E139" s="1159" t="s">
        <v>2272</v>
      </c>
      <c r="F139" s="552">
        <f t="shared" si="21"/>
        <v>0</v>
      </c>
      <c r="G139" s="552">
        <f t="shared" si="22"/>
        <v>0</v>
      </c>
      <c r="H139" s="1068">
        <f>F139-G139</f>
        <v>0</v>
      </c>
    </row>
    <row r="140" spans="4:8" ht="18" customHeight="1">
      <c r="D140" s="1067">
        <v>217200</v>
      </c>
      <c r="E140" s="552" t="s">
        <v>151</v>
      </c>
      <c r="F140" s="552">
        <f t="shared" si="21"/>
        <v>0</v>
      </c>
      <c r="G140" s="552">
        <f t="shared" si="22"/>
        <v>0</v>
      </c>
      <c r="H140" s="1068">
        <f t="shared" si="23"/>
        <v>0</v>
      </c>
    </row>
    <row r="141" spans="4:8" ht="18" customHeight="1">
      <c r="D141" s="1067">
        <v>217300</v>
      </c>
      <c r="E141" s="552" t="s">
        <v>152</v>
      </c>
      <c r="F141" s="552">
        <f t="shared" si="21"/>
        <v>0</v>
      </c>
      <c r="G141" s="552">
        <f t="shared" si="22"/>
        <v>0</v>
      </c>
      <c r="H141" s="1068">
        <f t="shared" si="23"/>
        <v>0</v>
      </c>
    </row>
    <row r="142" spans="4:8" ht="18" customHeight="1">
      <c r="D142" s="1067">
        <v>217400</v>
      </c>
      <c r="E142" s="552" t="s">
        <v>153</v>
      </c>
      <c r="F142" s="552">
        <f t="shared" si="21"/>
        <v>0</v>
      </c>
      <c r="G142" s="552">
        <f t="shared" si="22"/>
        <v>0</v>
      </c>
      <c r="H142" s="1068">
        <f t="shared" si="23"/>
        <v>0</v>
      </c>
    </row>
    <row r="143" spans="4:8" ht="18" customHeight="1">
      <c r="D143" s="1067">
        <v>217500</v>
      </c>
      <c r="E143" s="552" t="s">
        <v>154</v>
      </c>
      <c r="F143" s="552">
        <f t="shared" si="21"/>
        <v>0</v>
      </c>
      <c r="G143" s="552">
        <f t="shared" si="22"/>
        <v>0</v>
      </c>
      <c r="H143" s="1068">
        <f t="shared" si="23"/>
        <v>0</v>
      </c>
    </row>
    <row r="144" spans="4:8" ht="18" customHeight="1">
      <c r="D144" s="1067">
        <v>223150</v>
      </c>
      <c r="E144" s="552" t="s">
        <v>155</v>
      </c>
      <c r="F144" s="552">
        <f t="shared" si="21"/>
        <v>0</v>
      </c>
      <c r="G144" s="552">
        <f t="shared" si="22"/>
        <v>0</v>
      </c>
      <c r="H144" s="1068">
        <f t="shared" si="23"/>
        <v>0</v>
      </c>
    </row>
    <row r="145" spans="4:8" ht="18" customHeight="1">
      <c r="D145" s="1061"/>
      <c r="E145" s="1062" t="s">
        <v>156</v>
      </c>
      <c r="F145" s="1062"/>
      <c r="G145" s="1062"/>
      <c r="H145" s="1063"/>
    </row>
    <row r="146" spans="4:8" ht="18" customHeight="1">
      <c r="D146" s="1077">
        <v>212300</v>
      </c>
      <c r="E146" s="668" t="s">
        <v>157</v>
      </c>
      <c r="F146" s="668">
        <f t="shared" ref="F146:G151" si="24">SUMIF($J:$J,$D146,L:L)</f>
        <v>0</v>
      </c>
      <c r="G146" s="668">
        <f t="shared" si="24"/>
        <v>0</v>
      </c>
      <c r="H146" s="1078">
        <f t="shared" si="23"/>
        <v>0</v>
      </c>
    </row>
    <row r="147" spans="4:8" ht="18" customHeight="1">
      <c r="D147" s="1077">
        <v>212500</v>
      </c>
      <c r="E147" s="668" t="s">
        <v>1547</v>
      </c>
      <c r="F147" s="668">
        <f t="shared" si="24"/>
        <v>0</v>
      </c>
      <c r="G147" s="668">
        <f t="shared" si="24"/>
        <v>0</v>
      </c>
      <c r="H147" s="1078">
        <f t="shared" si="23"/>
        <v>0</v>
      </c>
    </row>
    <row r="148" spans="4:8" ht="18" customHeight="1">
      <c r="D148" s="1077">
        <v>230320</v>
      </c>
      <c r="E148" s="668" t="s">
        <v>158</v>
      </c>
      <c r="F148" s="668">
        <f t="shared" si="24"/>
        <v>0</v>
      </c>
      <c r="G148" s="668">
        <f t="shared" si="24"/>
        <v>0</v>
      </c>
      <c r="H148" s="1078">
        <f t="shared" si="23"/>
        <v>0</v>
      </c>
    </row>
    <row r="149" spans="4:8" ht="18" customHeight="1">
      <c r="D149" s="1077">
        <v>230321</v>
      </c>
      <c r="E149" s="668" t="s">
        <v>159</v>
      </c>
      <c r="F149" s="668">
        <f t="shared" si="24"/>
        <v>0</v>
      </c>
      <c r="G149" s="668">
        <f t="shared" si="24"/>
        <v>0</v>
      </c>
      <c r="H149" s="1078">
        <f t="shared" si="23"/>
        <v>0</v>
      </c>
    </row>
    <row r="150" spans="4:8" ht="18" customHeight="1">
      <c r="D150" s="1077">
        <v>230322</v>
      </c>
      <c r="E150" s="668" t="s">
        <v>160</v>
      </c>
      <c r="F150" s="668">
        <f t="shared" si="24"/>
        <v>0</v>
      </c>
      <c r="G150" s="668">
        <f t="shared" si="24"/>
        <v>0</v>
      </c>
      <c r="H150" s="1078">
        <f t="shared" si="23"/>
        <v>0</v>
      </c>
    </row>
    <row r="151" spans="4:8" ht="18" customHeight="1">
      <c r="D151" s="1077">
        <v>230325</v>
      </c>
      <c r="E151" s="668" t="s">
        <v>161</v>
      </c>
      <c r="F151" s="668">
        <f t="shared" si="24"/>
        <v>0</v>
      </c>
      <c r="G151" s="668">
        <f t="shared" si="24"/>
        <v>0</v>
      </c>
      <c r="H151" s="1078">
        <f t="shared" si="23"/>
        <v>0</v>
      </c>
    </row>
    <row r="152" spans="4:8" ht="18" customHeight="1">
      <c r="D152" s="1061"/>
      <c r="E152" s="1062" t="s">
        <v>162</v>
      </c>
      <c r="F152" s="1062"/>
      <c r="G152" s="1062"/>
      <c r="H152" s="1063"/>
    </row>
    <row r="153" spans="4:8" ht="18" customHeight="1">
      <c r="D153" s="1067">
        <v>214100</v>
      </c>
      <c r="E153" s="552" t="s">
        <v>163</v>
      </c>
      <c r="F153" s="552">
        <f t="shared" ref="F153:F173" si="25">SUMIF($J:$J,$D153,L:L)</f>
        <v>-5946668</v>
      </c>
      <c r="G153" s="552">
        <f t="shared" ref="G153:G173" si="26">SUMIF($J:$J,$D153,M:M)</f>
        <v>0</v>
      </c>
      <c r="H153" s="1068">
        <f t="shared" ref="H153:H173" si="27">F153-G153</f>
        <v>-5946668</v>
      </c>
    </row>
    <row r="154" spans="4:8" ht="18" customHeight="1">
      <c r="D154" s="1067">
        <v>214200</v>
      </c>
      <c r="E154" s="552" t="s">
        <v>164</v>
      </c>
      <c r="F154" s="552">
        <f t="shared" si="25"/>
        <v>0</v>
      </c>
      <c r="G154" s="552">
        <f t="shared" si="26"/>
        <v>0</v>
      </c>
      <c r="H154" s="1068">
        <f t="shared" si="27"/>
        <v>0</v>
      </c>
    </row>
    <row r="155" spans="4:8" ht="18" customHeight="1">
      <c r="D155" s="1067">
        <v>214350</v>
      </c>
      <c r="E155" s="552" t="s">
        <v>165</v>
      </c>
      <c r="F155" s="552">
        <f t="shared" si="25"/>
        <v>0</v>
      </c>
      <c r="G155" s="552">
        <f t="shared" si="26"/>
        <v>0</v>
      </c>
      <c r="H155" s="1068">
        <f t="shared" si="27"/>
        <v>0</v>
      </c>
    </row>
    <row r="156" spans="4:8" ht="18" customHeight="1">
      <c r="D156" s="1067">
        <v>214360</v>
      </c>
      <c r="E156" s="552" t="s">
        <v>166</v>
      </c>
      <c r="F156" s="552">
        <f t="shared" si="25"/>
        <v>0</v>
      </c>
      <c r="G156" s="552">
        <f t="shared" si="26"/>
        <v>0</v>
      </c>
      <c r="H156" s="1068">
        <f t="shared" si="27"/>
        <v>0</v>
      </c>
    </row>
    <row r="157" spans="4:8" ht="18" customHeight="1">
      <c r="D157" s="676" t="s">
        <v>1852</v>
      </c>
      <c r="E157" s="1160" t="s">
        <v>2022</v>
      </c>
      <c r="F157" s="552">
        <f t="shared" si="25"/>
        <v>0</v>
      </c>
      <c r="G157" s="552">
        <f t="shared" si="26"/>
        <v>0</v>
      </c>
      <c r="H157" s="1068">
        <f>F157-G157</f>
        <v>0</v>
      </c>
    </row>
    <row r="158" spans="4:8" ht="18" customHeight="1">
      <c r="D158" s="1067">
        <v>214150</v>
      </c>
      <c r="E158" s="552" t="s">
        <v>167</v>
      </c>
      <c r="F158" s="552">
        <f t="shared" si="25"/>
        <v>0</v>
      </c>
      <c r="G158" s="552">
        <f t="shared" si="26"/>
        <v>0</v>
      </c>
      <c r="H158" s="1068">
        <f t="shared" si="27"/>
        <v>0</v>
      </c>
    </row>
    <row r="159" spans="4:8" ht="18" customHeight="1">
      <c r="D159" s="1067">
        <v>214250</v>
      </c>
      <c r="E159" s="1160" t="s">
        <v>1829</v>
      </c>
      <c r="F159" s="552">
        <f t="shared" si="25"/>
        <v>0</v>
      </c>
      <c r="G159" s="552">
        <f t="shared" si="26"/>
        <v>0</v>
      </c>
      <c r="H159" s="1068">
        <f t="shared" si="27"/>
        <v>0</v>
      </c>
    </row>
    <row r="160" spans="4:8" ht="18" customHeight="1">
      <c r="D160" s="1067">
        <v>214400</v>
      </c>
      <c r="E160" s="552" t="s">
        <v>168</v>
      </c>
      <c r="F160" s="552">
        <f t="shared" si="25"/>
        <v>0</v>
      </c>
      <c r="G160" s="552">
        <f t="shared" si="26"/>
        <v>0</v>
      </c>
      <c r="H160" s="1068">
        <f t="shared" si="27"/>
        <v>0</v>
      </c>
    </row>
    <row r="161" spans="4:8" ht="18" customHeight="1">
      <c r="D161" s="1067">
        <v>214600</v>
      </c>
      <c r="E161" s="552" t="s">
        <v>169</v>
      </c>
      <c r="F161" s="552">
        <f t="shared" si="25"/>
        <v>0</v>
      </c>
      <c r="G161" s="552">
        <f t="shared" si="26"/>
        <v>0</v>
      </c>
      <c r="H161" s="1068">
        <f t="shared" si="27"/>
        <v>0</v>
      </c>
    </row>
    <row r="162" spans="4:8" ht="18" customHeight="1">
      <c r="D162" s="1067">
        <v>214700</v>
      </c>
      <c r="E162" s="552" t="s">
        <v>170</v>
      </c>
      <c r="F162" s="552">
        <f t="shared" si="25"/>
        <v>0</v>
      </c>
      <c r="G162" s="552">
        <f t="shared" si="26"/>
        <v>0</v>
      </c>
      <c r="H162" s="1068">
        <f t="shared" si="27"/>
        <v>0</v>
      </c>
    </row>
    <row r="163" spans="4:8" ht="18" customHeight="1">
      <c r="D163" s="1067">
        <v>215100</v>
      </c>
      <c r="E163" s="552" t="s">
        <v>171</v>
      </c>
      <c r="F163" s="552">
        <f t="shared" si="25"/>
        <v>0</v>
      </c>
      <c r="G163" s="552">
        <f t="shared" si="26"/>
        <v>0</v>
      </c>
      <c r="H163" s="1068">
        <f t="shared" si="27"/>
        <v>0</v>
      </c>
    </row>
    <row r="164" spans="4:8" ht="18" customHeight="1">
      <c r="D164" s="1067">
        <v>215200</v>
      </c>
      <c r="E164" s="552" t="s">
        <v>172</v>
      </c>
      <c r="F164" s="552">
        <f t="shared" si="25"/>
        <v>0</v>
      </c>
      <c r="G164" s="552">
        <f t="shared" si="26"/>
        <v>0</v>
      </c>
      <c r="H164" s="1068">
        <f t="shared" si="27"/>
        <v>0</v>
      </c>
    </row>
    <row r="165" spans="4:8" ht="18" customHeight="1">
      <c r="D165" s="1067">
        <v>215300</v>
      </c>
      <c r="E165" s="552" t="s">
        <v>173</v>
      </c>
      <c r="F165" s="552">
        <f t="shared" si="25"/>
        <v>0</v>
      </c>
      <c r="G165" s="552">
        <f t="shared" si="26"/>
        <v>0</v>
      </c>
      <c r="H165" s="1068">
        <f t="shared" si="27"/>
        <v>0</v>
      </c>
    </row>
    <row r="166" spans="4:8" ht="18" customHeight="1">
      <c r="D166" s="1067">
        <v>215400</v>
      </c>
      <c r="E166" s="552" t="s">
        <v>174</v>
      </c>
      <c r="F166" s="552">
        <f t="shared" si="25"/>
        <v>0</v>
      </c>
      <c r="G166" s="552">
        <f t="shared" si="26"/>
        <v>0</v>
      </c>
      <c r="H166" s="1068">
        <f t="shared" si="27"/>
        <v>0</v>
      </c>
    </row>
    <row r="167" spans="4:8" ht="18" customHeight="1">
      <c r="D167" s="1067">
        <v>215500</v>
      </c>
      <c r="E167" s="552" t="s">
        <v>175</v>
      </c>
      <c r="F167" s="552">
        <f t="shared" si="25"/>
        <v>0</v>
      </c>
      <c r="G167" s="552">
        <f t="shared" si="26"/>
        <v>0</v>
      </c>
      <c r="H167" s="1068">
        <f t="shared" si="27"/>
        <v>0</v>
      </c>
    </row>
    <row r="168" spans="4:8" ht="18" customHeight="1">
      <c r="D168" s="1067">
        <v>215900</v>
      </c>
      <c r="E168" s="552" t="s">
        <v>176</v>
      </c>
      <c r="F168" s="552">
        <f t="shared" si="25"/>
        <v>0</v>
      </c>
      <c r="G168" s="552">
        <f t="shared" si="26"/>
        <v>0</v>
      </c>
      <c r="H168" s="1068">
        <f t="shared" si="27"/>
        <v>0</v>
      </c>
    </row>
    <row r="169" spans="4:8" ht="18" customHeight="1">
      <c r="D169" s="1067">
        <v>215700</v>
      </c>
      <c r="E169" s="552" t="s">
        <v>177</v>
      </c>
      <c r="F169" s="552">
        <f t="shared" si="25"/>
        <v>0</v>
      </c>
      <c r="G169" s="552">
        <f t="shared" si="26"/>
        <v>0</v>
      </c>
      <c r="H169" s="1068">
        <f t="shared" si="27"/>
        <v>0</v>
      </c>
    </row>
    <row r="170" spans="4:8" ht="18" customHeight="1">
      <c r="D170" s="1067">
        <v>215800</v>
      </c>
      <c r="E170" s="552" t="s">
        <v>178</v>
      </c>
      <c r="F170" s="552">
        <f t="shared" si="25"/>
        <v>0</v>
      </c>
      <c r="G170" s="552">
        <f t="shared" si="26"/>
        <v>0</v>
      </c>
      <c r="H170" s="1068">
        <f t="shared" si="27"/>
        <v>0</v>
      </c>
    </row>
    <row r="171" spans="4:8" ht="18" customHeight="1">
      <c r="D171" s="1067">
        <v>219000</v>
      </c>
      <c r="E171" s="552" t="s">
        <v>179</v>
      </c>
      <c r="F171" s="552">
        <f t="shared" si="25"/>
        <v>0</v>
      </c>
      <c r="G171" s="552">
        <f t="shared" si="26"/>
        <v>0</v>
      </c>
      <c r="H171" s="1068">
        <f t="shared" si="27"/>
        <v>0</v>
      </c>
    </row>
    <row r="172" spans="4:8" ht="18" customHeight="1">
      <c r="D172" s="1067">
        <v>223100</v>
      </c>
      <c r="E172" s="552" t="s">
        <v>180</v>
      </c>
      <c r="F172" s="552">
        <f t="shared" si="25"/>
        <v>0</v>
      </c>
      <c r="G172" s="552">
        <f t="shared" si="26"/>
        <v>0</v>
      </c>
      <c r="H172" s="1068">
        <f t="shared" si="27"/>
        <v>0</v>
      </c>
    </row>
    <row r="173" spans="4:8" ht="18" customHeight="1">
      <c r="D173" s="1067">
        <v>223130</v>
      </c>
      <c r="E173" s="552" t="s">
        <v>181</v>
      </c>
      <c r="F173" s="552">
        <f t="shared" si="25"/>
        <v>0</v>
      </c>
      <c r="G173" s="552">
        <f t="shared" si="26"/>
        <v>0</v>
      </c>
      <c r="H173" s="1068">
        <f t="shared" si="27"/>
        <v>0</v>
      </c>
    </row>
    <row r="174" spans="4:8" ht="18" customHeight="1">
      <c r="D174" s="1061"/>
      <c r="E174" s="1062" t="s">
        <v>182</v>
      </c>
      <c r="F174" s="1062"/>
      <c r="G174" s="1062"/>
      <c r="H174" s="1063"/>
    </row>
    <row r="175" spans="4:8" ht="18" customHeight="1">
      <c r="D175" s="1067">
        <v>223110</v>
      </c>
      <c r="E175" s="552" t="s">
        <v>182</v>
      </c>
      <c r="F175" s="552">
        <f>SUMIF($J:$J,$D175,L:L)</f>
        <v>0</v>
      </c>
      <c r="G175" s="552">
        <f>SUMIF($J:$J,$D175,M:M)</f>
        <v>0</v>
      </c>
      <c r="H175" s="1068">
        <f>F175-G175</f>
        <v>0</v>
      </c>
    </row>
    <row r="176" spans="4:8" ht="18" customHeight="1">
      <c r="D176" s="1061"/>
      <c r="E176" s="1062" t="s">
        <v>218</v>
      </c>
      <c r="F176" s="1062"/>
      <c r="G176" s="1062"/>
      <c r="H176" s="1063"/>
    </row>
    <row r="177" spans="4:8" ht="18" customHeight="1">
      <c r="D177" s="1108" t="s">
        <v>224</v>
      </c>
      <c r="E177" s="552" t="s">
        <v>218</v>
      </c>
      <c r="F177" s="552">
        <f>SUMIF($J:$J,$D177,L:L)</f>
        <v>0</v>
      </c>
      <c r="G177" s="552">
        <f>SUMIF($J:$J,$D177,M:M)</f>
        <v>0</v>
      </c>
      <c r="H177" s="1068">
        <f>F177-G177</f>
        <v>0</v>
      </c>
    </row>
    <row r="178" spans="4:8" ht="18" customHeight="1">
      <c r="D178" s="1049"/>
      <c r="E178" s="992" t="s">
        <v>183</v>
      </c>
      <c r="F178" s="992"/>
      <c r="G178" s="992"/>
      <c r="H178" s="1050"/>
    </row>
    <row r="179" spans="4:8" ht="18" customHeight="1">
      <c r="D179" s="1061"/>
      <c r="E179" s="1062" t="s">
        <v>184</v>
      </c>
      <c r="F179" s="1062"/>
      <c r="G179" s="1062"/>
      <c r="H179" s="1063"/>
    </row>
    <row r="180" spans="4:8" ht="18" customHeight="1">
      <c r="D180" s="1067">
        <v>230700</v>
      </c>
      <c r="E180" s="552" t="s">
        <v>185</v>
      </c>
      <c r="F180" s="552">
        <f>SUMIF($J:$J,$D180,L:L)</f>
        <v>0</v>
      </c>
      <c r="G180" s="552">
        <f>SUMIF($J:$J,$D180,M:M)</f>
        <v>0</v>
      </c>
      <c r="H180" s="1068">
        <f>F180-G180</f>
        <v>0</v>
      </c>
    </row>
    <row r="181" spans="4:8" ht="18" customHeight="1">
      <c r="D181" s="1067">
        <v>122110</v>
      </c>
      <c r="E181" s="552" t="s">
        <v>186</v>
      </c>
      <c r="F181" s="552">
        <f>SUMIF($J:$J,$D181,L:L)</f>
        <v>0</v>
      </c>
      <c r="G181" s="552">
        <f>SUMIF($J:$J,$D181,M:M)</f>
        <v>0</v>
      </c>
      <c r="H181" s="1068">
        <f>F181-G181</f>
        <v>0</v>
      </c>
    </row>
    <row r="182" spans="4:8" ht="18" customHeight="1">
      <c r="D182" s="1061"/>
      <c r="E182" s="1062" t="s">
        <v>187</v>
      </c>
      <c r="F182" s="1062"/>
      <c r="G182" s="1062"/>
      <c r="H182" s="1063"/>
    </row>
    <row r="183" spans="4:8" ht="18" customHeight="1">
      <c r="D183" s="1067">
        <v>230900</v>
      </c>
      <c r="E183" s="552" t="s">
        <v>188</v>
      </c>
      <c r="F183" s="552">
        <f>SUMIF($J:$J,$D183,L:L)</f>
        <v>0</v>
      </c>
      <c r="G183" s="552">
        <f>SUMIF($J:$J,$D183,M:M)</f>
        <v>0</v>
      </c>
      <c r="H183" s="1068">
        <f>F183-G183</f>
        <v>0</v>
      </c>
    </row>
    <row r="184" spans="4:8" ht="18" customHeight="1">
      <c r="D184" s="1061"/>
      <c r="E184" s="1062" t="s">
        <v>189</v>
      </c>
      <c r="F184" s="1062"/>
      <c r="G184" s="1062"/>
      <c r="H184" s="1063"/>
    </row>
    <row r="185" spans="4:8" ht="18" customHeight="1">
      <c r="D185" s="1067">
        <v>231600</v>
      </c>
      <c r="E185" s="552" t="s">
        <v>189</v>
      </c>
      <c r="F185" s="552">
        <f>SUMIF($J:$J,$D185,L:L)</f>
        <v>0</v>
      </c>
      <c r="G185" s="552">
        <f>SUMIF($J:$J,$D185,M:M)</f>
        <v>0</v>
      </c>
      <c r="H185" s="1068">
        <f>F185-G185</f>
        <v>0</v>
      </c>
    </row>
    <row r="186" spans="4:8" ht="18" customHeight="1">
      <c r="D186" s="1036"/>
      <c r="E186" s="1037" t="s">
        <v>14</v>
      </c>
      <c r="F186" s="1037"/>
      <c r="G186" s="1037"/>
      <c r="H186" s="1038"/>
    </row>
    <row r="187" spans="4:8" ht="18" customHeight="1">
      <c r="D187" s="1049"/>
      <c r="E187" s="992" t="s">
        <v>11</v>
      </c>
      <c r="F187" s="992"/>
      <c r="G187" s="992"/>
      <c r="H187" s="1050"/>
    </row>
    <row r="188" spans="4:8" ht="18" customHeight="1">
      <c r="D188" s="1061"/>
      <c r="E188" s="1062" t="s">
        <v>10</v>
      </c>
      <c r="F188" s="1062"/>
      <c r="G188" s="1062"/>
      <c r="H188" s="1063"/>
    </row>
    <row r="189" spans="4:8" ht="18" customHeight="1">
      <c r="D189" s="1067">
        <v>310100</v>
      </c>
      <c r="E189" s="552" t="s">
        <v>190</v>
      </c>
      <c r="F189" s="552">
        <f>SUMIF($J:$J,$D189,L:L)</f>
        <v>0</v>
      </c>
      <c r="G189" s="552">
        <f>SUMIF($J:$J,$D189,M:M)</f>
        <v>0</v>
      </c>
      <c r="H189" s="1068">
        <f>F189-G189</f>
        <v>0</v>
      </c>
    </row>
    <row r="190" spans="4:8" ht="18" customHeight="1">
      <c r="D190" s="1061"/>
      <c r="E190" s="1062" t="s">
        <v>12</v>
      </c>
      <c r="F190" s="1062"/>
      <c r="G190" s="1062"/>
      <c r="H190" s="1063"/>
    </row>
    <row r="191" spans="4:8" ht="18" customHeight="1">
      <c r="D191" s="1067">
        <v>320100</v>
      </c>
      <c r="E191" s="552" t="s">
        <v>191</v>
      </c>
      <c r="F191" s="552">
        <f t="shared" ref="F191:G193" si="28">SUMIF($J:$J,$D191,L:L)</f>
        <v>0</v>
      </c>
      <c r="G191" s="552">
        <f t="shared" si="28"/>
        <v>0</v>
      </c>
      <c r="H191" s="1068">
        <f>F191-G191</f>
        <v>0</v>
      </c>
    </row>
    <row r="192" spans="4:8" ht="18" customHeight="1">
      <c r="D192" s="1067">
        <v>320500</v>
      </c>
      <c r="E192" s="552" t="s">
        <v>192</v>
      </c>
      <c r="F192" s="552">
        <f t="shared" si="28"/>
        <v>0</v>
      </c>
      <c r="G192" s="552">
        <f t="shared" si="28"/>
        <v>0</v>
      </c>
      <c r="H192" s="1068">
        <f>F192-G192</f>
        <v>0</v>
      </c>
    </row>
    <row r="193" spans="4:8" ht="18" customHeight="1">
      <c r="D193" s="1067">
        <v>320300</v>
      </c>
      <c r="E193" s="552" t="s">
        <v>193</v>
      </c>
      <c r="F193" s="552">
        <f t="shared" si="28"/>
        <v>0</v>
      </c>
      <c r="G193" s="552">
        <f t="shared" si="28"/>
        <v>0</v>
      </c>
      <c r="H193" s="1068">
        <f>F193-G193</f>
        <v>0</v>
      </c>
    </row>
    <row r="194" spans="4:8" ht="18" customHeight="1">
      <c r="D194" s="1061"/>
      <c r="E194" s="1062" t="s">
        <v>194</v>
      </c>
      <c r="F194" s="1062"/>
      <c r="G194" s="1062"/>
      <c r="H194" s="1063"/>
    </row>
    <row r="195" spans="4:8" ht="18" customHeight="1">
      <c r="D195" s="1067">
        <v>350300</v>
      </c>
      <c r="E195" s="552" t="s">
        <v>195</v>
      </c>
      <c r="F195" s="552">
        <f t="shared" ref="F195:G202" si="29">SUMIF($J:$J,$D195,L:L)</f>
        <v>0</v>
      </c>
      <c r="G195" s="552">
        <f t="shared" si="29"/>
        <v>0</v>
      </c>
      <c r="H195" s="1068">
        <f t="shared" ref="H195:H202" si="30">F195-G195</f>
        <v>0</v>
      </c>
    </row>
    <row r="196" spans="4:8" ht="18" customHeight="1">
      <c r="D196" s="1067">
        <v>350350</v>
      </c>
      <c r="E196" s="552" t="s">
        <v>196</v>
      </c>
      <c r="F196" s="552">
        <f t="shared" si="29"/>
        <v>0</v>
      </c>
      <c r="G196" s="552">
        <f t="shared" si="29"/>
        <v>0</v>
      </c>
      <c r="H196" s="1068">
        <f t="shared" si="30"/>
        <v>0</v>
      </c>
    </row>
    <row r="197" spans="4:8" ht="18" customHeight="1">
      <c r="D197" s="1067" t="s">
        <v>226</v>
      </c>
      <c r="E197" s="552" t="s">
        <v>225</v>
      </c>
      <c r="F197" s="552">
        <f t="shared" si="29"/>
        <v>0</v>
      </c>
      <c r="G197" s="552">
        <f t="shared" si="29"/>
        <v>0</v>
      </c>
      <c r="H197" s="1068">
        <f t="shared" si="30"/>
        <v>0</v>
      </c>
    </row>
    <row r="198" spans="4:8" ht="18" customHeight="1">
      <c r="D198" s="1067">
        <v>350400</v>
      </c>
      <c r="E198" s="552" t="s">
        <v>197</v>
      </c>
      <c r="F198" s="552">
        <f t="shared" si="29"/>
        <v>0</v>
      </c>
      <c r="G198" s="552">
        <f t="shared" si="29"/>
        <v>0</v>
      </c>
      <c r="H198" s="1068">
        <f t="shared" si="30"/>
        <v>0</v>
      </c>
    </row>
    <row r="199" spans="4:8" ht="18" customHeight="1">
      <c r="D199" s="1067">
        <v>350210</v>
      </c>
      <c r="E199" s="552" t="s">
        <v>198</v>
      </c>
      <c r="F199" s="552">
        <f t="shared" si="29"/>
        <v>0</v>
      </c>
      <c r="G199" s="552">
        <f t="shared" si="29"/>
        <v>0</v>
      </c>
      <c r="H199" s="1068">
        <f t="shared" si="30"/>
        <v>0</v>
      </c>
    </row>
    <row r="200" spans="4:8" ht="18" customHeight="1">
      <c r="D200" s="1067" t="s">
        <v>199</v>
      </c>
      <c r="E200" s="552" t="s">
        <v>200</v>
      </c>
      <c r="F200" s="552">
        <f t="shared" si="29"/>
        <v>0</v>
      </c>
      <c r="G200" s="552">
        <f t="shared" si="29"/>
        <v>0</v>
      </c>
      <c r="H200" s="1068">
        <f t="shared" si="30"/>
        <v>0</v>
      </c>
    </row>
    <row r="201" spans="4:8" ht="18" customHeight="1">
      <c r="D201" s="1067" t="s">
        <v>201</v>
      </c>
      <c r="E201" s="552" t="s">
        <v>202</v>
      </c>
      <c r="F201" s="552">
        <f t="shared" si="29"/>
        <v>0</v>
      </c>
      <c r="G201" s="552">
        <f t="shared" si="29"/>
        <v>0</v>
      </c>
      <c r="H201" s="1068">
        <f t="shared" si="30"/>
        <v>0</v>
      </c>
    </row>
    <row r="202" spans="4:8" ht="18" customHeight="1">
      <c r="D202" s="1067" t="s">
        <v>203</v>
      </c>
      <c r="E202" s="552" t="s">
        <v>204</v>
      </c>
      <c r="F202" s="552">
        <f t="shared" si="29"/>
        <v>0</v>
      </c>
      <c r="G202" s="552">
        <f t="shared" si="29"/>
        <v>0</v>
      </c>
      <c r="H202" s="1068">
        <f t="shared" si="30"/>
        <v>0</v>
      </c>
    </row>
    <row r="203" spans="4:8" ht="18" customHeight="1">
      <c r="D203" s="1061"/>
      <c r="E203" s="1062" t="s">
        <v>13</v>
      </c>
      <c r="F203" s="1062"/>
      <c r="G203" s="1062"/>
      <c r="H203" s="1063"/>
    </row>
    <row r="204" spans="4:8" ht="18" customHeight="1">
      <c r="D204" s="1067">
        <v>350951</v>
      </c>
      <c r="E204" s="552" t="s">
        <v>205</v>
      </c>
      <c r="F204" s="552">
        <f t="shared" ref="F204:G206" si="31">SUMIF($J:$J,$D204,L:L)</f>
        <v>0</v>
      </c>
      <c r="G204" s="552">
        <f t="shared" si="31"/>
        <v>0</v>
      </c>
      <c r="H204" s="1068">
        <f>F204-G204</f>
        <v>0</v>
      </c>
    </row>
    <row r="205" spans="4:8" ht="18" customHeight="1">
      <c r="D205" s="1067" t="s">
        <v>1354</v>
      </c>
      <c r="E205" s="552" t="s">
        <v>207</v>
      </c>
      <c r="F205" s="552">
        <f t="shared" si="31"/>
        <v>-1541057535</v>
      </c>
      <c r="G205" s="552">
        <f t="shared" si="31"/>
        <v>466667</v>
      </c>
      <c r="H205" s="1068">
        <f>F205-G205</f>
        <v>-1541524202</v>
      </c>
    </row>
    <row r="206" spans="4:8" ht="18" customHeight="1">
      <c r="D206" s="1067" t="s">
        <v>1355</v>
      </c>
      <c r="E206" s="552" t="s">
        <v>209</v>
      </c>
      <c r="F206" s="552">
        <f t="shared" si="31"/>
        <v>0</v>
      </c>
      <c r="G206" s="552">
        <f t="shared" si="31"/>
        <v>0</v>
      </c>
      <c r="H206" s="1068">
        <f>F206-G206</f>
        <v>0</v>
      </c>
    </row>
    <row r="207" spans="4:8" ht="18" customHeight="1">
      <c r="D207" s="1049"/>
      <c r="E207" s="992" t="s">
        <v>210</v>
      </c>
      <c r="F207" s="992"/>
      <c r="G207" s="992"/>
      <c r="H207" s="1050"/>
    </row>
    <row r="208" spans="4:8" ht="18" customHeight="1">
      <c r="D208" s="1067" t="s">
        <v>492</v>
      </c>
      <c r="E208" s="943" t="s">
        <v>210</v>
      </c>
      <c r="F208" s="943">
        <f>SUMIF($J:$J,$D208,L:L)</f>
        <v>0</v>
      </c>
      <c r="G208" s="943">
        <f>SUMIF($J:$J,$D208,M:M)</f>
        <v>0</v>
      </c>
      <c r="H208" s="1068">
        <f>F208-G208</f>
        <v>0</v>
      </c>
    </row>
    <row r="209" spans="4:8" ht="18" customHeight="1" thickBot="1">
      <c r="D209" s="1161"/>
      <c r="E209" s="1162" t="s">
        <v>212</v>
      </c>
      <c r="F209" s="1162"/>
      <c r="G209" s="1162"/>
      <c r="H209" s="1163"/>
    </row>
    <row r="210" spans="4:8" ht="18" customHeight="1">
      <c r="D210" s="1164"/>
      <c r="E210" s="494"/>
      <c r="F210" s="494">
        <f>SUM(F6:F209)</f>
        <v>28535832</v>
      </c>
      <c r="G210" s="494">
        <f>SUM(G6:G209)</f>
        <v>1578340035</v>
      </c>
      <c r="H210" s="494"/>
    </row>
    <row r="211" spans="4:8" ht="18" customHeight="1">
      <c r="D211" s="1165"/>
    </row>
    <row r="212" spans="4:8" ht="18" customHeight="1" thickBot="1">
      <c r="D212" s="1166" t="s">
        <v>408</v>
      </c>
      <c r="H212" s="498">
        <f>ROUND(SUM(H214:H317),)</f>
        <v>1549804203</v>
      </c>
    </row>
    <row r="213" spans="4:8" ht="18" customHeight="1">
      <c r="D213" s="1167" t="s">
        <v>16</v>
      </c>
      <c r="E213" s="1025" t="s">
        <v>19</v>
      </c>
      <c r="F213" s="1025" t="s">
        <v>404</v>
      </c>
      <c r="G213" s="1025" t="s">
        <v>405</v>
      </c>
      <c r="H213" s="1026" t="s">
        <v>406</v>
      </c>
    </row>
    <row r="214" spans="4:8" ht="18" customHeight="1">
      <c r="D214" s="1049"/>
      <c r="E214" s="1168" t="s">
        <v>228</v>
      </c>
      <c r="F214" s="1169"/>
      <c r="G214" s="1169"/>
      <c r="H214" s="1170"/>
    </row>
    <row r="215" spans="4:8" ht="18" customHeight="1">
      <c r="D215" s="1067">
        <v>410100</v>
      </c>
      <c r="E215" s="552" t="s">
        <v>612</v>
      </c>
      <c r="F215" s="552">
        <f t="shared" ref="F215:F230" si="32">SUMIF($J:$J,$D215,L:L)</f>
        <v>0</v>
      </c>
      <c r="G215" s="552">
        <f t="shared" ref="G215:G230" si="33">SUMIF($J:$J,$D215,M:M)</f>
        <v>0</v>
      </c>
      <c r="H215" s="1068">
        <f>F215-G215</f>
        <v>0</v>
      </c>
    </row>
    <row r="216" spans="4:8" ht="18" customHeight="1">
      <c r="D216" s="1067">
        <v>410120</v>
      </c>
      <c r="E216" s="552" t="s">
        <v>613</v>
      </c>
      <c r="F216" s="552">
        <f t="shared" si="32"/>
        <v>0</v>
      </c>
      <c r="G216" s="552">
        <f t="shared" si="33"/>
        <v>0</v>
      </c>
      <c r="H216" s="1068">
        <f t="shared" ref="H216:H230" si="34">F216-G216</f>
        <v>0</v>
      </c>
    </row>
    <row r="217" spans="4:8" ht="18" customHeight="1">
      <c r="D217" s="1067">
        <v>410130</v>
      </c>
      <c r="E217" s="552" t="s">
        <v>614</v>
      </c>
      <c r="F217" s="552">
        <f t="shared" si="32"/>
        <v>1118559196</v>
      </c>
      <c r="G217" s="552">
        <f t="shared" si="33"/>
        <v>0</v>
      </c>
      <c r="H217" s="1068">
        <f>F217-G217</f>
        <v>1118559196</v>
      </c>
    </row>
    <row r="218" spans="4:8" ht="18" customHeight="1">
      <c r="D218" s="1067">
        <v>410140</v>
      </c>
      <c r="E218" s="552" t="s">
        <v>615</v>
      </c>
      <c r="F218" s="552">
        <f t="shared" si="32"/>
        <v>0</v>
      </c>
      <c r="G218" s="552">
        <f t="shared" si="33"/>
        <v>0</v>
      </c>
      <c r="H218" s="1068">
        <f t="shared" si="34"/>
        <v>0</v>
      </c>
    </row>
    <row r="219" spans="4:8" ht="18" customHeight="1">
      <c r="D219" s="1067">
        <v>410200</v>
      </c>
      <c r="E219" s="552" t="s">
        <v>616</v>
      </c>
      <c r="F219" s="552">
        <f t="shared" si="32"/>
        <v>0</v>
      </c>
      <c r="G219" s="552">
        <f t="shared" si="33"/>
        <v>0</v>
      </c>
      <c r="H219" s="1068">
        <f t="shared" si="34"/>
        <v>0</v>
      </c>
    </row>
    <row r="220" spans="4:8" ht="18" customHeight="1">
      <c r="D220" s="1067">
        <v>410220</v>
      </c>
      <c r="E220" s="552" t="s">
        <v>617</v>
      </c>
      <c r="F220" s="552">
        <f t="shared" si="32"/>
        <v>0</v>
      </c>
      <c r="G220" s="552">
        <f t="shared" si="33"/>
        <v>0</v>
      </c>
      <c r="H220" s="1068">
        <f t="shared" si="34"/>
        <v>0</v>
      </c>
    </row>
    <row r="221" spans="4:8" ht="18" customHeight="1">
      <c r="D221" s="1067">
        <v>410230</v>
      </c>
      <c r="E221" s="552" t="s">
        <v>618</v>
      </c>
      <c r="F221" s="552">
        <f t="shared" si="32"/>
        <v>0</v>
      </c>
      <c r="G221" s="552">
        <f t="shared" si="33"/>
        <v>0</v>
      </c>
      <c r="H221" s="1068">
        <f t="shared" si="34"/>
        <v>0</v>
      </c>
    </row>
    <row r="222" spans="4:8" ht="18" customHeight="1">
      <c r="D222" s="1067">
        <v>410240</v>
      </c>
      <c r="E222" s="552" t="s">
        <v>619</v>
      </c>
      <c r="F222" s="552">
        <f t="shared" si="32"/>
        <v>2696524</v>
      </c>
      <c r="G222" s="552">
        <f t="shared" si="33"/>
        <v>0</v>
      </c>
      <c r="H222" s="1068">
        <f t="shared" si="34"/>
        <v>2696524</v>
      </c>
    </row>
    <row r="223" spans="4:8" ht="18" customHeight="1">
      <c r="D223" s="1067">
        <v>410241</v>
      </c>
      <c r="E223" s="552" t="s">
        <v>620</v>
      </c>
      <c r="F223" s="552">
        <f t="shared" si="32"/>
        <v>0</v>
      </c>
      <c r="G223" s="552">
        <f t="shared" si="33"/>
        <v>0</v>
      </c>
      <c r="H223" s="1068">
        <f t="shared" si="34"/>
        <v>0</v>
      </c>
    </row>
    <row r="224" spans="4:8" ht="18" customHeight="1">
      <c r="D224" s="1067">
        <v>410610</v>
      </c>
      <c r="E224" s="552" t="s">
        <v>231</v>
      </c>
      <c r="F224" s="552">
        <f t="shared" si="32"/>
        <v>0</v>
      </c>
      <c r="G224" s="552">
        <f t="shared" si="33"/>
        <v>0</v>
      </c>
      <c r="H224" s="1068">
        <f t="shared" si="34"/>
        <v>0</v>
      </c>
    </row>
    <row r="225" spans="4:8" ht="18" customHeight="1">
      <c r="D225" s="1067">
        <v>410620</v>
      </c>
      <c r="E225" s="552" t="s">
        <v>232</v>
      </c>
      <c r="F225" s="552">
        <f t="shared" si="32"/>
        <v>0</v>
      </c>
      <c r="G225" s="552">
        <f t="shared" si="33"/>
        <v>0</v>
      </c>
      <c r="H225" s="1068">
        <f t="shared" si="34"/>
        <v>0</v>
      </c>
    </row>
    <row r="226" spans="4:8" ht="18" customHeight="1">
      <c r="D226" s="1067">
        <v>410630</v>
      </c>
      <c r="E226" s="552" t="s">
        <v>233</v>
      </c>
      <c r="F226" s="552">
        <f t="shared" si="32"/>
        <v>0</v>
      </c>
      <c r="G226" s="552">
        <f t="shared" si="33"/>
        <v>0</v>
      </c>
      <c r="H226" s="1068">
        <f t="shared" si="34"/>
        <v>0</v>
      </c>
    </row>
    <row r="227" spans="4:8" ht="18" customHeight="1">
      <c r="D227" s="1067">
        <v>410640</v>
      </c>
      <c r="E227" s="552" t="s">
        <v>234</v>
      </c>
      <c r="F227" s="552">
        <f t="shared" si="32"/>
        <v>0</v>
      </c>
      <c r="G227" s="552">
        <f t="shared" si="33"/>
        <v>0</v>
      </c>
      <c r="H227" s="1068">
        <f t="shared" si="34"/>
        <v>0</v>
      </c>
    </row>
    <row r="228" spans="4:8" ht="18" customHeight="1">
      <c r="D228" s="1067">
        <v>410650</v>
      </c>
      <c r="E228" s="552" t="s">
        <v>235</v>
      </c>
      <c r="F228" s="552">
        <f t="shared" si="32"/>
        <v>0</v>
      </c>
      <c r="G228" s="552">
        <f t="shared" si="33"/>
        <v>0</v>
      </c>
      <c r="H228" s="1068">
        <f t="shared" si="34"/>
        <v>0</v>
      </c>
    </row>
    <row r="229" spans="4:8" ht="18" customHeight="1">
      <c r="D229" s="1067">
        <v>410660</v>
      </c>
      <c r="E229" s="552" t="s">
        <v>236</v>
      </c>
      <c r="F229" s="552">
        <f t="shared" si="32"/>
        <v>0</v>
      </c>
      <c r="G229" s="552">
        <f t="shared" si="33"/>
        <v>0</v>
      </c>
      <c r="H229" s="1068">
        <f t="shared" si="34"/>
        <v>0</v>
      </c>
    </row>
    <row r="230" spans="4:8" ht="18" customHeight="1">
      <c r="D230" s="1067">
        <v>410899</v>
      </c>
      <c r="E230" s="552" t="s">
        <v>237</v>
      </c>
      <c r="F230" s="552">
        <f t="shared" si="32"/>
        <v>2446479744</v>
      </c>
      <c r="G230" s="552">
        <f t="shared" si="33"/>
        <v>0</v>
      </c>
      <c r="H230" s="1171">
        <f t="shared" si="34"/>
        <v>2446479744</v>
      </c>
    </row>
    <row r="231" spans="4:8" ht="18" customHeight="1">
      <c r="D231" s="1049"/>
      <c r="E231" s="992" t="s">
        <v>238</v>
      </c>
      <c r="F231" s="992"/>
      <c r="G231" s="992"/>
      <c r="H231" s="1050"/>
    </row>
    <row r="232" spans="4:8" ht="18" customHeight="1">
      <c r="D232" s="1067" t="s">
        <v>239</v>
      </c>
      <c r="E232" s="552" t="s">
        <v>240</v>
      </c>
      <c r="F232" s="552">
        <f t="shared" ref="F232:F240" si="35">SUMIF($J:$J,$D232,L:L)</f>
        <v>0</v>
      </c>
      <c r="G232" s="552">
        <f t="shared" ref="G232:G240" si="36">SUMIF($J:$J,$D232,M:M)</f>
        <v>1118559196</v>
      </c>
      <c r="H232" s="1068">
        <f t="shared" ref="H232:H240" si="37">F232-G232</f>
        <v>-1118559196</v>
      </c>
    </row>
    <row r="233" spans="4:8" ht="18" customHeight="1">
      <c r="D233" s="1067" t="s">
        <v>241</v>
      </c>
      <c r="E233" s="552" t="s">
        <v>242</v>
      </c>
      <c r="F233" s="552">
        <f t="shared" si="35"/>
        <v>0</v>
      </c>
      <c r="G233" s="552">
        <f t="shared" si="36"/>
        <v>0</v>
      </c>
      <c r="H233" s="1068">
        <f t="shared" si="37"/>
        <v>0</v>
      </c>
    </row>
    <row r="234" spans="4:8" ht="18" customHeight="1">
      <c r="D234" s="1067" t="s">
        <v>243</v>
      </c>
      <c r="E234" s="552" t="s">
        <v>244</v>
      </c>
      <c r="F234" s="552">
        <f t="shared" si="35"/>
        <v>0</v>
      </c>
      <c r="G234" s="552">
        <f t="shared" si="36"/>
        <v>0</v>
      </c>
      <c r="H234" s="1068">
        <f t="shared" si="37"/>
        <v>0</v>
      </c>
    </row>
    <row r="235" spans="4:8" ht="18" customHeight="1">
      <c r="D235" s="1067" t="s">
        <v>245</v>
      </c>
      <c r="E235" s="552" t="s">
        <v>246</v>
      </c>
      <c r="F235" s="552">
        <f t="shared" si="35"/>
        <v>0</v>
      </c>
      <c r="G235" s="552">
        <f t="shared" si="36"/>
        <v>0</v>
      </c>
      <c r="H235" s="1068">
        <f t="shared" si="37"/>
        <v>0</v>
      </c>
    </row>
    <row r="236" spans="4:8" ht="18" customHeight="1">
      <c r="D236" s="1067" t="s">
        <v>247</v>
      </c>
      <c r="E236" s="552" t="s">
        <v>248</v>
      </c>
      <c r="F236" s="552">
        <f t="shared" si="35"/>
        <v>0</v>
      </c>
      <c r="G236" s="552">
        <f t="shared" si="36"/>
        <v>0</v>
      </c>
      <c r="H236" s="1068">
        <f t="shared" si="37"/>
        <v>0</v>
      </c>
    </row>
    <row r="237" spans="4:8" ht="18" customHeight="1">
      <c r="D237" s="1067" t="s">
        <v>249</v>
      </c>
      <c r="E237" s="552" t="s">
        <v>250</v>
      </c>
      <c r="F237" s="552">
        <f t="shared" si="35"/>
        <v>0</v>
      </c>
      <c r="G237" s="552">
        <f t="shared" si="36"/>
        <v>0</v>
      </c>
      <c r="H237" s="1068">
        <f t="shared" si="37"/>
        <v>0</v>
      </c>
    </row>
    <row r="238" spans="4:8" ht="18" customHeight="1">
      <c r="D238" s="1067" t="s">
        <v>251</v>
      </c>
      <c r="E238" s="552" t="s">
        <v>252</v>
      </c>
      <c r="F238" s="552">
        <f t="shared" si="35"/>
        <v>0</v>
      </c>
      <c r="G238" s="552">
        <f t="shared" si="36"/>
        <v>0</v>
      </c>
      <c r="H238" s="1068">
        <f t="shared" si="37"/>
        <v>0</v>
      </c>
    </row>
    <row r="239" spans="4:8" ht="18" customHeight="1">
      <c r="D239" s="1067" t="s">
        <v>253</v>
      </c>
      <c r="E239" s="552" t="s">
        <v>254</v>
      </c>
      <c r="F239" s="552">
        <f t="shared" si="35"/>
        <v>0</v>
      </c>
      <c r="G239" s="552">
        <f t="shared" si="36"/>
        <v>0</v>
      </c>
      <c r="H239" s="1068">
        <f t="shared" si="37"/>
        <v>0</v>
      </c>
    </row>
    <row r="240" spans="4:8" ht="18" customHeight="1">
      <c r="D240" s="1067" t="s">
        <v>255</v>
      </c>
      <c r="E240" s="552" t="s">
        <v>256</v>
      </c>
      <c r="F240" s="552">
        <f t="shared" si="35"/>
        <v>0</v>
      </c>
      <c r="G240" s="552">
        <f t="shared" si="36"/>
        <v>0</v>
      </c>
      <c r="H240" s="1068">
        <f t="shared" si="37"/>
        <v>0</v>
      </c>
    </row>
    <row r="241" spans="4:8" ht="18" customHeight="1">
      <c r="D241" s="1049"/>
      <c r="E241" s="992" t="s">
        <v>257</v>
      </c>
      <c r="F241" s="992"/>
      <c r="G241" s="992"/>
      <c r="H241" s="1050"/>
    </row>
    <row r="242" spans="4:8" ht="18" customHeight="1">
      <c r="D242" s="1049"/>
      <c r="E242" s="992" t="s">
        <v>258</v>
      </c>
      <c r="F242" s="992"/>
      <c r="G242" s="992"/>
      <c r="H242" s="1050"/>
    </row>
    <row r="243" spans="4:8" ht="18" customHeight="1">
      <c r="D243" s="1067" t="s">
        <v>259</v>
      </c>
      <c r="E243" s="552" t="s">
        <v>260</v>
      </c>
      <c r="F243" s="552">
        <f t="shared" ref="F243:F271" si="38">SUMIF($J:$J,$D243,L:L)</f>
        <v>0</v>
      </c>
      <c r="G243" s="552">
        <f t="shared" ref="G243:G271" si="39">SUMIF($J:$J,$D243,M:M)</f>
        <v>0</v>
      </c>
      <c r="H243" s="1068">
        <f t="shared" ref="H243:H271" si="40">F243-G243</f>
        <v>0</v>
      </c>
    </row>
    <row r="244" spans="4:8" ht="18" customHeight="1">
      <c r="D244" s="1067" t="s">
        <v>261</v>
      </c>
      <c r="E244" s="552" t="s">
        <v>262</v>
      </c>
      <c r="F244" s="552">
        <f t="shared" si="38"/>
        <v>0</v>
      </c>
      <c r="G244" s="552">
        <f t="shared" si="39"/>
        <v>0</v>
      </c>
      <c r="H244" s="1068">
        <f t="shared" si="40"/>
        <v>0</v>
      </c>
    </row>
    <row r="245" spans="4:8" ht="18" customHeight="1">
      <c r="D245" s="1067" t="s">
        <v>263</v>
      </c>
      <c r="E245" s="552" t="s">
        <v>264</v>
      </c>
      <c r="F245" s="552">
        <f t="shared" si="38"/>
        <v>0</v>
      </c>
      <c r="G245" s="552">
        <f t="shared" si="39"/>
        <v>0</v>
      </c>
      <c r="H245" s="1068">
        <f t="shared" si="40"/>
        <v>0</v>
      </c>
    </row>
    <row r="246" spans="4:8" ht="18" customHeight="1">
      <c r="D246" s="1067" t="s">
        <v>265</v>
      </c>
      <c r="E246" s="552" t="s">
        <v>266</v>
      </c>
      <c r="F246" s="552">
        <f t="shared" si="38"/>
        <v>0</v>
      </c>
      <c r="G246" s="552">
        <f t="shared" si="39"/>
        <v>0</v>
      </c>
      <c r="H246" s="1068">
        <f t="shared" si="40"/>
        <v>0</v>
      </c>
    </row>
    <row r="247" spans="4:8" ht="18" customHeight="1">
      <c r="D247" s="1067" t="s">
        <v>267</v>
      </c>
      <c r="E247" s="552" t="s">
        <v>268</v>
      </c>
      <c r="F247" s="552">
        <f t="shared" si="38"/>
        <v>0</v>
      </c>
      <c r="G247" s="552">
        <f t="shared" si="39"/>
        <v>0</v>
      </c>
      <c r="H247" s="1068">
        <f t="shared" si="40"/>
        <v>0</v>
      </c>
    </row>
    <row r="248" spans="4:8" ht="18" customHeight="1">
      <c r="D248" s="1067" t="s">
        <v>269</v>
      </c>
      <c r="E248" s="552" t="s">
        <v>270</v>
      </c>
      <c r="F248" s="552">
        <f t="shared" si="38"/>
        <v>0</v>
      </c>
      <c r="G248" s="552">
        <f t="shared" si="39"/>
        <v>0</v>
      </c>
      <c r="H248" s="1068">
        <f t="shared" si="40"/>
        <v>0</v>
      </c>
    </row>
    <row r="249" spans="4:8" ht="18" customHeight="1">
      <c r="D249" s="1067" t="s">
        <v>271</v>
      </c>
      <c r="E249" s="552" t="s">
        <v>272</v>
      </c>
      <c r="F249" s="552">
        <f t="shared" si="38"/>
        <v>0</v>
      </c>
      <c r="G249" s="552">
        <f t="shared" si="39"/>
        <v>0</v>
      </c>
      <c r="H249" s="1068">
        <f t="shared" si="40"/>
        <v>0</v>
      </c>
    </row>
    <row r="250" spans="4:8" ht="18" customHeight="1">
      <c r="D250" s="1067" t="s">
        <v>273</v>
      </c>
      <c r="E250" s="552" t="s">
        <v>274</v>
      </c>
      <c r="F250" s="552">
        <f t="shared" si="38"/>
        <v>0</v>
      </c>
      <c r="G250" s="552">
        <f t="shared" si="39"/>
        <v>0</v>
      </c>
      <c r="H250" s="1068">
        <f t="shared" si="40"/>
        <v>0</v>
      </c>
    </row>
    <row r="251" spans="4:8" ht="18" customHeight="1">
      <c r="D251" s="1067" t="s">
        <v>389</v>
      </c>
      <c r="E251" s="552" t="s">
        <v>385</v>
      </c>
      <c r="F251" s="552">
        <f t="shared" si="38"/>
        <v>0</v>
      </c>
      <c r="G251" s="552">
        <f t="shared" si="39"/>
        <v>0</v>
      </c>
      <c r="H251" s="1068">
        <f t="shared" si="40"/>
        <v>0</v>
      </c>
    </row>
    <row r="252" spans="4:8" ht="18" customHeight="1">
      <c r="D252" s="1067" t="s">
        <v>390</v>
      </c>
      <c r="E252" s="552" t="s">
        <v>386</v>
      </c>
      <c r="F252" s="552">
        <f t="shared" si="38"/>
        <v>0</v>
      </c>
      <c r="G252" s="552">
        <f t="shared" si="39"/>
        <v>0</v>
      </c>
      <c r="H252" s="1068">
        <f t="shared" si="40"/>
        <v>0</v>
      </c>
    </row>
    <row r="253" spans="4:8" ht="18" customHeight="1">
      <c r="D253" s="1067" t="s">
        <v>275</v>
      </c>
      <c r="E253" s="552" t="s">
        <v>276</v>
      </c>
      <c r="F253" s="552">
        <f t="shared" si="38"/>
        <v>0</v>
      </c>
      <c r="G253" s="552">
        <f t="shared" si="39"/>
        <v>0</v>
      </c>
      <c r="H253" s="1068">
        <f t="shared" si="40"/>
        <v>0</v>
      </c>
    </row>
    <row r="254" spans="4:8" ht="18" customHeight="1">
      <c r="D254" s="1067" t="s">
        <v>277</v>
      </c>
      <c r="E254" s="552" t="s">
        <v>278</v>
      </c>
      <c r="F254" s="552">
        <f t="shared" si="38"/>
        <v>0</v>
      </c>
      <c r="G254" s="552">
        <f t="shared" si="39"/>
        <v>0</v>
      </c>
      <c r="H254" s="1068">
        <f t="shared" si="40"/>
        <v>0</v>
      </c>
    </row>
    <row r="255" spans="4:8" ht="18" customHeight="1">
      <c r="D255" s="1067" t="s">
        <v>279</v>
      </c>
      <c r="E255" s="552" t="s">
        <v>280</v>
      </c>
      <c r="F255" s="552">
        <f t="shared" si="38"/>
        <v>0</v>
      </c>
      <c r="G255" s="552">
        <f t="shared" si="39"/>
        <v>0</v>
      </c>
      <c r="H255" s="1068">
        <f t="shared" si="40"/>
        <v>0</v>
      </c>
    </row>
    <row r="256" spans="4:8" ht="18" customHeight="1">
      <c r="D256" s="1067" t="s">
        <v>281</v>
      </c>
      <c r="E256" s="552" t="s">
        <v>282</v>
      </c>
      <c r="F256" s="552">
        <f t="shared" si="38"/>
        <v>0</v>
      </c>
      <c r="G256" s="552">
        <f t="shared" si="39"/>
        <v>0</v>
      </c>
      <c r="H256" s="1068">
        <f t="shared" si="40"/>
        <v>0</v>
      </c>
    </row>
    <row r="257" spans="4:8" ht="18" customHeight="1">
      <c r="D257" s="1067" t="s">
        <v>283</v>
      </c>
      <c r="E257" s="552" t="s">
        <v>284</v>
      </c>
      <c r="F257" s="552">
        <f t="shared" si="38"/>
        <v>0</v>
      </c>
      <c r="G257" s="552">
        <f t="shared" si="39"/>
        <v>0</v>
      </c>
      <c r="H257" s="1068">
        <f t="shared" si="40"/>
        <v>0</v>
      </c>
    </row>
    <row r="258" spans="4:8" ht="18" customHeight="1">
      <c r="D258" s="1067" t="s">
        <v>285</v>
      </c>
      <c r="E258" s="552" t="s">
        <v>286</v>
      </c>
      <c r="F258" s="552">
        <f t="shared" si="38"/>
        <v>0</v>
      </c>
      <c r="G258" s="552">
        <f t="shared" si="39"/>
        <v>0</v>
      </c>
      <c r="H258" s="1068">
        <f t="shared" si="40"/>
        <v>0</v>
      </c>
    </row>
    <row r="259" spans="4:8" ht="18" customHeight="1">
      <c r="D259" s="1067" t="s">
        <v>287</v>
      </c>
      <c r="E259" s="552" t="s">
        <v>288</v>
      </c>
      <c r="F259" s="552">
        <f t="shared" si="38"/>
        <v>0</v>
      </c>
      <c r="G259" s="552">
        <f t="shared" si="39"/>
        <v>0</v>
      </c>
      <c r="H259" s="1068">
        <f t="shared" si="40"/>
        <v>0</v>
      </c>
    </row>
    <row r="260" spans="4:8" ht="18" customHeight="1">
      <c r="D260" s="1067" t="s">
        <v>289</v>
      </c>
      <c r="E260" s="552" t="s">
        <v>290</v>
      </c>
      <c r="F260" s="552">
        <f t="shared" si="38"/>
        <v>0</v>
      </c>
      <c r="G260" s="552">
        <f t="shared" si="39"/>
        <v>0</v>
      </c>
      <c r="H260" s="1068">
        <f t="shared" si="40"/>
        <v>0</v>
      </c>
    </row>
    <row r="261" spans="4:8" ht="18" customHeight="1">
      <c r="D261" s="1067" t="s">
        <v>291</v>
      </c>
      <c r="E261" s="552" t="s">
        <v>292</v>
      </c>
      <c r="F261" s="552">
        <f t="shared" si="38"/>
        <v>0</v>
      </c>
      <c r="G261" s="552">
        <f t="shared" si="39"/>
        <v>0</v>
      </c>
      <c r="H261" s="1068">
        <f t="shared" si="40"/>
        <v>0</v>
      </c>
    </row>
    <row r="262" spans="4:8" ht="18" customHeight="1">
      <c r="D262" s="1067" t="s">
        <v>293</v>
      </c>
      <c r="E262" s="552" t="s">
        <v>294</v>
      </c>
      <c r="F262" s="552">
        <f t="shared" si="38"/>
        <v>0</v>
      </c>
      <c r="G262" s="552">
        <f t="shared" si="39"/>
        <v>0</v>
      </c>
      <c r="H262" s="1068">
        <f t="shared" si="40"/>
        <v>0</v>
      </c>
    </row>
    <row r="263" spans="4:8" ht="18" customHeight="1">
      <c r="D263" s="1067" t="s">
        <v>295</v>
      </c>
      <c r="E263" s="552" t="s">
        <v>296</v>
      </c>
      <c r="F263" s="552">
        <f t="shared" si="38"/>
        <v>0</v>
      </c>
      <c r="G263" s="552">
        <f t="shared" si="39"/>
        <v>2346320200</v>
      </c>
      <c r="H263" s="1078">
        <f>F263-G263</f>
        <v>-2346320200</v>
      </c>
    </row>
    <row r="264" spans="4:8" ht="18" customHeight="1">
      <c r="D264" s="1067" t="s">
        <v>297</v>
      </c>
      <c r="E264" s="552" t="s">
        <v>298</v>
      </c>
      <c r="F264" s="552">
        <f t="shared" si="38"/>
        <v>0</v>
      </c>
      <c r="G264" s="552">
        <f t="shared" si="39"/>
        <v>6100000</v>
      </c>
      <c r="H264" s="1068">
        <f t="shared" si="40"/>
        <v>-6100000</v>
      </c>
    </row>
    <row r="265" spans="4:8" ht="18" customHeight="1">
      <c r="D265" s="1067" t="s">
        <v>299</v>
      </c>
      <c r="E265" s="552" t="s">
        <v>300</v>
      </c>
      <c r="F265" s="552">
        <f t="shared" si="38"/>
        <v>0</v>
      </c>
      <c r="G265" s="552">
        <f t="shared" si="39"/>
        <v>0</v>
      </c>
      <c r="H265" s="1068">
        <f t="shared" si="40"/>
        <v>0</v>
      </c>
    </row>
    <row r="266" spans="4:8" ht="18" customHeight="1">
      <c r="D266" s="1067" t="s">
        <v>301</v>
      </c>
      <c r="E266" s="552" t="s">
        <v>302</v>
      </c>
      <c r="F266" s="552">
        <f t="shared" si="38"/>
        <v>0</v>
      </c>
      <c r="G266" s="552">
        <f t="shared" si="39"/>
        <v>0</v>
      </c>
      <c r="H266" s="1068">
        <f t="shared" si="40"/>
        <v>0</v>
      </c>
    </row>
    <row r="267" spans="4:8" ht="18" customHeight="1">
      <c r="D267" s="1067" t="s">
        <v>303</v>
      </c>
      <c r="E267" s="552" t="s">
        <v>304</v>
      </c>
      <c r="F267" s="552">
        <f t="shared" si="38"/>
        <v>0</v>
      </c>
      <c r="G267" s="552">
        <f t="shared" si="39"/>
        <v>0</v>
      </c>
      <c r="H267" s="1068">
        <f t="shared" si="40"/>
        <v>0</v>
      </c>
    </row>
    <row r="268" spans="4:8" ht="18" customHeight="1">
      <c r="D268" s="1067" t="s">
        <v>305</v>
      </c>
      <c r="E268" s="552" t="s">
        <v>306</v>
      </c>
      <c r="F268" s="552">
        <f t="shared" si="38"/>
        <v>0</v>
      </c>
      <c r="G268" s="552">
        <f t="shared" si="39"/>
        <v>0</v>
      </c>
      <c r="H268" s="1068">
        <f t="shared" si="40"/>
        <v>0</v>
      </c>
    </row>
    <row r="269" spans="4:8" ht="18" customHeight="1">
      <c r="D269" s="1067" t="s">
        <v>307</v>
      </c>
      <c r="E269" s="552" t="s">
        <v>308</v>
      </c>
      <c r="F269" s="552">
        <f t="shared" si="38"/>
        <v>0</v>
      </c>
      <c r="G269" s="552">
        <f t="shared" si="39"/>
        <v>93209400</v>
      </c>
      <c r="H269" s="1068">
        <f t="shared" si="40"/>
        <v>-93209400</v>
      </c>
    </row>
    <row r="270" spans="4:8" ht="18" customHeight="1">
      <c r="D270" s="1067" t="s">
        <v>309</v>
      </c>
      <c r="E270" s="552" t="s">
        <v>310</v>
      </c>
      <c r="F270" s="552">
        <f t="shared" si="38"/>
        <v>0</v>
      </c>
      <c r="G270" s="552">
        <f t="shared" si="39"/>
        <v>0</v>
      </c>
      <c r="H270" s="1068">
        <f t="shared" si="40"/>
        <v>0</v>
      </c>
    </row>
    <row r="271" spans="4:8" ht="18" customHeight="1">
      <c r="D271" s="1067" t="s">
        <v>311</v>
      </c>
      <c r="E271" s="552" t="s">
        <v>312</v>
      </c>
      <c r="F271" s="552">
        <f t="shared" si="38"/>
        <v>0</v>
      </c>
      <c r="G271" s="552">
        <f t="shared" si="39"/>
        <v>0</v>
      </c>
      <c r="H271" s="1068">
        <f t="shared" si="40"/>
        <v>0</v>
      </c>
    </row>
    <row r="272" spans="4:8" ht="18" customHeight="1">
      <c r="D272" s="1049"/>
      <c r="E272" s="992" t="s">
        <v>313</v>
      </c>
      <c r="F272" s="992"/>
      <c r="G272" s="992"/>
      <c r="H272" s="1050"/>
    </row>
    <row r="273" spans="4:8" ht="18" customHeight="1">
      <c r="D273" s="1061"/>
      <c r="E273" s="1062" t="s">
        <v>314</v>
      </c>
      <c r="F273" s="1062"/>
      <c r="G273" s="1062"/>
      <c r="H273" s="1063"/>
    </row>
    <row r="274" spans="4:8" ht="18" customHeight="1">
      <c r="D274" s="1067" t="s">
        <v>315</v>
      </c>
      <c r="E274" s="552" t="s">
        <v>316</v>
      </c>
      <c r="F274" s="552">
        <f t="shared" ref="F274:F282" si="41">SUMIF($J:$J,$D274,L:L)</f>
        <v>0</v>
      </c>
      <c r="G274" s="552">
        <f t="shared" ref="G274:G282" si="42">SUMIF($J:$J,$D274,M:M)</f>
        <v>0</v>
      </c>
      <c r="H274" s="1068">
        <f t="shared" ref="H274:H311" si="43">F274-G274</f>
        <v>0</v>
      </c>
    </row>
    <row r="275" spans="4:8" ht="18" customHeight="1">
      <c r="D275" s="1067" t="s">
        <v>317</v>
      </c>
      <c r="E275" s="552" t="s">
        <v>318</v>
      </c>
      <c r="F275" s="552">
        <f t="shared" si="41"/>
        <v>46841095</v>
      </c>
      <c r="G275" s="552">
        <f t="shared" si="42"/>
        <v>0</v>
      </c>
      <c r="H275" s="1068">
        <f t="shared" si="43"/>
        <v>46841095</v>
      </c>
    </row>
    <row r="276" spans="4:8" ht="18" customHeight="1">
      <c r="D276" s="1067" t="s">
        <v>319</v>
      </c>
      <c r="E276" s="552" t="s">
        <v>320</v>
      </c>
      <c r="F276" s="552">
        <f t="shared" si="41"/>
        <v>0</v>
      </c>
      <c r="G276" s="552">
        <f t="shared" si="42"/>
        <v>0</v>
      </c>
      <c r="H276" s="1068">
        <f t="shared" si="43"/>
        <v>0</v>
      </c>
    </row>
    <row r="277" spans="4:8" ht="18" customHeight="1">
      <c r="D277" s="1067" t="s">
        <v>321</v>
      </c>
      <c r="E277" s="552" t="s">
        <v>322</v>
      </c>
      <c r="F277" s="552">
        <f t="shared" si="41"/>
        <v>0</v>
      </c>
      <c r="G277" s="552">
        <f t="shared" si="42"/>
        <v>0</v>
      </c>
      <c r="H277" s="1068">
        <f t="shared" si="43"/>
        <v>0</v>
      </c>
    </row>
    <row r="278" spans="4:8" ht="18" customHeight="1">
      <c r="D278" s="1067" t="s">
        <v>323</v>
      </c>
      <c r="E278" s="552" t="s">
        <v>324</v>
      </c>
      <c r="F278" s="552">
        <f t="shared" si="41"/>
        <v>0</v>
      </c>
      <c r="G278" s="552">
        <f t="shared" si="42"/>
        <v>0</v>
      </c>
      <c r="H278" s="1068">
        <f t="shared" si="43"/>
        <v>0</v>
      </c>
    </row>
    <row r="279" spans="4:8" ht="18" customHeight="1">
      <c r="D279" s="1067" t="s">
        <v>325</v>
      </c>
      <c r="E279" s="552" t="s">
        <v>326</v>
      </c>
      <c r="F279" s="552">
        <f t="shared" si="41"/>
        <v>0</v>
      </c>
      <c r="G279" s="552">
        <f t="shared" si="42"/>
        <v>0</v>
      </c>
      <c r="H279" s="1068">
        <f t="shared" si="43"/>
        <v>0</v>
      </c>
    </row>
    <row r="280" spans="4:8" ht="18" customHeight="1">
      <c r="D280" s="1067" t="s">
        <v>327</v>
      </c>
      <c r="E280" s="552" t="s">
        <v>328</v>
      </c>
      <c r="F280" s="552">
        <f t="shared" si="41"/>
        <v>0</v>
      </c>
      <c r="G280" s="552">
        <f t="shared" si="42"/>
        <v>0</v>
      </c>
      <c r="H280" s="1068">
        <f t="shared" si="43"/>
        <v>0</v>
      </c>
    </row>
    <row r="281" spans="4:8" ht="18" customHeight="1">
      <c r="D281" s="1067" t="s">
        <v>329</v>
      </c>
      <c r="E281" s="552" t="s">
        <v>330</v>
      </c>
      <c r="F281" s="552">
        <f t="shared" si="41"/>
        <v>0</v>
      </c>
      <c r="G281" s="552">
        <f t="shared" si="42"/>
        <v>0</v>
      </c>
      <c r="H281" s="1068">
        <f t="shared" si="43"/>
        <v>0</v>
      </c>
    </row>
    <row r="282" spans="4:8" ht="18" customHeight="1">
      <c r="D282" s="1067" t="s">
        <v>331</v>
      </c>
      <c r="E282" s="552" t="s">
        <v>332</v>
      </c>
      <c r="F282" s="552">
        <f t="shared" si="41"/>
        <v>0</v>
      </c>
      <c r="G282" s="552">
        <f t="shared" si="42"/>
        <v>0</v>
      </c>
      <c r="H282" s="1068">
        <f t="shared" si="43"/>
        <v>0</v>
      </c>
    </row>
    <row r="283" spans="4:8" ht="18" customHeight="1">
      <c r="D283" s="1061"/>
      <c r="E283" s="1062" t="s">
        <v>333</v>
      </c>
      <c r="F283" s="1062"/>
      <c r="G283" s="1062"/>
      <c r="H283" s="1063"/>
    </row>
    <row r="284" spans="4:8" ht="18" customHeight="1">
      <c r="D284" s="1067" t="s">
        <v>334</v>
      </c>
      <c r="E284" s="552" t="s">
        <v>335</v>
      </c>
      <c r="F284" s="552">
        <f t="shared" ref="F284:F294" si="44">SUMIF($J:$J,$D284,L:L)</f>
        <v>0</v>
      </c>
      <c r="G284" s="552">
        <f t="shared" ref="G284:G294" si="45">SUMIF($J:$J,$D284,M:M)</f>
        <v>0</v>
      </c>
      <c r="H284" s="1068">
        <f t="shared" si="43"/>
        <v>0</v>
      </c>
    </row>
    <row r="285" spans="4:8" ht="18" customHeight="1">
      <c r="D285" s="1067" t="s">
        <v>336</v>
      </c>
      <c r="E285" s="552" t="s">
        <v>337</v>
      </c>
      <c r="F285" s="552">
        <f t="shared" si="44"/>
        <v>0</v>
      </c>
      <c r="G285" s="552">
        <f t="shared" si="45"/>
        <v>46841095</v>
      </c>
      <c r="H285" s="1068">
        <f t="shared" si="43"/>
        <v>-46841095</v>
      </c>
    </row>
    <row r="286" spans="4:8" ht="18" customHeight="1">
      <c r="D286" s="1067" t="s">
        <v>338</v>
      </c>
      <c r="E286" s="552" t="s">
        <v>339</v>
      </c>
      <c r="F286" s="552">
        <f t="shared" si="44"/>
        <v>0</v>
      </c>
      <c r="G286" s="552">
        <f t="shared" si="45"/>
        <v>0</v>
      </c>
      <c r="H286" s="1068">
        <f t="shared" si="43"/>
        <v>0</v>
      </c>
    </row>
    <row r="287" spans="4:8" ht="18" customHeight="1">
      <c r="D287" s="1108" t="s">
        <v>388</v>
      </c>
      <c r="E287" s="552" t="s">
        <v>387</v>
      </c>
      <c r="F287" s="552">
        <f t="shared" si="44"/>
        <v>0</v>
      </c>
      <c r="G287" s="552">
        <f t="shared" si="45"/>
        <v>0</v>
      </c>
      <c r="H287" s="1068">
        <f t="shared" si="43"/>
        <v>0</v>
      </c>
    </row>
    <row r="288" spans="4:8" ht="18" customHeight="1">
      <c r="D288" s="1067" t="s">
        <v>340</v>
      </c>
      <c r="E288" s="552" t="s">
        <v>341</v>
      </c>
      <c r="F288" s="552">
        <f t="shared" si="44"/>
        <v>0</v>
      </c>
      <c r="G288" s="552">
        <f t="shared" si="45"/>
        <v>0</v>
      </c>
      <c r="H288" s="1068">
        <f t="shared" si="43"/>
        <v>0</v>
      </c>
    </row>
    <row r="289" spans="4:8" ht="18" customHeight="1">
      <c r="D289" s="1067" t="s">
        <v>342</v>
      </c>
      <c r="E289" s="552" t="s">
        <v>343</v>
      </c>
      <c r="F289" s="552">
        <f t="shared" si="44"/>
        <v>0</v>
      </c>
      <c r="G289" s="552">
        <f t="shared" si="45"/>
        <v>0</v>
      </c>
      <c r="H289" s="1068">
        <f t="shared" si="43"/>
        <v>0</v>
      </c>
    </row>
    <row r="290" spans="4:8" ht="18" customHeight="1">
      <c r="D290" s="1067" t="s">
        <v>344</v>
      </c>
      <c r="E290" s="552" t="s">
        <v>345</v>
      </c>
      <c r="F290" s="552">
        <f t="shared" si="44"/>
        <v>0</v>
      </c>
      <c r="G290" s="552">
        <f t="shared" si="45"/>
        <v>0</v>
      </c>
      <c r="H290" s="1068">
        <f t="shared" si="43"/>
        <v>0</v>
      </c>
    </row>
    <row r="291" spans="4:8" ht="18" customHeight="1">
      <c r="D291" s="1067" t="s">
        <v>346</v>
      </c>
      <c r="E291" s="552" t="s">
        <v>347</v>
      </c>
      <c r="F291" s="552">
        <f t="shared" si="44"/>
        <v>0</v>
      </c>
      <c r="G291" s="552">
        <f t="shared" si="45"/>
        <v>0</v>
      </c>
      <c r="H291" s="1068">
        <f t="shared" si="43"/>
        <v>0</v>
      </c>
    </row>
    <row r="292" spans="4:8" ht="18" customHeight="1">
      <c r="D292" s="1067" t="s">
        <v>348</v>
      </c>
      <c r="E292" s="552" t="s">
        <v>349</v>
      </c>
      <c r="F292" s="552">
        <f t="shared" si="44"/>
        <v>0</v>
      </c>
      <c r="G292" s="552">
        <f t="shared" si="45"/>
        <v>0</v>
      </c>
      <c r="H292" s="1068">
        <f t="shared" si="43"/>
        <v>0</v>
      </c>
    </row>
    <row r="293" spans="4:8" ht="18" customHeight="1">
      <c r="D293" s="1108" t="s">
        <v>350</v>
      </c>
      <c r="E293" s="552" t="s">
        <v>351</v>
      </c>
      <c r="F293" s="552">
        <f t="shared" si="44"/>
        <v>0</v>
      </c>
      <c r="G293" s="552">
        <f t="shared" si="45"/>
        <v>0</v>
      </c>
      <c r="H293" s="1068">
        <f t="shared" si="43"/>
        <v>0</v>
      </c>
    </row>
    <row r="294" spans="4:8" ht="18" customHeight="1">
      <c r="D294" s="1108" t="s">
        <v>352</v>
      </c>
      <c r="E294" s="552" t="s">
        <v>353</v>
      </c>
      <c r="F294" s="552">
        <f t="shared" si="44"/>
        <v>0</v>
      </c>
      <c r="G294" s="552">
        <f t="shared" si="45"/>
        <v>0</v>
      </c>
      <c r="H294" s="1068">
        <f t="shared" si="43"/>
        <v>0</v>
      </c>
    </row>
    <row r="295" spans="4:8" ht="18" customHeight="1">
      <c r="D295" s="1061"/>
      <c r="E295" s="1062" t="s">
        <v>354</v>
      </c>
      <c r="F295" s="1062"/>
      <c r="G295" s="1062"/>
      <c r="H295" s="1063"/>
    </row>
    <row r="296" spans="4:8" ht="18" customHeight="1">
      <c r="D296" s="1067" t="s">
        <v>355</v>
      </c>
      <c r="E296" s="552" t="s">
        <v>356</v>
      </c>
      <c r="F296" s="552">
        <f t="shared" ref="F296:G299" si="46">SUMIF($J:$J,$D296,L:L)</f>
        <v>0</v>
      </c>
      <c r="G296" s="552">
        <f t="shared" si="46"/>
        <v>0</v>
      </c>
      <c r="H296" s="1068">
        <f t="shared" si="43"/>
        <v>0</v>
      </c>
    </row>
    <row r="297" spans="4:8" ht="18" customHeight="1">
      <c r="D297" s="1067" t="s">
        <v>357</v>
      </c>
      <c r="E297" s="552" t="s">
        <v>358</v>
      </c>
      <c r="F297" s="552">
        <f t="shared" si="46"/>
        <v>0</v>
      </c>
      <c r="G297" s="552">
        <f t="shared" si="46"/>
        <v>0</v>
      </c>
      <c r="H297" s="1068">
        <f t="shared" si="43"/>
        <v>0</v>
      </c>
    </row>
    <row r="298" spans="4:8" ht="18" customHeight="1">
      <c r="D298" s="1067" t="s">
        <v>359</v>
      </c>
      <c r="E298" s="552" t="s">
        <v>360</v>
      </c>
      <c r="F298" s="552">
        <f t="shared" si="46"/>
        <v>27342110</v>
      </c>
      <c r="G298" s="552">
        <f t="shared" si="46"/>
        <v>0</v>
      </c>
      <c r="H298" s="1078">
        <f t="shared" si="43"/>
        <v>27342110</v>
      </c>
    </row>
    <row r="299" spans="4:8" ht="18" customHeight="1">
      <c r="D299" s="1067">
        <v>712900</v>
      </c>
      <c r="E299" s="552" t="s">
        <v>2599</v>
      </c>
      <c r="F299" s="552">
        <f t="shared" si="46"/>
        <v>1543857535</v>
      </c>
      <c r="G299" s="552">
        <f t="shared" si="46"/>
        <v>0</v>
      </c>
      <c r="H299" s="1078">
        <f>F299-G299</f>
        <v>1543857535</v>
      </c>
    </row>
    <row r="300" spans="4:8" ht="18" customHeight="1">
      <c r="D300" s="1061"/>
      <c r="E300" s="1062" t="s">
        <v>361</v>
      </c>
      <c r="F300" s="1062"/>
      <c r="G300" s="1062"/>
      <c r="H300" s="1063"/>
    </row>
    <row r="301" spans="4:8" ht="18" customHeight="1">
      <c r="D301" s="1067" t="s">
        <v>362</v>
      </c>
      <c r="E301" s="552" t="s">
        <v>363</v>
      </c>
      <c r="F301" s="552">
        <f t="shared" ref="F301:G305" si="47">SUMIF($J:$J,$D301,L:L)</f>
        <v>0</v>
      </c>
      <c r="G301" s="552">
        <f t="shared" si="47"/>
        <v>0</v>
      </c>
      <c r="H301" s="1068">
        <f t="shared" si="43"/>
        <v>0</v>
      </c>
    </row>
    <row r="302" spans="4:8" ht="18" customHeight="1">
      <c r="D302" s="1067" t="s">
        <v>364</v>
      </c>
      <c r="E302" s="552" t="s">
        <v>365</v>
      </c>
      <c r="F302" s="552">
        <f t="shared" si="47"/>
        <v>0</v>
      </c>
      <c r="G302" s="552">
        <f t="shared" si="47"/>
        <v>0</v>
      </c>
      <c r="H302" s="1068">
        <f t="shared" si="43"/>
        <v>0</v>
      </c>
    </row>
    <row r="303" spans="4:8" ht="18" customHeight="1">
      <c r="D303" s="1067">
        <v>733260</v>
      </c>
      <c r="E303" s="552" t="s">
        <v>762</v>
      </c>
      <c r="F303" s="552">
        <f t="shared" si="47"/>
        <v>0</v>
      </c>
      <c r="G303" s="552">
        <f t="shared" si="47"/>
        <v>0</v>
      </c>
      <c r="H303" s="1068">
        <f>F303-G303</f>
        <v>0</v>
      </c>
    </row>
    <row r="304" spans="4:8" ht="18" customHeight="1">
      <c r="D304" s="1067" t="s">
        <v>366</v>
      </c>
      <c r="E304" s="552" t="s">
        <v>367</v>
      </c>
      <c r="F304" s="552">
        <f t="shared" si="47"/>
        <v>0</v>
      </c>
      <c r="G304" s="552">
        <f t="shared" si="47"/>
        <v>0</v>
      </c>
      <c r="H304" s="1068">
        <f t="shared" si="43"/>
        <v>0</v>
      </c>
    </row>
    <row r="305" spans="4:8" ht="18" customHeight="1">
      <c r="D305" s="1067" t="s">
        <v>368</v>
      </c>
      <c r="E305" s="552" t="s">
        <v>369</v>
      </c>
      <c r="F305" s="552">
        <f t="shared" si="47"/>
        <v>0</v>
      </c>
      <c r="G305" s="552">
        <f t="shared" si="47"/>
        <v>24942110</v>
      </c>
      <c r="H305" s="1068">
        <f t="shared" si="43"/>
        <v>-24942110</v>
      </c>
    </row>
    <row r="306" spans="4:8" ht="18" customHeight="1">
      <c r="D306" s="1061"/>
      <c r="E306" s="1062" t="s">
        <v>370</v>
      </c>
      <c r="F306" s="1062"/>
      <c r="G306" s="1062"/>
      <c r="H306" s="1063"/>
    </row>
    <row r="307" spans="4:8" ht="18" customHeight="1">
      <c r="D307" s="1067" t="s">
        <v>371</v>
      </c>
      <c r="E307" s="552" t="s">
        <v>372</v>
      </c>
      <c r="F307" s="552">
        <f t="shared" ref="F307:G309" si="48">SUMIF($J:$J,$D307,L:L)</f>
        <v>0</v>
      </c>
      <c r="G307" s="552">
        <f t="shared" si="48"/>
        <v>0</v>
      </c>
      <c r="H307" s="1068">
        <f t="shared" si="43"/>
        <v>0</v>
      </c>
    </row>
    <row r="308" spans="4:8" ht="18" customHeight="1">
      <c r="D308" s="1067" t="s">
        <v>373</v>
      </c>
      <c r="E308" s="552" t="s">
        <v>374</v>
      </c>
      <c r="F308" s="552">
        <f t="shared" si="48"/>
        <v>0</v>
      </c>
      <c r="G308" s="552">
        <f t="shared" si="48"/>
        <v>0</v>
      </c>
      <c r="H308" s="1068">
        <f t="shared" si="43"/>
        <v>0</v>
      </c>
    </row>
    <row r="309" spans="4:8" ht="18" customHeight="1">
      <c r="D309" s="1067" t="s">
        <v>375</v>
      </c>
      <c r="E309" s="552" t="s">
        <v>376</v>
      </c>
      <c r="F309" s="552">
        <f t="shared" si="48"/>
        <v>0</v>
      </c>
      <c r="G309" s="552">
        <f t="shared" si="48"/>
        <v>0</v>
      </c>
      <c r="H309" s="1068">
        <f t="shared" si="43"/>
        <v>0</v>
      </c>
    </row>
    <row r="310" spans="4:8" ht="18" customHeight="1">
      <c r="D310" s="1061"/>
      <c r="E310" s="1062" t="s">
        <v>377</v>
      </c>
      <c r="F310" s="1062"/>
      <c r="G310" s="1062"/>
      <c r="H310" s="1063"/>
    </row>
    <row r="311" spans="4:8" ht="18" customHeight="1">
      <c r="D311" s="1067" t="s">
        <v>378</v>
      </c>
      <c r="E311" s="552" t="s">
        <v>377</v>
      </c>
      <c r="F311" s="552">
        <f>SUMIF($J:$J,$D311,L:L)</f>
        <v>0</v>
      </c>
      <c r="G311" s="552">
        <f>SUMIF($J:$J,$D311,M:M)</f>
        <v>0</v>
      </c>
      <c r="H311" s="1068">
        <f t="shared" si="43"/>
        <v>0</v>
      </c>
    </row>
    <row r="312" spans="4:8" ht="18" customHeight="1">
      <c r="D312" s="1049"/>
      <c r="E312" s="992" t="s">
        <v>379</v>
      </c>
      <c r="F312" s="992"/>
      <c r="G312" s="992"/>
      <c r="H312" s="1050"/>
    </row>
    <row r="313" spans="4:8" ht="18" customHeight="1">
      <c r="D313" s="1061"/>
      <c r="E313" s="1062" t="s">
        <v>380</v>
      </c>
      <c r="F313" s="1062"/>
      <c r="G313" s="1062"/>
      <c r="H313" s="1063"/>
    </row>
    <row r="314" spans="4:8" ht="18" customHeight="1">
      <c r="D314" s="1067" t="s">
        <v>381</v>
      </c>
      <c r="E314" s="552" t="s">
        <v>380</v>
      </c>
      <c r="F314" s="552">
        <f>SUMIF($J:$J,$D314,L:L)</f>
        <v>0</v>
      </c>
      <c r="G314" s="552">
        <f>SUMIF($J:$J,$D314,M:M)</f>
        <v>0</v>
      </c>
      <c r="H314" s="1068">
        <f>F314-G314</f>
        <v>0</v>
      </c>
    </row>
    <row r="315" spans="4:8" ht="18" customHeight="1">
      <c r="D315" s="1049"/>
      <c r="E315" s="992" t="s">
        <v>382</v>
      </c>
      <c r="F315" s="992"/>
      <c r="G315" s="992"/>
      <c r="H315" s="1050"/>
    </row>
    <row r="316" spans="4:8" ht="18" customHeight="1">
      <c r="D316" s="1067" t="s">
        <v>383</v>
      </c>
      <c r="E316" s="552" t="s">
        <v>11</v>
      </c>
      <c r="F316" s="552"/>
      <c r="G316" s="552"/>
      <c r="H316" s="1068"/>
    </row>
    <row r="317" spans="4:8" ht="18" customHeight="1" thickBot="1">
      <c r="D317" s="1172" t="s">
        <v>384</v>
      </c>
      <c r="E317" s="1173" t="s">
        <v>210</v>
      </c>
      <c r="F317" s="1173"/>
      <c r="G317" s="1173"/>
      <c r="H317" s="1174"/>
    </row>
    <row r="318" spans="4:8" ht="18" customHeight="1">
      <c r="D318" s="494"/>
      <c r="E318" s="494"/>
      <c r="F318" s="494">
        <f>SUM(F215:F317)</f>
        <v>5185776204</v>
      </c>
      <c r="G318" s="494">
        <f>SUM(G215:G317)</f>
        <v>3635972001</v>
      </c>
      <c r="H318" s="494"/>
    </row>
  </sheetData>
  <autoFilter ref="D5:W210" xr:uid="{00000000-0009-0000-0000-00001A000000}"/>
  <phoneticPr fontId="22" type="noConversion"/>
  <pageMargins left="0.7" right="0.7" top="0.75" bottom="0.75" header="0.3" footer="0.3"/>
  <pageSetup paperSize="9" orientation="portrait" r:id="rId1"/>
  <ignoredErrors>
    <ignoredError sqref="O52:O206 D63:H85 D102:H209 D21 J66:N200 P69:P217 J57:K61 O37:O41 J49:J50 J63:M65 J62 Y9:AF27 J45 O17:O35 O50 T22:U25 T28:W28 T6:T8 T9:U21" numberStoredAsText="1"/>
    <ignoredError sqref="M37" 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4">
    <tabColor rgb="FFFFFF00"/>
  </sheetPr>
  <dimension ref="D4:AP92"/>
  <sheetViews>
    <sheetView showGridLines="0" zoomScale="80" zoomScaleNormal="80" workbookViewId="0">
      <pane xSplit="5" ySplit="5" topLeftCell="O6" activePane="bottomRight" state="frozen"/>
      <selection activeCell="V34" sqref="V34"/>
      <selection pane="topRight" activeCell="V34" sqref="V34"/>
      <selection pane="bottomLeft" activeCell="V34" sqref="V34"/>
      <selection pane="bottomRight" activeCell="S47" sqref="S47"/>
    </sheetView>
  </sheetViews>
  <sheetFormatPr defaultColWidth="8.75" defaultRowHeight="18" customHeight="1" outlineLevelRow="1" outlineLevelCol="1"/>
  <cols>
    <col min="1" max="3" width="2.375" style="509" customWidth="1"/>
    <col min="4" max="4" width="16.125" style="509" customWidth="1"/>
    <col min="5" max="5" width="25.75" style="563" bestFit="1" customWidth="1"/>
    <col min="6" max="10" width="20.375" style="509" hidden="1" customWidth="1" outlineLevel="1"/>
    <col min="11" max="14" width="17.625" style="509" hidden="1" customWidth="1" outlineLevel="1"/>
    <col min="15" max="15" width="17.625" style="509" customWidth="1" collapsed="1"/>
    <col min="16" max="22" width="17.625" style="509" customWidth="1"/>
    <col min="23" max="23" width="18.625" style="710" customWidth="1"/>
    <col min="24" max="24" width="8.375" style="509" bestFit="1" customWidth="1"/>
    <col min="25" max="25" width="8.375" style="509" customWidth="1"/>
    <col min="26" max="26" width="2.625" style="509" customWidth="1"/>
    <col min="27" max="28" width="20.625" style="509" customWidth="1"/>
    <col min="29" max="29" width="11.75" style="509" bestFit="1" customWidth="1"/>
    <col min="30" max="34" width="11.625" style="509" customWidth="1"/>
    <col min="35" max="35" width="13.125" style="509" bestFit="1" customWidth="1"/>
    <col min="36" max="36" width="12" style="509" bestFit="1" customWidth="1"/>
    <col min="37" max="37" width="12.375" style="509" bestFit="1" customWidth="1"/>
    <col min="38" max="40" width="11.625" style="509" customWidth="1"/>
    <col min="41" max="41" width="10.25" style="509" bestFit="1" customWidth="1"/>
    <col min="42" max="16384" width="8.75" style="509"/>
  </cols>
  <sheetData>
    <row r="4" spans="4:42" ht="18" customHeight="1" thickBot="1"/>
    <row r="5" spans="4:42" s="924" customFormat="1" ht="18" customHeight="1">
      <c r="D5" s="1886"/>
      <c r="E5" s="1887" t="s">
        <v>414</v>
      </c>
      <c r="F5" s="490" t="s">
        <v>2346</v>
      </c>
      <c r="G5" s="490" t="s">
        <v>2349</v>
      </c>
      <c r="H5" s="490" t="s">
        <v>2350</v>
      </c>
      <c r="I5" s="490" t="s">
        <v>2353</v>
      </c>
      <c r="J5" s="491" t="s">
        <v>2355</v>
      </c>
      <c r="K5" s="489" t="s">
        <v>2450</v>
      </c>
      <c r="L5" s="490" t="s">
        <v>2451</v>
      </c>
      <c r="M5" s="490" t="s">
        <v>2458</v>
      </c>
      <c r="N5" s="491" t="s">
        <v>2459</v>
      </c>
      <c r="O5" s="489" t="s">
        <v>2460</v>
      </c>
      <c r="P5" s="490" t="s">
        <v>2455</v>
      </c>
      <c r="Q5" s="490" t="s">
        <v>2461</v>
      </c>
      <c r="R5" s="493" t="s">
        <v>2448</v>
      </c>
      <c r="S5" s="489" t="s">
        <v>2577</v>
      </c>
      <c r="T5" s="1888" t="s">
        <v>2812</v>
      </c>
      <c r="U5" s="493" t="s">
        <v>2893</v>
      </c>
      <c r="V5" s="922" t="s">
        <v>2892</v>
      </c>
      <c r="W5" s="923"/>
      <c r="AB5" s="509"/>
      <c r="AC5" s="509"/>
      <c r="AD5" s="509"/>
      <c r="AE5" s="509"/>
      <c r="AF5" s="509"/>
    </row>
    <row r="6" spans="4:42" ht="18" customHeight="1">
      <c r="D6" s="634" t="s">
        <v>1532</v>
      </c>
      <c r="E6" s="657"/>
      <c r="F6" s="635"/>
      <c r="G6" s="635"/>
      <c r="H6" s="635"/>
      <c r="I6" s="635"/>
      <c r="J6" s="636"/>
      <c r="K6" s="637"/>
      <c r="L6" s="635"/>
      <c r="M6" s="635"/>
      <c r="N6" s="636"/>
      <c r="O6" s="637"/>
      <c r="P6" s="635"/>
      <c r="Q6" s="635"/>
      <c r="R6" s="639"/>
      <c r="S6" s="637"/>
      <c r="T6" s="1889"/>
      <c r="U6" s="639"/>
      <c r="V6" s="1898"/>
      <c r="Z6" s="925"/>
      <c r="AA6" s="926" t="s">
        <v>1890</v>
      </c>
      <c r="AB6" s="927">
        <v>9.5318000000000005</v>
      </c>
      <c r="AC6" s="925"/>
    </row>
    <row r="7" spans="4:42" s="935" customFormat="1" ht="18" customHeight="1">
      <c r="D7" s="928"/>
      <c r="E7" s="929" t="s">
        <v>415</v>
      </c>
      <c r="F7" s="930"/>
      <c r="G7" s="930"/>
      <c r="H7" s="930"/>
      <c r="I7" s="930"/>
      <c r="J7" s="931"/>
      <c r="K7" s="932"/>
      <c r="L7" s="930"/>
      <c r="M7" s="930"/>
      <c r="N7" s="931"/>
      <c r="O7" s="932"/>
      <c r="P7" s="930"/>
      <c r="Q7" s="930"/>
      <c r="R7" s="933"/>
      <c r="S7" s="932"/>
      <c r="T7" s="1890"/>
      <c r="U7" s="2032"/>
      <c r="V7" s="1899"/>
      <c r="W7" s="934"/>
      <c r="Z7" s="936"/>
      <c r="AA7" s="926" t="s">
        <v>1889</v>
      </c>
      <c r="AB7" s="927">
        <v>9.8344000000000005</v>
      </c>
      <c r="AC7" s="925"/>
      <c r="AD7" s="509"/>
      <c r="AE7" s="509"/>
      <c r="AF7" s="509"/>
      <c r="AG7" s="509"/>
      <c r="AH7" s="509"/>
      <c r="AI7" s="509"/>
      <c r="AJ7" s="509"/>
      <c r="AK7" s="509"/>
      <c r="AL7" s="509"/>
    </row>
    <row r="8" spans="4:42" ht="18" customHeight="1" thickBot="1">
      <c r="D8" s="551"/>
      <c r="E8" s="572" t="s">
        <v>1991</v>
      </c>
      <c r="F8" s="937">
        <v>0</v>
      </c>
      <c r="G8" s="937">
        <v>0.12005333333333333</v>
      </c>
      <c r="H8" s="937">
        <v>0.12005333333333333</v>
      </c>
      <c r="I8" s="937">
        <v>0.12005333333333333</v>
      </c>
      <c r="J8" s="938">
        <v>0.12005333333333333</v>
      </c>
      <c r="K8" s="939">
        <v>0.12005333333333333</v>
      </c>
      <c r="L8" s="937">
        <v>0.37620775098519366</v>
      </c>
      <c r="M8" s="937">
        <v>0.41895262948515843</v>
      </c>
      <c r="N8" s="938"/>
      <c r="O8" s="939"/>
      <c r="P8" s="937"/>
      <c r="Q8" s="937"/>
      <c r="R8" s="940"/>
      <c r="S8" s="939"/>
      <c r="T8" s="1891"/>
      <c r="U8" s="940"/>
      <c r="V8" s="1900"/>
      <c r="W8" s="941"/>
      <c r="X8" s="935"/>
      <c r="Y8" s="935"/>
      <c r="Z8" s="936"/>
      <c r="AA8" s="925"/>
      <c r="AB8" s="925"/>
      <c r="AC8" s="952">
        <f>SUM(AC10:AC25)</f>
        <v>17873</v>
      </c>
      <c r="AD8" s="952">
        <f>SUM(AD10:AD25)</f>
        <v>44028531</v>
      </c>
      <c r="AE8" s="952"/>
      <c r="AF8" s="952"/>
      <c r="AG8" s="952"/>
      <c r="AH8" s="952"/>
      <c r="AI8" s="952">
        <f>SUM(AI10:AI25)</f>
        <v>419671153</v>
      </c>
      <c r="AJ8" s="952">
        <f>SUM(AJ10:AJ25)</f>
        <v>26099026</v>
      </c>
    </row>
    <row r="9" spans="4:42" s="952" customFormat="1" ht="18" customHeight="1">
      <c r="D9" s="942"/>
      <c r="E9" s="572" t="s">
        <v>1992</v>
      </c>
      <c r="F9" s="943"/>
      <c r="G9" s="943"/>
      <c r="H9" s="943"/>
      <c r="I9" s="943"/>
      <c r="J9" s="944"/>
      <c r="K9" s="942"/>
      <c r="L9" s="943"/>
      <c r="M9" s="937">
        <v>0.41495331566253552</v>
      </c>
      <c r="N9" s="938"/>
      <c r="O9" s="939"/>
      <c r="P9" s="937"/>
      <c r="Q9" s="937"/>
      <c r="R9" s="940"/>
      <c r="S9" s="939"/>
      <c r="T9" s="1891"/>
      <c r="U9" s="940"/>
      <c r="V9" s="1900"/>
      <c r="W9" s="941"/>
      <c r="X9" s="519" t="s">
        <v>1858</v>
      </c>
      <c r="Y9" s="519" t="s">
        <v>1990</v>
      </c>
      <c r="Z9" s="519"/>
      <c r="AA9" s="945" t="s">
        <v>1892</v>
      </c>
      <c r="AB9" s="946" t="s">
        <v>1895</v>
      </c>
      <c r="AC9" s="946" t="s">
        <v>1891</v>
      </c>
      <c r="AD9" s="946" t="s">
        <v>1896</v>
      </c>
      <c r="AE9" s="946" t="s">
        <v>1893</v>
      </c>
      <c r="AF9" s="946" t="s">
        <v>1894</v>
      </c>
      <c r="AG9" s="946" t="s">
        <v>1897</v>
      </c>
      <c r="AH9" s="947" t="s">
        <v>1888</v>
      </c>
      <c r="AI9" s="948" t="s">
        <v>1898</v>
      </c>
      <c r="AJ9" s="949" t="s">
        <v>1899</v>
      </c>
      <c r="AK9" s="950" t="s">
        <v>2038</v>
      </c>
      <c r="AL9" s="946" t="s">
        <v>1997</v>
      </c>
      <c r="AM9" s="946" t="s">
        <v>1998</v>
      </c>
      <c r="AN9" s="951" t="s">
        <v>1897</v>
      </c>
    </row>
    <row r="10" spans="4:42" ht="18" customHeight="1">
      <c r="D10" s="953"/>
      <c r="E10" s="929" t="s">
        <v>412</v>
      </c>
      <c r="F10" s="954"/>
      <c r="G10" s="954"/>
      <c r="H10" s="954"/>
      <c r="I10" s="954"/>
      <c r="J10" s="955"/>
      <c r="K10" s="953"/>
      <c r="L10" s="954"/>
      <c r="M10" s="954"/>
      <c r="N10" s="955"/>
      <c r="O10" s="953"/>
      <c r="P10" s="954"/>
      <c r="Q10" s="954"/>
      <c r="R10" s="956"/>
      <c r="S10" s="953"/>
      <c r="T10" s="1892"/>
      <c r="U10" s="2033"/>
      <c r="V10" s="1901"/>
      <c r="W10" s="720"/>
      <c r="X10" s="519" t="s">
        <v>45</v>
      </c>
      <c r="Y10" s="519" t="s">
        <v>1992</v>
      </c>
      <c r="Z10" s="519"/>
      <c r="AA10" s="2053" t="s">
        <v>2486</v>
      </c>
      <c r="AB10" s="957" t="s">
        <v>2008</v>
      </c>
      <c r="AC10" s="958">
        <v>0</v>
      </c>
      <c r="AD10" s="958">
        <v>0</v>
      </c>
      <c r="AE10" s="958">
        <v>0</v>
      </c>
      <c r="AF10" s="958">
        <v>0</v>
      </c>
      <c r="AG10" s="958">
        <v>14407</v>
      </c>
      <c r="AH10" s="959">
        <f>IFERROR(+(AF10-AG10)/AF10,)</f>
        <v>0</v>
      </c>
      <c r="AI10" s="960">
        <v>0</v>
      </c>
      <c r="AJ10" s="961">
        <v>0</v>
      </c>
      <c r="AK10" s="962"/>
      <c r="AL10" s="963"/>
      <c r="AM10" s="963"/>
      <c r="AN10" s="964"/>
      <c r="AP10" s="965"/>
    </row>
    <row r="11" spans="4:42" s="952" customFormat="1" ht="18" customHeight="1">
      <c r="D11" s="551"/>
      <c r="E11" s="572" t="s">
        <v>1991</v>
      </c>
      <c r="F11" s="552">
        <v>0</v>
      </c>
      <c r="G11" s="552">
        <v>34213288</v>
      </c>
      <c r="H11" s="552">
        <v>30892054</v>
      </c>
      <c r="I11" s="552">
        <v>0</v>
      </c>
      <c r="J11" s="553">
        <v>30475870</v>
      </c>
      <c r="K11" s="551">
        <v>0</v>
      </c>
      <c r="L11" s="552">
        <v>83381323</v>
      </c>
      <c r="M11" s="552">
        <v>45943748</v>
      </c>
      <c r="N11" s="553">
        <v>35034683</v>
      </c>
      <c r="O11" s="551">
        <v>33299885</v>
      </c>
      <c r="P11" s="552">
        <v>121934153</v>
      </c>
      <c r="Q11" s="552">
        <v>125885220</v>
      </c>
      <c r="R11" s="667">
        <v>122470305</v>
      </c>
      <c r="S11" s="551">
        <v>117507963</v>
      </c>
      <c r="T11" s="1893">
        <v>111568671</v>
      </c>
      <c r="U11" s="667">
        <v>116405185</v>
      </c>
      <c r="V11" s="1902">
        <f>SUMIF($X$10:$X$25,E11,$AI$10:$AI$25)</f>
        <v>83403250</v>
      </c>
      <c r="W11" s="710"/>
      <c r="X11" s="519" t="s">
        <v>43</v>
      </c>
      <c r="Y11" s="519" t="s">
        <v>1992</v>
      </c>
      <c r="Z11" s="519"/>
      <c r="AA11" s="2053" t="s">
        <v>2487</v>
      </c>
      <c r="AB11" s="957" t="s">
        <v>2009</v>
      </c>
      <c r="AC11" s="958">
        <v>0</v>
      </c>
      <c r="AD11" s="958">
        <v>0</v>
      </c>
      <c r="AE11" s="958">
        <v>0</v>
      </c>
      <c r="AF11" s="958">
        <v>0</v>
      </c>
      <c r="AG11" s="958">
        <v>4916</v>
      </c>
      <c r="AH11" s="959">
        <f t="shared" ref="AH11:AH25" si="0">IFERROR(+(AF11-AG11)/AF11,)</f>
        <v>0</v>
      </c>
      <c r="AI11" s="960">
        <v>0</v>
      </c>
      <c r="AJ11" s="961">
        <v>0</v>
      </c>
      <c r="AK11" s="962"/>
      <c r="AL11" s="963"/>
      <c r="AM11" s="963"/>
      <c r="AN11" s="964"/>
      <c r="AO11" s="509"/>
      <c r="AP11" s="965"/>
    </row>
    <row r="12" spans="4:42" ht="18" customHeight="1">
      <c r="D12" s="551"/>
      <c r="E12" s="572" t="s">
        <v>1992</v>
      </c>
      <c r="F12" s="552"/>
      <c r="G12" s="552"/>
      <c r="H12" s="552"/>
      <c r="I12" s="552"/>
      <c r="J12" s="553"/>
      <c r="K12" s="551"/>
      <c r="L12" s="552"/>
      <c r="M12" s="552">
        <v>40000910</v>
      </c>
      <c r="N12" s="553">
        <v>44428603</v>
      </c>
      <c r="O12" s="551">
        <v>41435413</v>
      </c>
      <c r="P12" s="552">
        <v>41963761</v>
      </c>
      <c r="Q12" s="552">
        <v>45400281</v>
      </c>
      <c r="R12" s="667">
        <v>58775759</v>
      </c>
      <c r="S12" s="551">
        <v>66429147</v>
      </c>
      <c r="T12" s="1893">
        <v>60214964</v>
      </c>
      <c r="U12" s="667">
        <v>76887701</v>
      </c>
      <c r="V12" s="1902">
        <f>SUMIF($X$10:$X$25,E12,$AI$10:$AI$25)</f>
        <v>336267903</v>
      </c>
      <c r="X12" s="519" t="s">
        <v>43</v>
      </c>
      <c r="Y12" s="519" t="s">
        <v>1992</v>
      </c>
      <c r="Z12" s="519"/>
      <c r="AA12" s="2053" t="s">
        <v>2488</v>
      </c>
      <c r="AB12" s="957" t="s">
        <v>2815</v>
      </c>
      <c r="AC12" s="958">
        <v>4</v>
      </c>
      <c r="AD12" s="958">
        <v>8876</v>
      </c>
      <c r="AE12" s="958">
        <v>2219</v>
      </c>
      <c r="AF12" s="958">
        <v>21823</v>
      </c>
      <c r="AG12" s="958">
        <v>15093</v>
      </c>
      <c r="AH12" s="959">
        <f t="shared" si="0"/>
        <v>0.30839023049076664</v>
      </c>
      <c r="AI12" s="960">
        <v>84604</v>
      </c>
      <c r="AJ12" s="961">
        <v>26091</v>
      </c>
      <c r="AK12" s="962"/>
      <c r="AL12" s="963"/>
      <c r="AM12" s="963"/>
      <c r="AN12" s="964"/>
      <c r="AP12" s="965"/>
    </row>
    <row r="13" spans="4:42" s="952" customFormat="1" ht="18" customHeight="1">
      <c r="D13" s="953"/>
      <c r="E13" s="929" t="s">
        <v>416</v>
      </c>
      <c r="F13" s="954"/>
      <c r="G13" s="954"/>
      <c r="H13" s="954"/>
      <c r="I13" s="954"/>
      <c r="J13" s="955"/>
      <c r="K13" s="953"/>
      <c r="L13" s="954"/>
      <c r="M13" s="954"/>
      <c r="N13" s="955"/>
      <c r="O13" s="953"/>
      <c r="P13" s="954"/>
      <c r="Q13" s="954"/>
      <c r="R13" s="956"/>
      <c r="S13" s="953"/>
      <c r="T13" s="1892"/>
      <c r="U13" s="2033"/>
      <c r="V13" s="1901"/>
      <c r="W13" s="720"/>
      <c r="X13" s="519" t="s">
        <v>43</v>
      </c>
      <c r="Y13" s="519" t="s">
        <v>1992</v>
      </c>
      <c r="Z13" s="519"/>
      <c r="AA13" s="2053" t="s">
        <v>2489</v>
      </c>
      <c r="AB13" s="957" t="s">
        <v>2816</v>
      </c>
      <c r="AC13" s="958">
        <v>48</v>
      </c>
      <c r="AD13" s="958">
        <v>98172</v>
      </c>
      <c r="AE13" s="958">
        <v>2045.25</v>
      </c>
      <c r="AF13" s="958">
        <v>20114</v>
      </c>
      <c r="AG13" s="958">
        <v>14887</v>
      </c>
      <c r="AH13" s="959">
        <f t="shared" si="0"/>
        <v>0.25986874813562694</v>
      </c>
      <c r="AI13" s="960">
        <v>935756</v>
      </c>
      <c r="AJ13" s="961">
        <v>243174</v>
      </c>
      <c r="AK13" s="962"/>
      <c r="AL13" s="963"/>
      <c r="AM13" s="963"/>
      <c r="AN13" s="964"/>
      <c r="AO13" s="509"/>
      <c r="AP13" s="965"/>
    </row>
    <row r="14" spans="4:42" ht="18" customHeight="1">
      <c r="D14" s="551"/>
      <c r="E14" s="572" t="s">
        <v>1991</v>
      </c>
      <c r="F14" s="552">
        <f>ROUND(F11*F8,0)</f>
        <v>0</v>
      </c>
      <c r="G14" s="552">
        <f>ROUND(G11*G8,0)</f>
        <v>4107419</v>
      </c>
      <c r="H14" s="552">
        <f>ROUND(H11*H8,0)</f>
        <v>3708694</v>
      </c>
      <c r="I14" s="552">
        <f>ROUND(I11*I8,0)</f>
        <v>0</v>
      </c>
      <c r="J14" s="553">
        <f>ROUND(J11*J8,0)</f>
        <v>3658730</v>
      </c>
      <c r="K14" s="551">
        <v>0</v>
      </c>
      <c r="L14" s="552">
        <v>31368700</v>
      </c>
      <c r="M14" s="552">
        <v>19248254</v>
      </c>
      <c r="N14" s="553">
        <v>14362828</v>
      </c>
      <c r="O14" s="551">
        <v>12641424</v>
      </c>
      <c r="P14" s="552">
        <v>30876029</v>
      </c>
      <c r="Q14" s="552">
        <v>32247678</v>
      </c>
      <c r="R14" s="667">
        <v>31317467</v>
      </c>
      <c r="S14" s="551">
        <v>29506249</v>
      </c>
      <c r="T14" s="1893">
        <v>26097073</v>
      </c>
      <c r="U14" s="667">
        <v>25152908</v>
      </c>
      <c r="V14" s="1902">
        <f>SUMIF($X$10:$X$25,E14,$AJ$10:$AJ$25)</f>
        <v>13923157</v>
      </c>
      <c r="X14" s="519" t="s">
        <v>43</v>
      </c>
      <c r="Y14" s="519" t="s">
        <v>1992</v>
      </c>
      <c r="Z14" s="519"/>
      <c r="AA14" s="2053" t="s">
        <v>2490</v>
      </c>
      <c r="AB14" s="957" t="s">
        <v>2817</v>
      </c>
      <c r="AC14" s="958">
        <v>4</v>
      </c>
      <c r="AD14" s="958">
        <v>8619</v>
      </c>
      <c r="AE14" s="958">
        <v>2154.75</v>
      </c>
      <c r="AF14" s="958">
        <v>21191</v>
      </c>
      <c r="AG14" s="958">
        <v>12236</v>
      </c>
      <c r="AH14" s="959">
        <f t="shared" si="0"/>
        <v>0.42258505969515359</v>
      </c>
      <c r="AI14" s="960">
        <v>82155</v>
      </c>
      <c r="AJ14" s="961">
        <v>34717</v>
      </c>
      <c r="AK14" s="962"/>
      <c r="AL14" s="963"/>
      <c r="AM14" s="963"/>
      <c r="AN14" s="964"/>
      <c r="AP14" s="965"/>
    </row>
    <row r="15" spans="4:42" ht="18" customHeight="1">
      <c r="D15" s="551"/>
      <c r="E15" s="572" t="s">
        <v>1992</v>
      </c>
      <c r="F15" s="552"/>
      <c r="G15" s="552"/>
      <c r="H15" s="552"/>
      <c r="I15" s="552"/>
      <c r="J15" s="553"/>
      <c r="K15" s="551"/>
      <c r="L15" s="552"/>
      <c r="M15" s="552">
        <v>16598510</v>
      </c>
      <c r="N15" s="553">
        <v>17841963</v>
      </c>
      <c r="O15" s="551">
        <v>15382090</v>
      </c>
      <c r="P15" s="552">
        <v>15441678</v>
      </c>
      <c r="Q15" s="552">
        <v>16409819</v>
      </c>
      <c r="R15" s="667">
        <v>21945839</v>
      </c>
      <c r="S15" s="551">
        <v>23127952</v>
      </c>
      <c r="T15" s="1893">
        <v>21201649</v>
      </c>
      <c r="U15" s="667">
        <v>17340354</v>
      </c>
      <c r="V15" s="1902">
        <f>SUMIF($X$10:$X$25,E15,$AJ$10:$AJ$25)</f>
        <v>12175869</v>
      </c>
      <c r="X15" s="519" t="s">
        <v>43</v>
      </c>
      <c r="Y15" s="519" t="s">
        <v>1992</v>
      </c>
      <c r="Z15" s="519"/>
      <c r="AA15" s="2053" t="s">
        <v>2491</v>
      </c>
      <c r="AB15" s="957" t="s">
        <v>2007</v>
      </c>
      <c r="AC15" s="958">
        <v>10</v>
      </c>
      <c r="AD15" s="958">
        <v>39456</v>
      </c>
      <c r="AE15" s="958">
        <v>3945.6</v>
      </c>
      <c r="AF15" s="958">
        <v>38803</v>
      </c>
      <c r="AG15" s="958">
        <v>25435</v>
      </c>
      <c r="AH15" s="959">
        <f t="shared" si="0"/>
        <v>0.34450944514599385</v>
      </c>
      <c r="AI15" s="960">
        <v>376087</v>
      </c>
      <c r="AJ15" s="961">
        <v>129566</v>
      </c>
      <c r="AK15" s="962"/>
      <c r="AL15" s="963"/>
      <c r="AM15" s="963"/>
      <c r="AN15" s="964"/>
      <c r="AP15" s="965"/>
    </row>
    <row r="16" spans="4:42" ht="18" customHeight="1">
      <c r="D16" s="953"/>
      <c r="E16" s="929"/>
      <c r="F16" s="954" t="b">
        <f>SUM(F19:F26)=0</f>
        <v>1</v>
      </c>
      <c r="G16" s="954"/>
      <c r="H16" s="954"/>
      <c r="I16" s="954"/>
      <c r="J16" s="955"/>
      <c r="K16" s="953"/>
      <c r="L16" s="954"/>
      <c r="M16" s="954"/>
      <c r="N16" s="955"/>
      <c r="O16" s="953"/>
      <c r="P16" s="954"/>
      <c r="Q16" s="954"/>
      <c r="R16" s="956"/>
      <c r="S16" s="953"/>
      <c r="T16" s="1892"/>
      <c r="U16" s="2033"/>
      <c r="V16" s="1901"/>
      <c r="W16" s="720"/>
      <c r="X16" s="519" t="s">
        <v>43</v>
      </c>
      <c r="Y16" s="519" t="s">
        <v>1992</v>
      </c>
      <c r="Z16" s="519"/>
      <c r="AA16" s="2053" t="s">
        <v>2492</v>
      </c>
      <c r="AB16" s="957" t="s">
        <v>2818</v>
      </c>
      <c r="AC16" s="958">
        <v>67</v>
      </c>
      <c r="AD16" s="958">
        <v>112974</v>
      </c>
      <c r="AE16" s="958">
        <v>1686.1791044776119</v>
      </c>
      <c r="AF16" s="958">
        <v>16583</v>
      </c>
      <c r="AG16" s="958">
        <v>10104</v>
      </c>
      <c r="AH16" s="959">
        <f t="shared" si="0"/>
        <v>0.39070132062956037</v>
      </c>
      <c r="AI16" s="960">
        <v>1076846</v>
      </c>
      <c r="AJ16" s="961">
        <v>420725</v>
      </c>
      <c r="AK16" s="962"/>
      <c r="AL16" s="963"/>
      <c r="AM16" s="963"/>
      <c r="AN16" s="964"/>
      <c r="AP16" s="965"/>
    </row>
    <row r="17" spans="4:42" ht="18" customHeight="1">
      <c r="D17" s="953"/>
      <c r="E17" s="929"/>
      <c r="F17" s="954"/>
      <c r="G17" s="954"/>
      <c r="H17" s="954"/>
      <c r="I17" s="954"/>
      <c r="J17" s="955"/>
      <c r="K17" s="953"/>
      <c r="L17" s="954"/>
      <c r="M17" s="954"/>
      <c r="N17" s="955"/>
      <c r="O17" s="953"/>
      <c r="P17" s="954"/>
      <c r="Q17" s="954"/>
      <c r="R17" s="956"/>
      <c r="S17" s="953"/>
      <c r="T17" s="1892"/>
      <c r="U17" s="2033"/>
      <c r="V17" s="1901"/>
      <c r="W17" s="720"/>
      <c r="X17" s="519" t="s">
        <v>45</v>
      </c>
      <c r="Y17" s="519" t="s">
        <v>1992</v>
      </c>
      <c r="Z17" s="519"/>
      <c r="AA17" s="2053" t="s">
        <v>2493</v>
      </c>
      <c r="AB17" s="957" t="s">
        <v>2083</v>
      </c>
      <c r="AC17" s="958">
        <v>5000</v>
      </c>
      <c r="AD17" s="958">
        <v>8750000</v>
      </c>
      <c r="AE17" s="958">
        <v>1750</v>
      </c>
      <c r="AF17" s="958">
        <v>17210</v>
      </c>
      <c r="AG17" s="958">
        <v>14337</v>
      </c>
      <c r="AH17" s="959">
        <f t="shared" si="0"/>
        <v>0.16693782684485764</v>
      </c>
      <c r="AI17" s="960">
        <v>83403250</v>
      </c>
      <c r="AJ17" s="961">
        <v>13923157</v>
      </c>
      <c r="AK17" s="962"/>
      <c r="AL17" s="963"/>
      <c r="AM17" s="963"/>
      <c r="AN17" s="966"/>
      <c r="AP17" s="965"/>
    </row>
    <row r="18" spans="4:42" ht="18" customHeight="1">
      <c r="D18" s="655" t="s">
        <v>241</v>
      </c>
      <c r="E18" s="572" t="s">
        <v>242</v>
      </c>
      <c r="F18" s="552">
        <f>-F19</f>
        <v>0</v>
      </c>
      <c r="G18" s="552">
        <f>-G19</f>
        <v>4107419</v>
      </c>
      <c r="H18" s="552">
        <f>-H19</f>
        <v>3708694</v>
      </c>
      <c r="I18" s="552">
        <f>-I19</f>
        <v>0</v>
      </c>
      <c r="J18" s="553">
        <f>-J19</f>
        <v>3658730</v>
      </c>
      <c r="K18" s="551">
        <v>0</v>
      </c>
      <c r="L18" s="552">
        <v>31368700</v>
      </c>
      <c r="M18" s="552">
        <v>19248254</v>
      </c>
      <c r="N18" s="553">
        <v>14362828</v>
      </c>
      <c r="O18" s="551">
        <v>12641424</v>
      </c>
      <c r="P18" s="552">
        <v>30876029</v>
      </c>
      <c r="Q18" s="552">
        <v>32247678</v>
      </c>
      <c r="R18" s="667">
        <v>31317467</v>
      </c>
      <c r="S18" s="551">
        <v>29506249</v>
      </c>
      <c r="T18" s="1893">
        <v>26097073</v>
      </c>
      <c r="U18" s="667">
        <v>25152908</v>
      </c>
      <c r="V18" s="1902">
        <f>V14</f>
        <v>13923157</v>
      </c>
      <c r="W18" s="967" t="s">
        <v>1995</v>
      </c>
      <c r="X18" s="519" t="s">
        <v>43</v>
      </c>
      <c r="Y18" s="519" t="s">
        <v>1992</v>
      </c>
      <c r="AA18" s="968" t="s">
        <v>2494</v>
      </c>
      <c r="AB18" s="969" t="s">
        <v>2278</v>
      </c>
      <c r="AC18" s="963">
        <v>11</v>
      </c>
      <c r="AD18" s="963">
        <v>20721</v>
      </c>
      <c r="AE18" s="958">
        <v>1883.7272727272727</v>
      </c>
      <c r="AF18" s="958">
        <v>18525</v>
      </c>
      <c r="AG18" s="958">
        <v>10768</v>
      </c>
      <c r="AH18" s="959">
        <f t="shared" si="0"/>
        <v>0.41873144399460188</v>
      </c>
      <c r="AI18" s="960">
        <v>197508</v>
      </c>
      <c r="AJ18" s="961">
        <v>82703</v>
      </c>
      <c r="AK18" s="962"/>
      <c r="AL18" s="963"/>
      <c r="AM18" s="963"/>
      <c r="AN18" s="970"/>
      <c r="AP18" s="965"/>
    </row>
    <row r="19" spans="4:42" ht="18" customHeight="1">
      <c r="D19" s="656" t="s">
        <v>1793</v>
      </c>
      <c r="E19" s="572" t="s">
        <v>45</v>
      </c>
      <c r="F19" s="552">
        <f>-F14</f>
        <v>0</v>
      </c>
      <c r="G19" s="552">
        <f>-G14</f>
        <v>-4107419</v>
      </c>
      <c r="H19" s="552">
        <f>-H14</f>
        <v>-3708694</v>
      </c>
      <c r="I19" s="552">
        <f>-I14</f>
        <v>0</v>
      </c>
      <c r="J19" s="553">
        <f>-J14</f>
        <v>-3658730</v>
      </c>
      <c r="K19" s="551">
        <v>0</v>
      </c>
      <c r="L19" s="552">
        <v>-31368700</v>
      </c>
      <c r="M19" s="552">
        <v>-19248254</v>
      </c>
      <c r="N19" s="553">
        <v>-14362828</v>
      </c>
      <c r="O19" s="551">
        <v>-12641424</v>
      </c>
      <c r="P19" s="552">
        <v>-30876029</v>
      </c>
      <c r="Q19" s="552">
        <v>-32247678</v>
      </c>
      <c r="R19" s="667">
        <v>-31317467</v>
      </c>
      <c r="S19" s="551">
        <v>-29506249</v>
      </c>
      <c r="T19" s="1893">
        <v>-26097073</v>
      </c>
      <c r="U19" s="667">
        <v>-25152908</v>
      </c>
      <c r="V19" s="1902">
        <f>-V18</f>
        <v>-13923157</v>
      </c>
      <c r="W19" s="967"/>
      <c r="X19" s="519" t="s">
        <v>43</v>
      </c>
      <c r="Y19" s="519" t="s">
        <v>1992</v>
      </c>
      <c r="AA19" s="971" t="s">
        <v>2495</v>
      </c>
      <c r="AB19" s="2054" t="s">
        <v>2279</v>
      </c>
      <c r="AC19" s="972">
        <v>3</v>
      </c>
      <c r="AD19" s="972">
        <v>8223</v>
      </c>
      <c r="AE19" s="973">
        <v>2741</v>
      </c>
      <c r="AF19" s="973">
        <v>26956</v>
      </c>
      <c r="AG19" s="973">
        <v>18754</v>
      </c>
      <c r="AH19" s="974">
        <f t="shared" si="0"/>
        <v>0.30427363110253747</v>
      </c>
      <c r="AI19" s="975">
        <v>78380</v>
      </c>
      <c r="AJ19" s="976">
        <v>23849</v>
      </c>
      <c r="AK19" s="977"/>
      <c r="AL19" s="978"/>
      <c r="AM19" s="972"/>
      <c r="AN19" s="979"/>
      <c r="AP19" s="965"/>
    </row>
    <row r="20" spans="4:42" ht="18" customHeight="1">
      <c r="D20" s="676" t="s">
        <v>239</v>
      </c>
      <c r="E20" s="572" t="s">
        <v>1994</v>
      </c>
      <c r="F20" s="552"/>
      <c r="G20" s="552"/>
      <c r="H20" s="552"/>
      <c r="I20" s="552"/>
      <c r="J20" s="553"/>
      <c r="K20" s="551"/>
      <c r="L20" s="552"/>
      <c r="M20" s="552">
        <v>16598510</v>
      </c>
      <c r="N20" s="553">
        <v>17841963</v>
      </c>
      <c r="O20" s="551">
        <v>15382090</v>
      </c>
      <c r="P20" s="552">
        <v>15441678</v>
      </c>
      <c r="Q20" s="552">
        <v>16409819</v>
      </c>
      <c r="R20" s="667">
        <v>21945839</v>
      </c>
      <c r="S20" s="551">
        <v>23127952</v>
      </c>
      <c r="T20" s="1893">
        <v>21201649</v>
      </c>
      <c r="U20" s="667">
        <v>17340354</v>
      </c>
      <c r="V20" s="1902">
        <f>V15</f>
        <v>12175869</v>
      </c>
      <c r="W20" s="967" t="s">
        <v>1996</v>
      </c>
      <c r="X20" s="519" t="s">
        <v>43</v>
      </c>
      <c r="Y20" s="519" t="s">
        <v>1992</v>
      </c>
      <c r="AA20" s="971" t="s">
        <v>2581</v>
      </c>
      <c r="AB20" s="2054" t="s">
        <v>2582</v>
      </c>
      <c r="AC20" s="972">
        <v>12428</v>
      </c>
      <c r="AD20" s="972">
        <v>34812870</v>
      </c>
      <c r="AE20" s="973">
        <v>2801.1643064048922</v>
      </c>
      <c r="AF20" s="973">
        <v>27548</v>
      </c>
      <c r="AG20" s="973">
        <v>26622</v>
      </c>
      <c r="AH20" s="974">
        <f t="shared" si="0"/>
        <v>3.361405546682155E-2</v>
      </c>
      <c r="AI20" s="975">
        <v>331829314</v>
      </c>
      <c r="AJ20" s="976">
        <v>11154129</v>
      </c>
      <c r="AK20" s="977"/>
      <c r="AL20" s="978"/>
      <c r="AM20" s="972"/>
      <c r="AN20" s="979"/>
    </row>
    <row r="21" spans="4:42" ht="18" customHeight="1">
      <c r="D21" s="656" t="s">
        <v>1993</v>
      </c>
      <c r="E21" s="572" t="s">
        <v>1992</v>
      </c>
      <c r="F21" s="552"/>
      <c r="G21" s="552"/>
      <c r="H21" s="552"/>
      <c r="I21" s="552"/>
      <c r="J21" s="553"/>
      <c r="K21" s="551"/>
      <c r="L21" s="552"/>
      <c r="M21" s="552">
        <v>-16598510</v>
      </c>
      <c r="N21" s="553">
        <v>-17841963</v>
      </c>
      <c r="O21" s="551">
        <v>-15382090</v>
      </c>
      <c r="P21" s="552">
        <v>-15441678</v>
      </c>
      <c r="Q21" s="552">
        <v>-16409819</v>
      </c>
      <c r="R21" s="667">
        <v>-21945839</v>
      </c>
      <c r="S21" s="551">
        <v>-23127952</v>
      </c>
      <c r="T21" s="1893">
        <v>-21201649</v>
      </c>
      <c r="U21" s="667">
        <v>-17340354</v>
      </c>
      <c r="V21" s="1902">
        <f>-V20</f>
        <v>-12175869</v>
      </c>
      <c r="W21" s="967"/>
      <c r="X21" s="519" t="s">
        <v>43</v>
      </c>
      <c r="Y21" s="519" t="s">
        <v>1992</v>
      </c>
      <c r="AA21" s="971" t="s">
        <v>2813</v>
      </c>
      <c r="AB21" s="2054" t="s">
        <v>2819</v>
      </c>
      <c r="AC21" s="972">
        <v>12</v>
      </c>
      <c r="AD21" s="972">
        <v>34200</v>
      </c>
      <c r="AE21" s="973">
        <v>2850</v>
      </c>
      <c r="AF21" s="973">
        <v>28028</v>
      </c>
      <c r="AG21" s="973">
        <v>26964.99</v>
      </c>
      <c r="AH21" s="974">
        <f t="shared" si="0"/>
        <v>3.79267161410018E-2</v>
      </c>
      <c r="AI21" s="975">
        <v>325988</v>
      </c>
      <c r="AJ21" s="976">
        <v>12364</v>
      </c>
      <c r="AK21" s="977"/>
      <c r="AL21" s="978"/>
      <c r="AM21" s="972"/>
      <c r="AN21" s="979"/>
    </row>
    <row r="22" spans="4:42" ht="18" customHeight="1">
      <c r="D22" s="655" t="s">
        <v>1354</v>
      </c>
      <c r="E22" s="572" t="s">
        <v>401</v>
      </c>
      <c r="F22" s="552">
        <v>0</v>
      </c>
      <c r="G22" s="552">
        <f>-G23</f>
        <v>0</v>
      </c>
      <c r="H22" s="552">
        <f>-H23</f>
        <v>0</v>
      </c>
      <c r="I22" s="552"/>
      <c r="J22" s="553"/>
      <c r="K22" s="551">
        <v>3658730</v>
      </c>
      <c r="L22" s="552">
        <v>3658730</v>
      </c>
      <c r="M22" s="552">
        <v>3658730</v>
      </c>
      <c r="N22" s="553">
        <v>3658730</v>
      </c>
      <c r="O22" s="551">
        <v>32204791</v>
      </c>
      <c r="P22" s="552">
        <v>32204791</v>
      </c>
      <c r="Q22" s="552">
        <v>32204791</v>
      </c>
      <c r="R22" s="667">
        <v>32204791</v>
      </c>
      <c r="S22" s="551">
        <v>53263306</v>
      </c>
      <c r="T22" s="1893">
        <v>53263306</v>
      </c>
      <c r="U22" s="667">
        <v>53263306</v>
      </c>
      <c r="V22" s="1902">
        <f>R18+R20</f>
        <v>53263306</v>
      </c>
      <c r="W22" s="967" t="s">
        <v>2010</v>
      </c>
      <c r="X22" s="519" t="s">
        <v>43</v>
      </c>
      <c r="Y22" s="519" t="s">
        <v>1992</v>
      </c>
      <c r="AA22" s="971" t="s">
        <v>2814</v>
      </c>
      <c r="AB22" s="2054" t="s">
        <v>2820</v>
      </c>
      <c r="AC22" s="972">
        <v>0</v>
      </c>
      <c r="AD22" s="972">
        <v>0</v>
      </c>
      <c r="AE22" s="973">
        <v>0</v>
      </c>
      <c r="AF22" s="973">
        <v>0</v>
      </c>
      <c r="AG22" s="973">
        <v>4446.8580000000002</v>
      </c>
      <c r="AH22" s="974">
        <f t="shared" si="0"/>
        <v>0</v>
      </c>
      <c r="AI22" s="975">
        <v>0</v>
      </c>
      <c r="AJ22" s="976">
        <v>0</v>
      </c>
      <c r="AK22" s="977"/>
      <c r="AL22" s="978"/>
      <c r="AM22" s="972"/>
      <c r="AN22" s="979"/>
    </row>
    <row r="23" spans="4:42" s="952" customFormat="1" ht="18" customHeight="1">
      <c r="D23" s="655" t="s">
        <v>241</v>
      </c>
      <c r="E23" s="572" t="s">
        <v>242</v>
      </c>
      <c r="F23" s="552">
        <v>0</v>
      </c>
      <c r="G23" s="552">
        <f>-F18</f>
        <v>0</v>
      </c>
      <c r="H23" s="552">
        <f>-F18</f>
        <v>0</v>
      </c>
      <c r="I23" s="552"/>
      <c r="J23" s="553"/>
      <c r="K23" s="551">
        <v>-3658730</v>
      </c>
      <c r="L23" s="552">
        <v>-3658730</v>
      </c>
      <c r="M23" s="552">
        <v>-3658730</v>
      </c>
      <c r="N23" s="553">
        <v>-3658730</v>
      </c>
      <c r="O23" s="551">
        <v>-32204791</v>
      </c>
      <c r="P23" s="552">
        <v>-32204791</v>
      </c>
      <c r="Q23" s="552">
        <v>-32204791</v>
      </c>
      <c r="R23" s="667">
        <v>-32204791</v>
      </c>
      <c r="S23" s="551">
        <v>-31317467</v>
      </c>
      <c r="T23" s="1893">
        <v>-31317467</v>
      </c>
      <c r="U23" s="667">
        <v>-31317467</v>
      </c>
      <c r="V23" s="1902">
        <f>-R18</f>
        <v>-31317467</v>
      </c>
      <c r="W23" s="967"/>
      <c r="X23" s="519" t="s">
        <v>43</v>
      </c>
      <c r="Y23" s="519" t="s">
        <v>1992</v>
      </c>
      <c r="AA23" s="971" t="s">
        <v>2814</v>
      </c>
      <c r="AB23" s="2054" t="s">
        <v>2821</v>
      </c>
      <c r="AC23" s="972">
        <v>281</v>
      </c>
      <c r="AD23" s="972">
        <v>132070</v>
      </c>
      <c r="AE23" s="973">
        <v>470</v>
      </c>
      <c r="AF23" s="973">
        <v>4622</v>
      </c>
      <c r="AG23" s="973">
        <v>4446.8580000000002</v>
      </c>
      <c r="AH23" s="974">
        <f t="shared" si="0"/>
        <v>3.7893119861531765E-2</v>
      </c>
      <c r="AI23" s="975">
        <v>1258865</v>
      </c>
      <c r="AJ23" s="976">
        <v>47702</v>
      </c>
      <c r="AK23" s="977"/>
      <c r="AL23" s="978"/>
      <c r="AM23" s="972"/>
      <c r="AN23" s="979"/>
    </row>
    <row r="24" spans="4:42" s="952" customFormat="1" ht="18" customHeight="1">
      <c r="D24" s="676" t="s">
        <v>239</v>
      </c>
      <c r="E24" s="572" t="s">
        <v>1994</v>
      </c>
      <c r="F24" s="552"/>
      <c r="G24" s="552"/>
      <c r="H24" s="552"/>
      <c r="I24" s="552"/>
      <c r="J24" s="553"/>
      <c r="K24" s="551"/>
      <c r="L24" s="552"/>
      <c r="M24" s="552"/>
      <c r="N24" s="553"/>
      <c r="O24" s="551"/>
      <c r="P24" s="552"/>
      <c r="Q24" s="552"/>
      <c r="R24" s="667"/>
      <c r="S24" s="551">
        <v>-21945839</v>
      </c>
      <c r="T24" s="1893">
        <v>-21945839</v>
      </c>
      <c r="U24" s="667">
        <v>-21945839</v>
      </c>
      <c r="V24" s="1902">
        <f>-R20</f>
        <v>-21945839</v>
      </c>
      <c r="W24" s="967"/>
      <c r="X24" s="519" t="s">
        <v>43</v>
      </c>
      <c r="Y24" s="519" t="s">
        <v>1992</v>
      </c>
      <c r="AA24" s="971" t="s">
        <v>2814</v>
      </c>
      <c r="AB24" s="2054" t="s">
        <v>2822</v>
      </c>
      <c r="AC24" s="972">
        <v>4</v>
      </c>
      <c r="AD24" s="972">
        <v>1880</v>
      </c>
      <c r="AE24" s="973">
        <v>470</v>
      </c>
      <c r="AF24" s="973">
        <v>4622</v>
      </c>
      <c r="AG24" s="973">
        <v>4446.8580000000002</v>
      </c>
      <c r="AH24" s="974">
        <f t="shared" si="0"/>
        <v>3.7893119861531765E-2</v>
      </c>
      <c r="AI24" s="975">
        <v>17920</v>
      </c>
      <c r="AJ24" s="976">
        <v>679</v>
      </c>
      <c r="AK24" s="977"/>
      <c r="AL24" s="978"/>
      <c r="AM24" s="972"/>
      <c r="AN24" s="979"/>
    </row>
    <row r="25" spans="4:42" ht="18" customHeight="1" thickBot="1">
      <c r="D25" s="655" t="s">
        <v>1355</v>
      </c>
      <c r="E25" s="572" t="s">
        <v>209</v>
      </c>
      <c r="F25" s="552">
        <v>0</v>
      </c>
      <c r="G25" s="552">
        <f>SUM(G23,G18)</f>
        <v>4107419</v>
      </c>
      <c r="H25" s="552">
        <f>SUM(H23,H18)</f>
        <v>3708694</v>
      </c>
      <c r="I25" s="552">
        <f>SUM(I23,I18)</f>
        <v>0</v>
      </c>
      <c r="J25" s="553">
        <f>SUM(J23,J18)</f>
        <v>3658730</v>
      </c>
      <c r="K25" s="551">
        <v>-3658730</v>
      </c>
      <c r="L25" s="552">
        <v>27709970</v>
      </c>
      <c r="M25" s="552">
        <v>32188034</v>
      </c>
      <c r="N25" s="553">
        <v>28546061</v>
      </c>
      <c r="O25" s="551">
        <v>-4181277</v>
      </c>
      <c r="P25" s="552">
        <v>14112916</v>
      </c>
      <c r="Q25" s="552">
        <v>16452706</v>
      </c>
      <c r="R25" s="667">
        <v>21058515</v>
      </c>
      <c r="S25" s="551">
        <v>-629105</v>
      </c>
      <c r="T25" s="1893">
        <v>-5964584</v>
      </c>
      <c r="U25" s="667">
        <v>-10770044</v>
      </c>
      <c r="V25" s="1902">
        <f>SUM(V23,V18,V24,V20)</f>
        <v>-27164280</v>
      </c>
      <c r="W25" s="967"/>
      <c r="X25" s="519" t="s">
        <v>43</v>
      </c>
      <c r="Y25" s="519" t="s">
        <v>1992</v>
      </c>
      <c r="AA25" s="980" t="s">
        <v>2814</v>
      </c>
      <c r="AB25" s="2055" t="s">
        <v>2823</v>
      </c>
      <c r="AC25" s="981">
        <v>1</v>
      </c>
      <c r="AD25" s="981">
        <v>470</v>
      </c>
      <c r="AE25" s="982">
        <v>470</v>
      </c>
      <c r="AF25" s="982">
        <v>4622</v>
      </c>
      <c r="AG25" s="982">
        <v>4446.8580000000002</v>
      </c>
      <c r="AH25" s="983">
        <f t="shared" si="0"/>
        <v>3.7893119861531765E-2</v>
      </c>
      <c r="AI25" s="984">
        <v>4480</v>
      </c>
      <c r="AJ25" s="985">
        <v>170</v>
      </c>
      <c r="AK25" s="986"/>
      <c r="AL25" s="987"/>
      <c r="AM25" s="981"/>
      <c r="AN25" s="988"/>
    </row>
    <row r="26" spans="4:42" ht="18" customHeight="1">
      <c r="D26" s="655"/>
      <c r="E26" s="572" t="s">
        <v>421</v>
      </c>
      <c r="F26" s="552">
        <v>0</v>
      </c>
      <c r="G26" s="552">
        <f>-G25</f>
        <v>-4107419</v>
      </c>
      <c r="H26" s="552">
        <f>-H25</f>
        <v>-3708694</v>
      </c>
      <c r="I26" s="552">
        <f>-I25</f>
        <v>0</v>
      </c>
      <c r="J26" s="553">
        <f>-J25</f>
        <v>-3658730</v>
      </c>
      <c r="K26" s="551">
        <v>3658730</v>
      </c>
      <c r="L26" s="552">
        <v>-27709970</v>
      </c>
      <c r="M26" s="552">
        <v>-32188034</v>
      </c>
      <c r="N26" s="553">
        <v>-28546061</v>
      </c>
      <c r="O26" s="551">
        <v>4181277</v>
      </c>
      <c r="P26" s="552">
        <v>-14112916</v>
      </c>
      <c r="Q26" s="552">
        <v>-16452706</v>
      </c>
      <c r="R26" s="667">
        <v>-21058515</v>
      </c>
      <c r="S26" s="551">
        <v>629105</v>
      </c>
      <c r="T26" s="1893">
        <v>5964584</v>
      </c>
      <c r="U26" s="667">
        <v>10770044</v>
      </c>
      <c r="V26" s="1902">
        <f>-V25</f>
        <v>27164280</v>
      </c>
      <c r="W26" s="967"/>
      <c r="AA26" s="935"/>
      <c r="AB26" s="952"/>
      <c r="AK26" s="952"/>
      <c r="AL26" s="952"/>
      <c r="AM26" s="952"/>
      <c r="AN26" s="989"/>
    </row>
    <row r="27" spans="4:42" ht="18" customHeight="1" thickBot="1">
      <c r="D27" s="634" t="s">
        <v>2424</v>
      </c>
      <c r="E27" s="991"/>
      <c r="F27" s="992"/>
      <c r="G27" s="992"/>
      <c r="H27" s="992"/>
      <c r="I27" s="992"/>
      <c r="J27" s="993"/>
      <c r="K27" s="634"/>
      <c r="L27" s="992"/>
      <c r="M27" s="992"/>
      <c r="N27" s="993"/>
      <c r="O27" s="634"/>
      <c r="P27" s="992"/>
      <c r="Q27" s="992"/>
      <c r="R27" s="994"/>
      <c r="S27" s="634"/>
      <c r="T27" s="1894"/>
      <c r="U27" s="639"/>
      <c r="V27" s="1903"/>
      <c r="AA27" s="952" t="s">
        <v>2423</v>
      </c>
      <c r="AN27" s="990"/>
    </row>
    <row r="28" spans="4:42" ht="18" customHeight="1">
      <c r="D28" s="655" t="s">
        <v>255</v>
      </c>
      <c r="E28" s="572" t="s">
        <v>2364</v>
      </c>
      <c r="F28" s="552"/>
      <c r="G28" s="552"/>
      <c r="H28" s="552">
        <v>-1181400000</v>
      </c>
      <c r="I28" s="552">
        <f>H28</f>
        <v>-1181400000</v>
      </c>
      <c r="J28" s="553">
        <f>H28</f>
        <v>-1181400000</v>
      </c>
      <c r="K28" s="551"/>
      <c r="L28" s="552"/>
      <c r="M28" s="552"/>
      <c r="N28" s="553"/>
      <c r="O28" s="551"/>
      <c r="P28" s="552"/>
      <c r="Q28" s="552"/>
      <c r="R28" s="667">
        <v>-252800000</v>
      </c>
      <c r="S28" s="551"/>
      <c r="T28" s="1893"/>
      <c r="U28" s="667"/>
      <c r="V28" s="1902"/>
      <c r="AA28" s="995" t="s">
        <v>2425</v>
      </c>
      <c r="AB28" s="996" t="s">
        <v>2413</v>
      </c>
      <c r="AC28" s="996" t="s">
        <v>2414</v>
      </c>
      <c r="AD28" s="996" t="s">
        <v>2420</v>
      </c>
      <c r="AE28" s="997" t="s">
        <v>2419</v>
      </c>
      <c r="AF28" s="998" t="s">
        <v>2415</v>
      </c>
      <c r="AG28" s="998" t="s">
        <v>2411</v>
      </c>
      <c r="AH28" s="998" t="s">
        <v>2412</v>
      </c>
      <c r="AI28" s="999" t="s">
        <v>2421</v>
      </c>
      <c r="AJ28" s="1000" t="s">
        <v>2422</v>
      </c>
      <c r="AK28" s="952"/>
      <c r="AL28" s="952"/>
      <c r="AN28" s="990"/>
    </row>
    <row r="29" spans="4:42" ht="18" customHeight="1">
      <c r="D29" s="655" t="s">
        <v>295</v>
      </c>
      <c r="E29" s="572" t="s">
        <v>296</v>
      </c>
      <c r="F29" s="552"/>
      <c r="G29" s="552"/>
      <c r="H29" s="552">
        <f>-H28</f>
        <v>1181400000</v>
      </c>
      <c r="I29" s="552">
        <f>H29</f>
        <v>1181400000</v>
      </c>
      <c r="J29" s="553">
        <f>H29</f>
        <v>1181400000</v>
      </c>
      <c r="K29" s="551"/>
      <c r="L29" s="552"/>
      <c r="M29" s="552"/>
      <c r="N29" s="553"/>
      <c r="O29" s="551"/>
      <c r="P29" s="552"/>
      <c r="Q29" s="552"/>
      <c r="R29" s="667">
        <v>59688889</v>
      </c>
      <c r="S29" s="551">
        <v>126399999</v>
      </c>
      <c r="T29" s="1893">
        <v>193111111</v>
      </c>
      <c r="U29" s="667">
        <v>193111111</v>
      </c>
      <c r="V29" s="1902">
        <f>AF30+AG30+AH30+AI30+AJ30</f>
        <v>193111111</v>
      </c>
      <c r="AA29" s="1001" t="s">
        <v>2416</v>
      </c>
      <c r="AB29" s="1002">
        <v>94800000</v>
      </c>
      <c r="AC29" s="1002">
        <v>158000000</v>
      </c>
      <c r="AD29" s="1002"/>
      <c r="AE29" s="1003">
        <f>-SUM(AB29:AD29)</f>
        <v>-252800000</v>
      </c>
      <c r="AF29" s="675"/>
      <c r="AG29" s="675"/>
      <c r="AH29" s="675"/>
      <c r="AI29" s="668"/>
      <c r="AJ29" s="574"/>
      <c r="AM29" s="952"/>
      <c r="AN29" s="990"/>
    </row>
    <row r="30" spans="4:42" ht="18" customHeight="1">
      <c r="D30" s="669">
        <v>112511</v>
      </c>
      <c r="E30" s="670" t="s">
        <v>2365</v>
      </c>
      <c r="F30" s="668"/>
      <c r="G30" s="668"/>
      <c r="H30" s="668"/>
      <c r="I30" s="668"/>
      <c r="J30" s="671"/>
      <c r="K30" s="672"/>
      <c r="L30" s="668"/>
      <c r="M30" s="668"/>
      <c r="N30" s="671"/>
      <c r="O30" s="672"/>
      <c r="P30" s="668"/>
      <c r="Q30" s="668"/>
      <c r="R30" s="674">
        <v>193111111</v>
      </c>
      <c r="S30" s="672">
        <v>66711112</v>
      </c>
      <c r="T30" s="876">
        <v>0</v>
      </c>
      <c r="U30" s="674">
        <v>0</v>
      </c>
      <c r="V30" s="1902">
        <f>193111111-V29</f>
        <v>0</v>
      </c>
      <c r="AA30" s="1001" t="s">
        <v>2417</v>
      </c>
      <c r="AB30" s="1002">
        <v>15800000</v>
      </c>
      <c r="AC30" s="1002">
        <v>42133333</v>
      </c>
      <c r="AD30" s="1002">
        <v>1755556</v>
      </c>
      <c r="AE30" s="1003">
        <f>SUM(AB30:AD30)</f>
        <v>59688889</v>
      </c>
      <c r="AF30" s="675">
        <v>42133333</v>
      </c>
      <c r="AG30" s="675">
        <v>42133333</v>
      </c>
      <c r="AH30" s="675">
        <v>42133333</v>
      </c>
      <c r="AI30" s="668">
        <v>42133333</v>
      </c>
      <c r="AJ30" s="574">
        <f>AI31</f>
        <v>24577779</v>
      </c>
      <c r="AM30" s="952"/>
      <c r="AN30" s="990"/>
    </row>
    <row r="31" spans="4:42" ht="18" customHeight="1" thickBot="1">
      <c r="D31" s="1996" t="s">
        <v>1354</v>
      </c>
      <c r="E31" s="1997" t="s">
        <v>401</v>
      </c>
      <c r="F31" s="573"/>
      <c r="G31" s="573"/>
      <c r="H31" s="573"/>
      <c r="I31" s="573"/>
      <c r="J31" s="1998"/>
      <c r="K31" s="1999"/>
      <c r="L31" s="573"/>
      <c r="M31" s="573"/>
      <c r="N31" s="1998"/>
      <c r="O31" s="1999"/>
      <c r="P31" s="573"/>
      <c r="Q31" s="573"/>
      <c r="R31" s="2000"/>
      <c r="S31" s="1999">
        <v>-193111111</v>
      </c>
      <c r="T31" s="2001">
        <v>-193111111</v>
      </c>
      <c r="U31" s="2000">
        <v>-193111111</v>
      </c>
      <c r="V31" s="2002">
        <f>-R30</f>
        <v>-193111111</v>
      </c>
      <c r="AA31" s="1010" t="s">
        <v>2418</v>
      </c>
      <c r="AB31" s="1011"/>
      <c r="AC31" s="1011"/>
      <c r="AD31" s="1011"/>
      <c r="AE31" s="1012">
        <f>-AE30-AE29</f>
        <v>193111111</v>
      </c>
      <c r="AF31" s="1013">
        <f>AE31-AF30</f>
        <v>150977778</v>
      </c>
      <c r="AG31" s="1013">
        <f>AF31-AG30</f>
        <v>108844445</v>
      </c>
      <c r="AH31" s="1013">
        <f>AG31-AH30</f>
        <v>66711112</v>
      </c>
      <c r="AI31" s="1014">
        <f>AH31-AI30</f>
        <v>24577779</v>
      </c>
      <c r="AJ31" s="1015">
        <f>AI31-AJ30</f>
        <v>0</v>
      </c>
      <c r="AN31" s="990"/>
    </row>
    <row r="32" spans="4:42" ht="18" customHeight="1">
      <c r="D32" s="634" t="s">
        <v>2876</v>
      </c>
      <c r="E32" s="991"/>
      <c r="F32" s="992"/>
      <c r="G32" s="992"/>
      <c r="H32" s="992"/>
      <c r="I32" s="992"/>
      <c r="J32" s="993"/>
      <c r="K32" s="634"/>
      <c r="L32" s="992"/>
      <c r="M32" s="992"/>
      <c r="N32" s="993"/>
      <c r="O32" s="634"/>
      <c r="P32" s="992"/>
      <c r="Q32" s="992"/>
      <c r="R32" s="994"/>
      <c r="S32" s="634"/>
      <c r="T32" s="1894"/>
      <c r="U32" s="639"/>
      <c r="V32" s="1903"/>
      <c r="AA32" s="1995"/>
      <c r="AB32" s="1358"/>
      <c r="AC32" s="1358"/>
      <c r="AD32" s="1691"/>
      <c r="AE32" s="1691"/>
      <c r="AF32" s="1691"/>
      <c r="AG32" s="1691"/>
      <c r="AH32" s="1691"/>
      <c r="AI32" s="925"/>
      <c r="AJ32" s="925"/>
      <c r="AN32" s="990"/>
    </row>
    <row r="33" spans="4:40" ht="18" customHeight="1">
      <c r="D33" s="676" t="s">
        <v>368</v>
      </c>
      <c r="E33" s="580" t="s">
        <v>688</v>
      </c>
      <c r="F33" s="552"/>
      <c r="G33" s="552"/>
      <c r="H33" s="552"/>
      <c r="I33" s="552"/>
      <c r="J33" s="553"/>
      <c r="K33" s="551"/>
      <c r="L33" s="552"/>
      <c r="M33" s="552"/>
      <c r="N33" s="553"/>
      <c r="O33" s="551"/>
      <c r="P33" s="552"/>
      <c r="Q33" s="552"/>
      <c r="R33" s="667"/>
      <c r="S33" s="551"/>
      <c r="T33" s="1893"/>
      <c r="U33" s="667">
        <v>-216671</v>
      </c>
      <c r="V33" s="2012">
        <v>-216671</v>
      </c>
      <c r="AA33" s="1995"/>
      <c r="AB33" s="1358"/>
      <c r="AC33" s="1358"/>
      <c r="AD33" s="1691"/>
      <c r="AE33" s="1691"/>
      <c r="AF33" s="1691"/>
      <c r="AG33" s="1691"/>
      <c r="AH33" s="1691"/>
      <c r="AI33" s="925"/>
      <c r="AJ33" s="925"/>
      <c r="AN33" s="990"/>
    </row>
    <row r="34" spans="4:40" ht="18" customHeight="1">
      <c r="D34" s="676" t="s">
        <v>1546</v>
      </c>
      <c r="E34" s="580" t="s">
        <v>734</v>
      </c>
      <c r="F34" s="552"/>
      <c r="G34" s="552"/>
      <c r="H34" s="552"/>
      <c r="I34" s="552"/>
      <c r="J34" s="553"/>
      <c r="K34" s="551"/>
      <c r="L34" s="552"/>
      <c r="M34" s="552"/>
      <c r="N34" s="553"/>
      <c r="O34" s="551"/>
      <c r="P34" s="552"/>
      <c r="Q34" s="552"/>
      <c r="R34" s="667"/>
      <c r="S34" s="551"/>
      <c r="T34" s="1893"/>
      <c r="U34" s="667">
        <v>216671</v>
      </c>
      <c r="V34" s="2011">
        <f>-V33</f>
        <v>216671</v>
      </c>
      <c r="AA34" s="1995"/>
      <c r="AB34" s="1358"/>
      <c r="AC34" s="1358"/>
      <c r="AD34" s="1691"/>
      <c r="AE34" s="1691"/>
      <c r="AF34" s="1691"/>
      <c r="AG34" s="1691"/>
      <c r="AH34" s="1691"/>
      <c r="AI34" s="925"/>
      <c r="AJ34" s="925"/>
      <c r="AN34" s="990"/>
    </row>
    <row r="35" spans="4:40" ht="18" customHeight="1">
      <c r="D35" s="634" t="s">
        <v>2918</v>
      </c>
      <c r="E35" s="991"/>
      <c r="F35" s="992"/>
      <c r="G35" s="992"/>
      <c r="H35" s="992"/>
      <c r="I35" s="992"/>
      <c r="J35" s="993"/>
      <c r="K35" s="634"/>
      <c r="L35" s="992"/>
      <c r="M35" s="992"/>
      <c r="N35" s="993"/>
      <c r="O35" s="634"/>
      <c r="P35" s="992"/>
      <c r="Q35" s="992"/>
      <c r="R35" s="994"/>
      <c r="S35" s="634"/>
      <c r="T35" s="1894"/>
      <c r="U35" s="639"/>
      <c r="V35" s="1903"/>
      <c r="AA35" s="1995"/>
      <c r="AB35" s="1358"/>
      <c r="AC35" s="1358"/>
      <c r="AD35" s="1691"/>
      <c r="AE35" s="1691"/>
      <c r="AF35" s="1691"/>
      <c r="AG35" s="1691"/>
      <c r="AH35" s="1691"/>
      <c r="AI35" s="925"/>
      <c r="AJ35" s="925"/>
      <c r="AN35" s="990"/>
    </row>
    <row r="36" spans="4:40" ht="18" customHeight="1">
      <c r="D36" s="676"/>
      <c r="E36" s="580"/>
      <c r="F36" s="552"/>
      <c r="G36" s="552"/>
      <c r="H36" s="552"/>
      <c r="I36" s="552"/>
      <c r="J36" s="553"/>
      <c r="K36" s="551"/>
      <c r="L36" s="552"/>
      <c r="M36" s="552"/>
      <c r="N36" s="553"/>
      <c r="O36" s="551"/>
      <c r="P36" s="552"/>
      <c r="Q36" s="552"/>
      <c r="R36" s="667"/>
      <c r="S36" s="551"/>
      <c r="T36" s="1893"/>
      <c r="U36" s="667"/>
      <c r="V36" s="2012"/>
      <c r="AA36" s="1995"/>
      <c r="AB36" s="1358"/>
      <c r="AC36" s="1358"/>
      <c r="AD36" s="1691"/>
      <c r="AE36" s="1691"/>
      <c r="AF36" s="1691"/>
      <c r="AG36" s="1691"/>
      <c r="AH36" s="1691"/>
      <c r="AI36" s="925"/>
      <c r="AJ36" s="925"/>
      <c r="AN36" s="990"/>
    </row>
    <row r="37" spans="4:40" ht="18" customHeight="1" thickBot="1">
      <c r="D37" s="676"/>
      <c r="E37" s="580"/>
      <c r="F37" s="552"/>
      <c r="G37" s="552"/>
      <c r="H37" s="552"/>
      <c r="I37" s="552"/>
      <c r="J37" s="553"/>
      <c r="K37" s="551"/>
      <c r="L37" s="552"/>
      <c r="M37" s="552"/>
      <c r="N37" s="553"/>
      <c r="O37" s="551"/>
      <c r="P37" s="552"/>
      <c r="Q37" s="552"/>
      <c r="R37" s="667"/>
      <c r="S37" s="551"/>
      <c r="T37" s="1893"/>
      <c r="U37" s="667"/>
      <c r="V37" s="2011"/>
      <c r="AA37" s="1995"/>
      <c r="AB37" s="1358"/>
      <c r="AC37" s="1358"/>
      <c r="AD37" s="1691"/>
      <c r="AE37" s="1691"/>
      <c r="AF37" s="1691"/>
      <c r="AG37" s="1691"/>
      <c r="AH37" s="1691"/>
      <c r="AI37" s="925"/>
      <c r="AJ37" s="925"/>
      <c r="AN37" s="990"/>
    </row>
    <row r="38" spans="4:40" s="1009" customFormat="1" ht="18" customHeight="1" outlineLevel="1">
      <c r="D38" s="2003" t="s">
        <v>413</v>
      </c>
      <c r="E38" s="2004"/>
      <c r="F38" s="2005"/>
      <c r="G38" s="2005"/>
      <c r="H38" s="2005"/>
      <c r="I38" s="2005"/>
      <c r="J38" s="2006"/>
      <c r="K38" s="2007"/>
      <c r="L38" s="2005"/>
      <c r="M38" s="2005"/>
      <c r="N38" s="2006"/>
      <c r="O38" s="2007"/>
      <c r="P38" s="2005"/>
      <c r="Q38" s="2005"/>
      <c r="R38" s="2008"/>
      <c r="S38" s="2007"/>
      <c r="T38" s="2009"/>
      <c r="U38" s="2034"/>
      <c r="V38" s="2010"/>
      <c r="W38" s="1008"/>
      <c r="AB38" s="509"/>
      <c r="AC38" s="509"/>
      <c r="AD38" s="509"/>
      <c r="AE38" s="509"/>
      <c r="AF38" s="509"/>
      <c r="AK38" s="509"/>
      <c r="AL38" s="509"/>
      <c r="AM38" s="509"/>
      <c r="AN38" s="990"/>
    </row>
    <row r="39" spans="4:40" s="935" customFormat="1" ht="18" customHeight="1" outlineLevel="1">
      <c r="D39" s="928"/>
      <c r="E39" s="929" t="s">
        <v>415</v>
      </c>
      <c r="F39" s="930"/>
      <c r="G39" s="930"/>
      <c r="H39" s="930"/>
      <c r="I39" s="930"/>
      <c r="J39" s="931"/>
      <c r="K39" s="932"/>
      <c r="L39" s="930"/>
      <c r="M39" s="930"/>
      <c r="N39" s="931"/>
      <c r="O39" s="932"/>
      <c r="P39" s="930"/>
      <c r="Q39" s="930"/>
      <c r="R39" s="933"/>
      <c r="S39" s="932"/>
      <c r="T39" s="1890"/>
      <c r="U39" s="2032"/>
      <c r="V39" s="1899"/>
      <c r="W39" s="934"/>
      <c r="AB39" s="509"/>
      <c r="AC39" s="509"/>
      <c r="AD39" s="509"/>
      <c r="AE39" s="509"/>
      <c r="AF39" s="509"/>
      <c r="AK39" s="509"/>
      <c r="AL39" s="509"/>
      <c r="AM39" s="509"/>
      <c r="AN39" s="509"/>
    </row>
    <row r="40" spans="4:40" ht="18" customHeight="1" outlineLevel="1">
      <c r="D40" s="551"/>
      <c r="E40" s="572" t="s">
        <v>411</v>
      </c>
      <c r="F40" s="937">
        <v>0.47856800541709282</v>
      </c>
      <c r="G40" s="937">
        <v>0.40839243808672687</v>
      </c>
      <c r="H40" s="937">
        <f>H44/H42</f>
        <v>0.40336011563338686</v>
      </c>
      <c r="I40" s="937">
        <v>0.39829237655209598</v>
      </c>
      <c r="J40" s="938">
        <f>H40</f>
        <v>0.40336011563338686</v>
      </c>
      <c r="K40" s="939"/>
      <c r="L40" s="937"/>
      <c r="M40" s="937"/>
      <c r="N40" s="938"/>
      <c r="O40" s="939"/>
      <c r="P40" s="937"/>
      <c r="Q40" s="937"/>
      <c r="R40" s="940"/>
      <c r="S40" s="939"/>
      <c r="T40" s="1891"/>
      <c r="U40" s="940"/>
      <c r="V40" s="1900"/>
      <c r="W40" s="941"/>
    </row>
    <row r="41" spans="4:40" s="952" customFormat="1" ht="18" customHeight="1" outlineLevel="1">
      <c r="D41" s="953"/>
      <c r="E41" s="929" t="s">
        <v>412</v>
      </c>
      <c r="F41" s="954"/>
      <c r="G41" s="954"/>
      <c r="H41" s="954"/>
      <c r="I41" s="954"/>
      <c r="J41" s="955"/>
      <c r="K41" s="953"/>
      <c r="L41" s="954"/>
      <c r="M41" s="954"/>
      <c r="N41" s="955"/>
      <c r="O41" s="953"/>
      <c r="P41" s="954"/>
      <c r="Q41" s="954"/>
      <c r="R41" s="956"/>
      <c r="S41" s="953"/>
      <c r="T41" s="1892"/>
      <c r="U41" s="2033"/>
      <c r="V41" s="1901"/>
      <c r="W41" s="720"/>
      <c r="AB41" s="509"/>
      <c r="AC41" s="509"/>
      <c r="AD41" s="509"/>
      <c r="AE41" s="509"/>
      <c r="AF41" s="509"/>
      <c r="AK41" s="509"/>
      <c r="AL41" s="509"/>
      <c r="AM41" s="509"/>
      <c r="AN41" s="509"/>
    </row>
    <row r="42" spans="4:40" ht="18" customHeight="1" outlineLevel="1">
      <c r="D42" s="551"/>
      <c r="E42" s="572" t="s">
        <v>411</v>
      </c>
      <c r="F42" s="552">
        <v>1155016576</v>
      </c>
      <c r="G42" s="552">
        <v>856422094</v>
      </c>
      <c r="H42" s="552">
        <v>622300548</v>
      </c>
      <c r="I42" s="552">
        <v>813003348</v>
      </c>
      <c r="J42" s="553">
        <f>H42</f>
        <v>622300548</v>
      </c>
      <c r="K42" s="551">
        <v>0</v>
      </c>
      <c r="L42" s="552"/>
      <c r="M42" s="552"/>
      <c r="N42" s="553">
        <v>0</v>
      </c>
      <c r="O42" s="551"/>
      <c r="P42" s="552"/>
      <c r="Q42" s="552"/>
      <c r="R42" s="667"/>
      <c r="S42" s="551"/>
      <c r="T42" s="1893">
        <v>0</v>
      </c>
      <c r="U42" s="667"/>
      <c r="V42" s="1905">
        <v>0</v>
      </c>
    </row>
    <row r="43" spans="4:40" s="952" customFormat="1" ht="18" customHeight="1" outlineLevel="1">
      <c r="D43" s="953"/>
      <c r="E43" s="929" t="s">
        <v>416</v>
      </c>
      <c r="F43" s="954"/>
      <c r="G43" s="954"/>
      <c r="H43" s="954"/>
      <c r="I43" s="954"/>
      <c r="J43" s="955"/>
      <c r="K43" s="953"/>
      <c r="L43" s="954"/>
      <c r="M43" s="954"/>
      <c r="N43" s="955"/>
      <c r="O43" s="953"/>
      <c r="P43" s="954"/>
      <c r="Q43" s="954"/>
      <c r="R43" s="956"/>
      <c r="S43" s="953"/>
      <c r="T43" s="1892"/>
      <c r="U43" s="2033"/>
      <c r="V43" s="1901"/>
      <c r="W43" s="720"/>
      <c r="AE43" s="509"/>
      <c r="AF43" s="509"/>
      <c r="AK43" s="509"/>
      <c r="AL43" s="509"/>
      <c r="AM43" s="509"/>
      <c r="AN43" s="1009"/>
    </row>
    <row r="44" spans="4:40" ht="18" customHeight="1" outlineLevel="1">
      <c r="D44" s="551"/>
      <c r="E44" s="572" t="s">
        <v>411</v>
      </c>
      <c r="F44" s="552">
        <f>ROUND(F40*F42,0)</f>
        <v>552753979</v>
      </c>
      <c r="G44" s="552">
        <f>ROUND(G40*G42,0)</f>
        <v>349756307</v>
      </c>
      <c r="H44" s="552">
        <v>251011221</v>
      </c>
      <c r="I44" s="552"/>
      <c r="J44" s="553"/>
      <c r="K44" s="551"/>
      <c r="L44" s="552"/>
      <c r="M44" s="552"/>
      <c r="N44" s="553"/>
      <c r="O44" s="551"/>
      <c r="P44" s="552"/>
      <c r="Q44" s="552"/>
      <c r="R44" s="667"/>
      <c r="S44" s="551"/>
      <c r="T44" s="1893"/>
      <c r="U44" s="667"/>
      <c r="V44" s="1905"/>
      <c r="AA44" s="952"/>
      <c r="AB44" s="952"/>
      <c r="AC44" s="952"/>
      <c r="AD44" s="952"/>
      <c r="AK44" s="1009"/>
      <c r="AL44" s="1009"/>
      <c r="AM44" s="1009"/>
      <c r="AN44" s="1009"/>
    </row>
    <row r="45" spans="4:40" s="952" customFormat="1" ht="18" customHeight="1" outlineLevel="1">
      <c r="D45" s="953"/>
      <c r="E45" s="929"/>
      <c r="F45" s="954" t="b">
        <f>SUM(F46:F51)=0</f>
        <v>1</v>
      </c>
      <c r="G45" s="954"/>
      <c r="H45" s="954"/>
      <c r="I45" s="954"/>
      <c r="J45" s="955"/>
      <c r="K45" s="953"/>
      <c r="L45" s="954"/>
      <c r="M45" s="954"/>
      <c r="N45" s="955"/>
      <c r="O45" s="953"/>
      <c r="P45" s="954"/>
      <c r="Q45" s="954"/>
      <c r="R45" s="956"/>
      <c r="S45" s="953"/>
      <c r="T45" s="1892"/>
      <c r="U45" s="2033"/>
      <c r="V45" s="1901"/>
      <c r="W45" s="720"/>
      <c r="AE45" s="509"/>
      <c r="AF45" s="509"/>
      <c r="AK45" s="935"/>
      <c r="AL45" s="935"/>
      <c r="AM45" s="935"/>
      <c r="AN45" s="935"/>
    </row>
    <row r="46" spans="4:40" ht="18" customHeight="1" outlineLevel="1">
      <c r="D46" s="656" t="s">
        <v>1793</v>
      </c>
      <c r="E46" s="572" t="s">
        <v>45</v>
      </c>
      <c r="F46" s="552">
        <f t="shared" ref="F46:N46" si="1">-F44</f>
        <v>-552753979</v>
      </c>
      <c r="G46" s="552">
        <f t="shared" si="1"/>
        <v>-349756307</v>
      </c>
      <c r="H46" s="552">
        <f t="shared" si="1"/>
        <v>-251011221</v>
      </c>
      <c r="I46" s="552">
        <f t="shared" si="1"/>
        <v>0</v>
      </c>
      <c r="J46" s="553">
        <f t="shared" si="1"/>
        <v>0</v>
      </c>
      <c r="K46" s="551">
        <v>0</v>
      </c>
      <c r="L46" s="552"/>
      <c r="M46" s="552"/>
      <c r="N46" s="553">
        <f t="shared" si="1"/>
        <v>0</v>
      </c>
      <c r="O46" s="551"/>
      <c r="P46" s="552"/>
      <c r="Q46" s="552"/>
      <c r="R46" s="667"/>
      <c r="S46" s="551"/>
      <c r="T46" s="1893">
        <v>0</v>
      </c>
      <c r="U46" s="667"/>
      <c r="V46" s="1905">
        <f>-V44</f>
        <v>0</v>
      </c>
      <c r="AA46" s="952"/>
      <c r="AB46" s="952"/>
      <c r="AC46" s="952"/>
      <c r="AD46" s="952"/>
    </row>
    <row r="47" spans="4:40" ht="18" customHeight="1" outlineLevel="1">
      <c r="D47" s="655" t="s">
        <v>241</v>
      </c>
      <c r="E47" s="572" t="s">
        <v>242</v>
      </c>
      <c r="F47" s="552">
        <f t="shared" ref="F47:N47" si="2">-F46</f>
        <v>552753979</v>
      </c>
      <c r="G47" s="552">
        <f t="shared" si="2"/>
        <v>349756307</v>
      </c>
      <c r="H47" s="552">
        <f t="shared" si="2"/>
        <v>251011221</v>
      </c>
      <c r="I47" s="552">
        <f t="shared" si="2"/>
        <v>0</v>
      </c>
      <c r="J47" s="553">
        <f t="shared" si="2"/>
        <v>0</v>
      </c>
      <c r="K47" s="551">
        <v>0</v>
      </c>
      <c r="L47" s="552"/>
      <c r="M47" s="552"/>
      <c r="N47" s="553">
        <f t="shared" si="2"/>
        <v>0</v>
      </c>
      <c r="O47" s="551"/>
      <c r="P47" s="552"/>
      <c r="Q47" s="552"/>
      <c r="R47" s="667"/>
      <c r="S47" s="551"/>
      <c r="T47" s="1893">
        <v>0</v>
      </c>
      <c r="U47" s="667"/>
      <c r="V47" s="1905">
        <f>-V46</f>
        <v>0</v>
      </c>
      <c r="AA47" s="952"/>
      <c r="AB47" s="952"/>
      <c r="AC47" s="952"/>
      <c r="AD47" s="952"/>
      <c r="AK47" s="952"/>
      <c r="AL47" s="952"/>
      <c r="AM47" s="952"/>
      <c r="AN47" s="952"/>
    </row>
    <row r="48" spans="4:40" ht="18" customHeight="1" outlineLevel="1">
      <c r="D48" s="655" t="s">
        <v>1354</v>
      </c>
      <c r="E48" s="572" t="s">
        <v>401</v>
      </c>
      <c r="F48" s="552">
        <v>251606202</v>
      </c>
      <c r="G48" s="552">
        <f>-G49</f>
        <v>552753979</v>
      </c>
      <c r="H48" s="552">
        <f>-H49</f>
        <v>552753979</v>
      </c>
      <c r="I48" s="552">
        <f>-I49</f>
        <v>552753979</v>
      </c>
      <c r="J48" s="553">
        <f>-J49</f>
        <v>552753979</v>
      </c>
      <c r="K48" s="551">
        <v>0</v>
      </c>
      <c r="L48" s="552"/>
      <c r="M48" s="552"/>
      <c r="N48" s="553">
        <v>0</v>
      </c>
      <c r="O48" s="551"/>
      <c r="P48" s="552"/>
      <c r="Q48" s="552"/>
      <c r="R48" s="667"/>
      <c r="S48" s="551"/>
      <c r="T48" s="1893">
        <v>0</v>
      </c>
      <c r="U48" s="667"/>
      <c r="V48" s="1905">
        <v>0</v>
      </c>
      <c r="AA48" s="952"/>
      <c r="AB48" s="952"/>
      <c r="AC48" s="952"/>
      <c r="AD48" s="952"/>
    </row>
    <row r="49" spans="4:40" ht="18" customHeight="1" outlineLevel="1">
      <c r="D49" s="655" t="s">
        <v>241</v>
      </c>
      <c r="E49" s="572" t="s">
        <v>242</v>
      </c>
      <c r="F49" s="552">
        <f>-F48</f>
        <v>-251606202</v>
      </c>
      <c r="G49" s="552">
        <f>-F47</f>
        <v>-552753979</v>
      </c>
      <c r="H49" s="552">
        <f>-F47</f>
        <v>-552753979</v>
      </c>
      <c r="I49" s="552">
        <f>-F47</f>
        <v>-552753979</v>
      </c>
      <c r="J49" s="553">
        <f>-F47</f>
        <v>-552753979</v>
      </c>
      <c r="K49" s="551">
        <v>0</v>
      </c>
      <c r="L49" s="552"/>
      <c r="M49" s="552"/>
      <c r="N49" s="553">
        <v>0</v>
      </c>
      <c r="O49" s="551"/>
      <c r="P49" s="552"/>
      <c r="Q49" s="552"/>
      <c r="R49" s="667"/>
      <c r="S49" s="551"/>
      <c r="T49" s="1893">
        <v>0</v>
      </c>
      <c r="U49" s="667"/>
      <c r="V49" s="1905">
        <v>0</v>
      </c>
      <c r="AA49" s="952"/>
      <c r="AB49" s="952"/>
      <c r="AC49" s="952"/>
      <c r="AD49" s="952"/>
      <c r="AK49" s="952"/>
      <c r="AL49" s="952"/>
      <c r="AM49" s="952"/>
      <c r="AN49" s="952"/>
    </row>
    <row r="50" spans="4:40" ht="18" customHeight="1" outlineLevel="1">
      <c r="D50" s="655" t="s">
        <v>1355</v>
      </c>
      <c r="E50" s="572" t="s">
        <v>209</v>
      </c>
      <c r="F50" s="552">
        <f t="shared" ref="F50:N50" si="3">SUM(F49,F47)</f>
        <v>301147777</v>
      </c>
      <c r="G50" s="552">
        <f t="shared" si="3"/>
        <v>-202997672</v>
      </c>
      <c r="H50" s="552">
        <f t="shared" si="3"/>
        <v>-301742758</v>
      </c>
      <c r="I50" s="552">
        <f t="shared" si="3"/>
        <v>-552753979</v>
      </c>
      <c r="J50" s="553">
        <f t="shared" si="3"/>
        <v>-552753979</v>
      </c>
      <c r="K50" s="551">
        <v>0</v>
      </c>
      <c r="L50" s="552"/>
      <c r="M50" s="552"/>
      <c r="N50" s="553">
        <f t="shared" si="3"/>
        <v>0</v>
      </c>
      <c r="O50" s="551"/>
      <c r="P50" s="552"/>
      <c r="Q50" s="552"/>
      <c r="R50" s="667"/>
      <c r="S50" s="551"/>
      <c r="T50" s="1893">
        <v>0</v>
      </c>
      <c r="U50" s="667"/>
      <c r="V50" s="1905">
        <f>SUM(V49,V47)</f>
        <v>0</v>
      </c>
      <c r="AA50" s="952"/>
      <c r="AB50" s="952"/>
      <c r="AC50" s="952"/>
      <c r="AD50" s="952"/>
    </row>
    <row r="51" spans="4:40" ht="18" customHeight="1" outlineLevel="1">
      <c r="D51" s="655"/>
      <c r="E51" s="572" t="s">
        <v>421</v>
      </c>
      <c r="F51" s="552">
        <f t="shared" ref="F51:N51" si="4">-F50</f>
        <v>-301147777</v>
      </c>
      <c r="G51" s="552">
        <f t="shared" si="4"/>
        <v>202997672</v>
      </c>
      <c r="H51" s="552">
        <f t="shared" si="4"/>
        <v>301742758</v>
      </c>
      <c r="I51" s="552">
        <f t="shared" si="4"/>
        <v>552753979</v>
      </c>
      <c r="J51" s="553">
        <f t="shared" si="4"/>
        <v>552753979</v>
      </c>
      <c r="K51" s="551">
        <v>0</v>
      </c>
      <c r="L51" s="552"/>
      <c r="M51" s="552"/>
      <c r="N51" s="553">
        <f t="shared" si="4"/>
        <v>0</v>
      </c>
      <c r="O51" s="551"/>
      <c r="P51" s="552"/>
      <c r="Q51" s="552"/>
      <c r="R51" s="667"/>
      <c r="S51" s="551"/>
      <c r="T51" s="1893">
        <v>0</v>
      </c>
      <c r="U51" s="667"/>
      <c r="V51" s="1905">
        <f>-V50</f>
        <v>0</v>
      </c>
      <c r="AA51" s="952"/>
      <c r="AB51" s="952"/>
      <c r="AC51" s="952"/>
      <c r="AD51" s="952"/>
      <c r="AK51" s="952"/>
      <c r="AL51" s="952"/>
      <c r="AM51" s="952"/>
      <c r="AN51" s="952"/>
    </row>
    <row r="52" spans="4:40" s="1009" customFormat="1" ht="18" customHeight="1" outlineLevel="1">
      <c r="D52" s="634" t="s">
        <v>417</v>
      </c>
      <c r="E52" s="991"/>
      <c r="F52" s="1004"/>
      <c r="G52" s="1004"/>
      <c r="H52" s="1004"/>
      <c r="I52" s="1004"/>
      <c r="J52" s="1005"/>
      <c r="K52" s="1006"/>
      <c r="L52" s="1004"/>
      <c r="M52" s="1004"/>
      <c r="N52" s="1005"/>
      <c r="O52" s="1006"/>
      <c r="P52" s="1004"/>
      <c r="Q52" s="1004"/>
      <c r="R52" s="1007"/>
      <c r="S52" s="1006"/>
      <c r="T52" s="1895"/>
      <c r="U52" s="2035"/>
      <c r="V52" s="1904"/>
      <c r="W52" s="1016"/>
      <c r="AA52" s="952"/>
      <c r="AB52" s="952"/>
      <c r="AC52" s="952"/>
      <c r="AD52" s="952"/>
      <c r="AE52" s="509"/>
      <c r="AF52" s="509"/>
      <c r="AK52" s="509"/>
      <c r="AL52" s="509"/>
      <c r="AM52" s="509"/>
      <c r="AN52" s="509"/>
    </row>
    <row r="53" spans="4:40" s="935" customFormat="1" ht="18" customHeight="1" outlineLevel="1">
      <c r="D53" s="928"/>
      <c r="E53" s="929" t="s">
        <v>415</v>
      </c>
      <c r="F53" s="930"/>
      <c r="G53" s="930"/>
      <c r="H53" s="930"/>
      <c r="I53" s="930"/>
      <c r="J53" s="931"/>
      <c r="K53" s="932"/>
      <c r="L53" s="930"/>
      <c r="M53" s="930"/>
      <c r="N53" s="931"/>
      <c r="O53" s="932"/>
      <c r="P53" s="930"/>
      <c r="Q53" s="930"/>
      <c r="R53" s="933"/>
      <c r="S53" s="932"/>
      <c r="T53" s="1890"/>
      <c r="U53" s="2032"/>
      <c r="V53" s="1899"/>
      <c r="W53" s="934"/>
      <c r="AA53" s="952"/>
      <c r="AB53" s="952"/>
      <c r="AC53" s="952"/>
      <c r="AD53" s="952"/>
      <c r="AE53" s="509"/>
      <c r="AF53" s="509"/>
      <c r="AK53" s="509"/>
      <c r="AL53" s="509"/>
      <c r="AM53" s="509"/>
      <c r="AN53" s="509"/>
    </row>
    <row r="54" spans="4:40" ht="18" customHeight="1" outlineLevel="1">
      <c r="D54" s="551"/>
      <c r="E54" s="572" t="s">
        <v>419</v>
      </c>
      <c r="F54" s="937">
        <v>0.42930000000000001</v>
      </c>
      <c r="G54" s="937"/>
      <c r="H54" s="937"/>
      <c r="I54" s="552"/>
      <c r="J54" s="553"/>
      <c r="K54" s="551"/>
      <c r="L54" s="552"/>
      <c r="M54" s="552"/>
      <c r="N54" s="553"/>
      <c r="O54" s="551"/>
      <c r="P54" s="552"/>
      <c r="Q54" s="552"/>
      <c r="R54" s="667"/>
      <c r="S54" s="551"/>
      <c r="T54" s="1893"/>
      <c r="U54" s="667"/>
      <c r="V54" s="1905"/>
      <c r="AA54" s="952"/>
      <c r="AB54" s="952"/>
      <c r="AC54" s="952"/>
      <c r="AD54" s="952"/>
    </row>
    <row r="55" spans="4:40" ht="18" customHeight="1" outlineLevel="1">
      <c r="D55" s="551"/>
      <c r="E55" s="572" t="s">
        <v>418</v>
      </c>
      <c r="F55" s="937">
        <v>0.19480178114206378</v>
      </c>
      <c r="G55" s="937">
        <v>0.1948017679530924</v>
      </c>
      <c r="H55" s="937">
        <v>0.1948017679530924</v>
      </c>
      <c r="I55" s="937">
        <v>0.1948017679530924</v>
      </c>
      <c r="J55" s="938"/>
      <c r="K55" s="939"/>
      <c r="L55" s="937"/>
      <c r="M55" s="937"/>
      <c r="N55" s="553"/>
      <c r="O55" s="551"/>
      <c r="P55" s="552"/>
      <c r="Q55" s="552"/>
      <c r="R55" s="667"/>
      <c r="S55" s="551"/>
      <c r="T55" s="1893"/>
      <c r="U55" s="667"/>
      <c r="V55" s="1905"/>
    </row>
    <row r="56" spans="4:40" ht="18" customHeight="1" outlineLevel="1">
      <c r="D56" s="551"/>
      <c r="E56" s="572" t="s">
        <v>420</v>
      </c>
      <c r="F56" s="937">
        <v>0.1925390640009832</v>
      </c>
      <c r="G56" s="937">
        <v>0</v>
      </c>
      <c r="H56" s="937">
        <v>0</v>
      </c>
      <c r="I56" s="937">
        <v>0</v>
      </c>
      <c r="J56" s="938"/>
      <c r="K56" s="939"/>
      <c r="L56" s="937"/>
      <c r="M56" s="937"/>
      <c r="N56" s="553"/>
      <c r="O56" s="551"/>
      <c r="P56" s="552"/>
      <c r="Q56" s="552"/>
      <c r="R56" s="667"/>
      <c r="S56" s="551"/>
      <c r="T56" s="1893"/>
      <c r="U56" s="667"/>
      <c r="V56" s="1905"/>
    </row>
    <row r="57" spans="4:40" s="952" customFormat="1" ht="18" customHeight="1" outlineLevel="1">
      <c r="D57" s="953"/>
      <c r="E57" s="929" t="s">
        <v>412</v>
      </c>
      <c r="F57" s="954"/>
      <c r="G57" s="954"/>
      <c r="H57" s="954"/>
      <c r="I57" s="954"/>
      <c r="J57" s="955"/>
      <c r="K57" s="953"/>
      <c r="L57" s="954"/>
      <c r="M57" s="954"/>
      <c r="N57" s="955"/>
      <c r="O57" s="953"/>
      <c r="P57" s="954"/>
      <c r="Q57" s="954"/>
      <c r="R57" s="956"/>
      <c r="S57" s="953"/>
      <c r="T57" s="1892"/>
      <c r="U57" s="2033"/>
      <c r="V57" s="1901"/>
      <c r="W57" s="720"/>
      <c r="AB57" s="509"/>
      <c r="AC57" s="509"/>
      <c r="AD57" s="509"/>
      <c r="AE57" s="509"/>
      <c r="AF57" s="509"/>
      <c r="AK57" s="509"/>
      <c r="AL57" s="509"/>
      <c r="AM57" s="509"/>
      <c r="AN57" s="509"/>
    </row>
    <row r="58" spans="4:40" ht="18" customHeight="1" outlineLevel="1">
      <c r="D58" s="551"/>
      <c r="E58" s="572" t="s">
        <v>419</v>
      </c>
      <c r="F58" s="552"/>
      <c r="G58" s="552"/>
      <c r="H58" s="552"/>
      <c r="I58" s="552"/>
      <c r="J58" s="553"/>
      <c r="K58" s="551"/>
      <c r="L58" s="552"/>
      <c r="M58" s="552"/>
      <c r="N58" s="553"/>
      <c r="O58" s="551"/>
      <c r="P58" s="552"/>
      <c r="Q58" s="552"/>
      <c r="R58" s="667"/>
      <c r="S58" s="551"/>
      <c r="T58" s="1893"/>
      <c r="U58" s="667"/>
      <c r="V58" s="1905"/>
      <c r="AK58" s="1009"/>
      <c r="AL58" s="1009"/>
      <c r="AM58" s="1009"/>
      <c r="AN58" s="1009"/>
    </row>
    <row r="59" spans="4:40" ht="18" customHeight="1" outlineLevel="1">
      <c r="D59" s="551"/>
      <c r="E59" s="572" t="s">
        <v>418</v>
      </c>
      <c r="F59" s="552">
        <v>37853398</v>
      </c>
      <c r="G59" s="552">
        <v>34919026</v>
      </c>
      <c r="H59" s="552">
        <v>0</v>
      </c>
      <c r="I59" s="552"/>
      <c r="J59" s="553"/>
      <c r="K59" s="551"/>
      <c r="L59" s="552"/>
      <c r="M59" s="552"/>
      <c r="N59" s="553"/>
      <c r="O59" s="551"/>
      <c r="P59" s="552"/>
      <c r="Q59" s="552"/>
      <c r="R59" s="667"/>
      <c r="S59" s="551"/>
      <c r="T59" s="1893"/>
      <c r="U59" s="667"/>
      <c r="V59" s="1905"/>
      <c r="AK59" s="935"/>
      <c r="AL59" s="935"/>
      <c r="AM59" s="935"/>
      <c r="AN59" s="935"/>
    </row>
    <row r="60" spans="4:40" ht="18" customHeight="1" outlineLevel="1">
      <c r="D60" s="551"/>
      <c r="E60" s="572" t="s">
        <v>420</v>
      </c>
      <c r="F60" s="552"/>
      <c r="G60" s="552"/>
      <c r="H60" s="552"/>
      <c r="I60" s="552"/>
      <c r="J60" s="553"/>
      <c r="K60" s="551"/>
      <c r="L60" s="552"/>
      <c r="M60" s="552"/>
      <c r="N60" s="553"/>
      <c r="O60" s="551"/>
      <c r="P60" s="552"/>
      <c r="Q60" s="552"/>
      <c r="R60" s="667"/>
      <c r="S60" s="551"/>
      <c r="T60" s="1893"/>
      <c r="U60" s="667"/>
      <c r="V60" s="1905"/>
    </row>
    <row r="61" spans="4:40" s="952" customFormat="1" ht="18" customHeight="1" outlineLevel="1">
      <c r="D61" s="953"/>
      <c r="E61" s="929" t="s">
        <v>416</v>
      </c>
      <c r="F61" s="954"/>
      <c r="G61" s="954"/>
      <c r="H61" s="954"/>
      <c r="I61" s="954"/>
      <c r="J61" s="955"/>
      <c r="K61" s="953"/>
      <c r="L61" s="954"/>
      <c r="M61" s="954"/>
      <c r="N61" s="955"/>
      <c r="O61" s="953"/>
      <c r="P61" s="954"/>
      <c r="Q61" s="954"/>
      <c r="R61" s="956"/>
      <c r="S61" s="953"/>
      <c r="T61" s="1892"/>
      <c r="U61" s="2033"/>
      <c r="V61" s="1901"/>
      <c r="W61" s="720"/>
      <c r="AB61" s="509"/>
      <c r="AC61" s="509"/>
      <c r="AD61" s="509"/>
      <c r="AE61" s="509"/>
      <c r="AF61" s="509"/>
      <c r="AK61" s="509"/>
      <c r="AL61" s="509"/>
      <c r="AM61" s="509"/>
      <c r="AN61" s="509"/>
    </row>
    <row r="62" spans="4:40" ht="18" customHeight="1" outlineLevel="1">
      <c r="D62" s="551"/>
      <c r="E62" s="572" t="s">
        <v>419</v>
      </c>
      <c r="F62" s="552">
        <f t="shared" ref="F62:G64" si="5">ROUND(F54*F58,0)</f>
        <v>0</v>
      </c>
      <c r="G62" s="552">
        <f t="shared" si="5"/>
        <v>0</v>
      </c>
      <c r="H62" s="552">
        <f>ROUND(H54*H58,0)</f>
        <v>0</v>
      </c>
      <c r="I62" s="552"/>
      <c r="J62" s="553"/>
      <c r="K62" s="551"/>
      <c r="L62" s="552"/>
      <c r="M62" s="552"/>
      <c r="N62" s="553"/>
      <c r="O62" s="551"/>
      <c r="P62" s="552"/>
      <c r="Q62" s="552"/>
      <c r="R62" s="667"/>
      <c r="S62" s="551"/>
      <c r="T62" s="1893"/>
      <c r="U62" s="667"/>
      <c r="V62" s="1905"/>
    </row>
    <row r="63" spans="4:40" ht="18" customHeight="1" outlineLevel="1">
      <c r="D63" s="551"/>
      <c r="E63" s="572" t="s">
        <v>418</v>
      </c>
      <c r="F63" s="552">
        <f t="shared" si="5"/>
        <v>7373909</v>
      </c>
      <c r="G63" s="552">
        <f t="shared" si="5"/>
        <v>6802288</v>
      </c>
      <c r="H63" s="552">
        <f>ROUND(H55*H59,0)</f>
        <v>0</v>
      </c>
      <c r="I63" s="552"/>
      <c r="J63" s="553"/>
      <c r="K63" s="551"/>
      <c r="L63" s="552"/>
      <c r="M63" s="552"/>
      <c r="N63" s="553"/>
      <c r="O63" s="551"/>
      <c r="P63" s="552"/>
      <c r="Q63" s="552"/>
      <c r="R63" s="667"/>
      <c r="S63" s="551"/>
      <c r="T63" s="1893"/>
      <c r="U63" s="667"/>
      <c r="V63" s="1905"/>
      <c r="AK63" s="952"/>
      <c r="AL63" s="952"/>
      <c r="AM63" s="952"/>
      <c r="AN63" s="952"/>
    </row>
    <row r="64" spans="4:40" ht="18" customHeight="1" outlineLevel="1">
      <c r="D64" s="551"/>
      <c r="E64" s="572" t="s">
        <v>420</v>
      </c>
      <c r="F64" s="552">
        <f t="shared" si="5"/>
        <v>0</v>
      </c>
      <c r="G64" s="552">
        <f t="shared" si="5"/>
        <v>0</v>
      </c>
      <c r="H64" s="552">
        <f>ROUND(H56*H60,0)</f>
        <v>0</v>
      </c>
      <c r="I64" s="552"/>
      <c r="J64" s="553"/>
      <c r="K64" s="551"/>
      <c r="L64" s="552"/>
      <c r="M64" s="552"/>
      <c r="N64" s="553"/>
      <c r="O64" s="551"/>
      <c r="P64" s="552"/>
      <c r="Q64" s="552"/>
      <c r="R64" s="667"/>
      <c r="S64" s="551"/>
      <c r="T64" s="1893"/>
      <c r="U64" s="667"/>
      <c r="V64" s="1905"/>
    </row>
    <row r="65" spans="4:40" s="952" customFormat="1" ht="18" customHeight="1" outlineLevel="1">
      <c r="D65" s="953"/>
      <c r="E65" s="929"/>
      <c r="F65" s="954" t="b">
        <f>SUM(F66:F71)=0</f>
        <v>1</v>
      </c>
      <c r="G65" s="954"/>
      <c r="H65" s="954"/>
      <c r="I65" s="954"/>
      <c r="J65" s="955"/>
      <c r="K65" s="953"/>
      <c r="L65" s="954"/>
      <c r="M65" s="954"/>
      <c r="N65" s="955"/>
      <c r="O65" s="953"/>
      <c r="P65" s="954"/>
      <c r="Q65" s="954"/>
      <c r="R65" s="956"/>
      <c r="S65" s="953"/>
      <c r="T65" s="1892"/>
      <c r="U65" s="2033"/>
      <c r="V65" s="1901"/>
      <c r="W65" s="720"/>
      <c r="AB65" s="509"/>
      <c r="AC65" s="509"/>
      <c r="AD65" s="509"/>
      <c r="AE65" s="509"/>
      <c r="AF65" s="509"/>
      <c r="AK65" s="509"/>
      <c r="AL65" s="509"/>
      <c r="AM65" s="509"/>
      <c r="AN65" s="509"/>
    </row>
    <row r="66" spans="4:40" ht="18" customHeight="1" outlineLevel="1">
      <c r="D66" s="656" t="s">
        <v>1793</v>
      </c>
      <c r="E66" s="572" t="s">
        <v>45</v>
      </c>
      <c r="F66" s="552">
        <f>-F63</f>
        <v>-7373909</v>
      </c>
      <c r="G66" s="552">
        <f>-G63</f>
        <v>-6802288</v>
      </c>
      <c r="H66" s="552">
        <f>-H63</f>
        <v>0</v>
      </c>
      <c r="I66" s="552"/>
      <c r="J66" s="553"/>
      <c r="K66" s="551"/>
      <c r="L66" s="552"/>
      <c r="M66" s="552"/>
      <c r="N66" s="553"/>
      <c r="O66" s="551"/>
      <c r="P66" s="552"/>
      <c r="Q66" s="552"/>
      <c r="R66" s="667"/>
      <c r="S66" s="551"/>
      <c r="T66" s="1893"/>
      <c r="U66" s="667"/>
      <c r="V66" s="1905"/>
      <c r="AA66" s="952"/>
      <c r="AG66" s="952"/>
      <c r="AH66" s="952"/>
      <c r="AI66" s="952"/>
      <c r="AJ66" s="952"/>
    </row>
    <row r="67" spans="4:40" ht="18" customHeight="1" outlineLevel="1">
      <c r="D67" s="655" t="s">
        <v>241</v>
      </c>
      <c r="E67" s="572" t="s">
        <v>242</v>
      </c>
      <c r="F67" s="552">
        <f>-F66</f>
        <v>7373909</v>
      </c>
      <c r="G67" s="552">
        <f>-G66</f>
        <v>6802288</v>
      </c>
      <c r="H67" s="552">
        <f>-H66</f>
        <v>0</v>
      </c>
      <c r="I67" s="552"/>
      <c r="J67" s="553"/>
      <c r="K67" s="551"/>
      <c r="L67" s="552"/>
      <c r="M67" s="552"/>
      <c r="N67" s="553"/>
      <c r="O67" s="551"/>
      <c r="P67" s="552"/>
      <c r="Q67" s="552"/>
      <c r="R67" s="667"/>
      <c r="S67" s="551"/>
      <c r="T67" s="1893"/>
      <c r="U67" s="667"/>
      <c r="V67" s="1905"/>
      <c r="AA67" s="952"/>
      <c r="AG67" s="952"/>
      <c r="AH67" s="952"/>
      <c r="AI67" s="952"/>
      <c r="AJ67" s="952"/>
      <c r="AK67" s="952"/>
      <c r="AL67" s="952"/>
      <c r="AM67" s="952"/>
      <c r="AN67" s="952"/>
    </row>
    <row r="68" spans="4:40" ht="18" customHeight="1" outlineLevel="1">
      <c r="D68" s="655" t="s">
        <v>1354</v>
      </c>
      <c r="E68" s="572" t="s">
        <v>401</v>
      </c>
      <c r="F68" s="552">
        <v>25808411</v>
      </c>
      <c r="G68" s="552">
        <f>-G69</f>
        <v>7373909</v>
      </c>
      <c r="H68" s="552">
        <f>-H69</f>
        <v>7373909</v>
      </c>
      <c r="I68" s="552">
        <f>-I69</f>
        <v>7373909</v>
      </c>
      <c r="J68" s="553">
        <f>-J69</f>
        <v>7373909</v>
      </c>
      <c r="K68" s="551"/>
      <c r="L68" s="552"/>
      <c r="M68" s="552"/>
      <c r="N68" s="553"/>
      <c r="O68" s="551"/>
      <c r="P68" s="552"/>
      <c r="Q68" s="552"/>
      <c r="R68" s="667"/>
      <c r="S68" s="551"/>
      <c r="T68" s="1893"/>
      <c r="U68" s="667"/>
      <c r="V68" s="1905"/>
      <c r="AA68" s="952"/>
      <c r="AG68" s="952"/>
      <c r="AH68" s="952"/>
      <c r="AI68" s="952"/>
      <c r="AJ68" s="952"/>
    </row>
    <row r="69" spans="4:40" ht="18" customHeight="1" outlineLevel="1">
      <c r="D69" s="655" t="s">
        <v>241</v>
      </c>
      <c r="E69" s="572" t="s">
        <v>242</v>
      </c>
      <c r="F69" s="552">
        <f>-F68</f>
        <v>-25808411</v>
      </c>
      <c r="G69" s="552">
        <f>-F67</f>
        <v>-7373909</v>
      </c>
      <c r="H69" s="552">
        <f>-F67</f>
        <v>-7373909</v>
      </c>
      <c r="I69" s="552">
        <f>-F67</f>
        <v>-7373909</v>
      </c>
      <c r="J69" s="553">
        <f>-F67</f>
        <v>-7373909</v>
      </c>
      <c r="K69" s="551"/>
      <c r="L69" s="552"/>
      <c r="M69" s="552"/>
      <c r="N69" s="553"/>
      <c r="O69" s="551"/>
      <c r="P69" s="552"/>
      <c r="Q69" s="552"/>
      <c r="R69" s="667"/>
      <c r="S69" s="551"/>
      <c r="T69" s="1893"/>
      <c r="U69" s="667"/>
      <c r="V69" s="1905"/>
      <c r="AA69" s="952"/>
      <c r="AG69" s="952"/>
      <c r="AH69" s="952"/>
      <c r="AI69" s="952"/>
      <c r="AJ69" s="952"/>
    </row>
    <row r="70" spans="4:40" ht="18" customHeight="1" outlineLevel="1">
      <c r="D70" s="655" t="s">
        <v>1355</v>
      </c>
      <c r="E70" s="572" t="s">
        <v>209</v>
      </c>
      <c r="F70" s="552">
        <f>SUM(F69,F67)</f>
        <v>-18434502</v>
      </c>
      <c r="G70" s="552">
        <f>SUM(G69,G67)</f>
        <v>-571621</v>
      </c>
      <c r="H70" s="552">
        <f>SUM(H69,H67)</f>
        <v>-7373909</v>
      </c>
      <c r="I70" s="552">
        <f>SUM(I69,I67)</f>
        <v>-7373909</v>
      </c>
      <c r="J70" s="553">
        <f>SUM(J69,J67)</f>
        <v>-7373909</v>
      </c>
      <c r="K70" s="551"/>
      <c r="L70" s="552"/>
      <c r="M70" s="552"/>
      <c r="N70" s="553"/>
      <c r="O70" s="551"/>
      <c r="P70" s="552"/>
      <c r="Q70" s="552"/>
      <c r="R70" s="667"/>
      <c r="S70" s="551"/>
      <c r="T70" s="1893"/>
      <c r="U70" s="667"/>
      <c r="V70" s="1905"/>
      <c r="AA70" s="952"/>
      <c r="AG70" s="952"/>
      <c r="AH70" s="952"/>
      <c r="AI70" s="952"/>
      <c r="AJ70" s="952"/>
    </row>
    <row r="71" spans="4:40" ht="18" customHeight="1" outlineLevel="1">
      <c r="D71" s="655"/>
      <c r="E71" s="572" t="s">
        <v>421</v>
      </c>
      <c r="F71" s="552">
        <f>-F70</f>
        <v>18434502</v>
      </c>
      <c r="G71" s="552">
        <f>-G70</f>
        <v>571621</v>
      </c>
      <c r="H71" s="552">
        <f>-H70</f>
        <v>7373909</v>
      </c>
      <c r="I71" s="552">
        <f>-I70</f>
        <v>7373909</v>
      </c>
      <c r="J71" s="553">
        <f>-J70</f>
        <v>7373909</v>
      </c>
      <c r="K71" s="551"/>
      <c r="L71" s="552"/>
      <c r="M71" s="552"/>
      <c r="N71" s="553"/>
      <c r="O71" s="551"/>
      <c r="P71" s="552"/>
      <c r="Q71" s="552"/>
      <c r="R71" s="667"/>
      <c r="S71" s="551"/>
      <c r="T71" s="1893"/>
      <c r="U71" s="667"/>
      <c r="V71" s="1905"/>
      <c r="AA71" s="952"/>
      <c r="AG71" s="952"/>
      <c r="AH71" s="952"/>
      <c r="AI71" s="952"/>
      <c r="AJ71" s="952"/>
      <c r="AK71" s="952"/>
      <c r="AL71" s="952"/>
      <c r="AM71" s="952"/>
      <c r="AN71" s="952"/>
    </row>
    <row r="72" spans="4:40" ht="18" customHeight="1" outlineLevel="1">
      <c r="D72" s="634" t="s">
        <v>422</v>
      </c>
      <c r="E72" s="991"/>
      <c r="F72" s="992"/>
      <c r="G72" s="992"/>
      <c r="H72" s="992"/>
      <c r="I72" s="992"/>
      <c r="J72" s="993"/>
      <c r="K72" s="634"/>
      <c r="L72" s="992"/>
      <c r="M72" s="992"/>
      <c r="N72" s="993"/>
      <c r="O72" s="634"/>
      <c r="P72" s="992"/>
      <c r="Q72" s="992"/>
      <c r="R72" s="994"/>
      <c r="S72" s="634"/>
      <c r="T72" s="1894"/>
      <c r="U72" s="639"/>
      <c r="V72" s="1903"/>
      <c r="W72" s="720"/>
      <c r="AK72" s="952"/>
      <c r="AL72" s="952"/>
    </row>
    <row r="73" spans="4:40" s="952" customFormat="1" ht="18" customHeight="1" outlineLevel="1">
      <c r="D73" s="655" t="s">
        <v>423</v>
      </c>
      <c r="E73" s="572" t="s">
        <v>426</v>
      </c>
      <c r="F73" s="552"/>
      <c r="G73" s="552"/>
      <c r="H73" s="552"/>
      <c r="I73" s="552">
        <v>0</v>
      </c>
      <c r="J73" s="553">
        <v>0</v>
      </c>
      <c r="K73" s="551">
        <v>0</v>
      </c>
      <c r="L73" s="552"/>
      <c r="M73" s="552"/>
      <c r="N73" s="553">
        <v>0</v>
      </c>
      <c r="O73" s="551"/>
      <c r="P73" s="552"/>
      <c r="Q73" s="552"/>
      <c r="R73" s="667"/>
      <c r="S73" s="551"/>
      <c r="T73" s="1893">
        <v>0</v>
      </c>
      <c r="U73" s="667"/>
      <c r="V73" s="1905">
        <v>0</v>
      </c>
      <c r="W73" s="710"/>
      <c r="AA73" s="509"/>
      <c r="AB73" s="509"/>
      <c r="AC73" s="509"/>
      <c r="AD73" s="509"/>
      <c r="AE73" s="509"/>
      <c r="AF73" s="509"/>
      <c r="AG73" s="509"/>
      <c r="AH73" s="509"/>
      <c r="AI73" s="509"/>
      <c r="AJ73" s="509"/>
      <c r="AM73" s="509"/>
      <c r="AN73" s="509"/>
    </row>
    <row r="74" spans="4:40" s="952" customFormat="1" ht="18" customHeight="1" outlineLevel="1">
      <c r="D74" s="655" t="s">
        <v>424</v>
      </c>
      <c r="E74" s="572" t="s">
        <v>426</v>
      </c>
      <c r="F74" s="552">
        <v>2590571062</v>
      </c>
      <c r="G74" s="552">
        <v>3980039925</v>
      </c>
      <c r="H74" s="552">
        <v>4302288016</v>
      </c>
      <c r="I74" s="552">
        <v>0</v>
      </c>
      <c r="J74" s="553">
        <v>0</v>
      </c>
      <c r="K74" s="551">
        <v>0</v>
      </c>
      <c r="L74" s="552"/>
      <c r="M74" s="552"/>
      <c r="N74" s="553">
        <v>0</v>
      </c>
      <c r="O74" s="551"/>
      <c r="P74" s="552"/>
      <c r="Q74" s="552"/>
      <c r="R74" s="667"/>
      <c r="S74" s="551"/>
      <c r="T74" s="1893">
        <v>0</v>
      </c>
      <c r="U74" s="667"/>
      <c r="V74" s="1905">
        <v>0</v>
      </c>
      <c r="W74" s="710"/>
      <c r="AA74" s="509"/>
      <c r="AB74" s="509"/>
      <c r="AC74" s="509"/>
      <c r="AD74" s="509"/>
      <c r="AE74" s="509"/>
      <c r="AF74" s="509"/>
      <c r="AG74" s="509"/>
      <c r="AH74" s="509"/>
      <c r="AI74" s="509"/>
      <c r="AJ74" s="509"/>
      <c r="AM74" s="509"/>
      <c r="AN74" s="509"/>
    </row>
    <row r="75" spans="4:40" ht="18" customHeight="1" outlineLevel="1">
      <c r="D75" s="655" t="s">
        <v>425</v>
      </c>
      <c r="E75" s="572" t="s">
        <v>426</v>
      </c>
      <c r="F75" s="552"/>
      <c r="G75" s="552"/>
      <c r="H75" s="552"/>
      <c r="I75" s="552">
        <v>0</v>
      </c>
      <c r="J75" s="553">
        <v>0</v>
      </c>
      <c r="K75" s="551">
        <v>0</v>
      </c>
      <c r="L75" s="552"/>
      <c r="M75" s="552"/>
      <c r="N75" s="553">
        <v>0</v>
      </c>
      <c r="O75" s="551"/>
      <c r="P75" s="552"/>
      <c r="Q75" s="552"/>
      <c r="R75" s="667"/>
      <c r="S75" s="551"/>
      <c r="T75" s="1893">
        <v>0</v>
      </c>
      <c r="U75" s="667"/>
      <c r="V75" s="1905">
        <v>0</v>
      </c>
      <c r="AA75" s="952"/>
      <c r="AG75" s="952"/>
      <c r="AH75" s="952"/>
      <c r="AI75" s="952"/>
      <c r="AJ75" s="952"/>
      <c r="AK75" s="952"/>
      <c r="AL75" s="952"/>
    </row>
    <row r="76" spans="4:40" ht="18" customHeight="1" outlineLevel="1">
      <c r="D76" s="1017"/>
      <c r="E76" s="1018" t="s">
        <v>427</v>
      </c>
      <c r="F76" s="943">
        <f>SUM(F73:F75)</f>
        <v>2590571062</v>
      </c>
      <c r="G76" s="943">
        <f>SUM(G73:G75)</f>
        <v>3980039925</v>
      </c>
      <c r="H76" s="943">
        <f>SUM(H73:H75)</f>
        <v>4302288016</v>
      </c>
      <c r="I76" s="943">
        <v>0</v>
      </c>
      <c r="J76" s="944">
        <v>0</v>
      </c>
      <c r="K76" s="942">
        <v>0</v>
      </c>
      <c r="L76" s="943"/>
      <c r="M76" s="943"/>
      <c r="N76" s="944">
        <v>0</v>
      </c>
      <c r="O76" s="942"/>
      <c r="P76" s="943"/>
      <c r="Q76" s="943"/>
      <c r="R76" s="1019"/>
      <c r="S76" s="942"/>
      <c r="T76" s="1896">
        <v>0</v>
      </c>
      <c r="U76" s="667"/>
      <c r="V76" s="1906">
        <v>0</v>
      </c>
      <c r="W76" s="720"/>
      <c r="AK76" s="952"/>
      <c r="AL76" s="952"/>
    </row>
    <row r="77" spans="4:40" ht="18" customHeight="1" outlineLevel="1">
      <c r="D77" s="932"/>
      <c r="E77" s="929"/>
      <c r="F77" s="954" t="b">
        <f>SUM(F78:F82)=0</f>
        <v>1</v>
      </c>
      <c r="G77" s="954"/>
      <c r="H77" s="954"/>
      <c r="I77" s="954"/>
      <c r="J77" s="955"/>
      <c r="K77" s="953"/>
      <c r="L77" s="954"/>
      <c r="M77" s="954"/>
      <c r="N77" s="955"/>
      <c r="O77" s="953"/>
      <c r="P77" s="954"/>
      <c r="Q77" s="954"/>
      <c r="R77" s="956"/>
      <c r="S77" s="953"/>
      <c r="T77" s="1892"/>
      <c r="U77" s="2033"/>
      <c r="V77" s="1901"/>
      <c r="W77" s="720"/>
      <c r="AK77" s="952"/>
      <c r="AL77" s="952"/>
    </row>
    <row r="78" spans="4:40" ht="18" customHeight="1" outlineLevel="1">
      <c r="D78" s="655" t="s">
        <v>301</v>
      </c>
      <c r="E78" s="572" t="s">
        <v>302</v>
      </c>
      <c r="F78" s="552">
        <f>-SUM(F79:F80)</f>
        <v>-187821115</v>
      </c>
      <c r="G78" s="552">
        <f>-SUM(G79:G80)</f>
        <v>-1389468863</v>
      </c>
      <c r="H78" s="552">
        <f>-SUM(H79:H80)</f>
        <v>-1711716954</v>
      </c>
      <c r="I78" s="552">
        <v>0</v>
      </c>
      <c r="J78" s="553">
        <v>0</v>
      </c>
      <c r="K78" s="551">
        <v>0</v>
      </c>
      <c r="L78" s="552"/>
      <c r="M78" s="552"/>
      <c r="N78" s="553">
        <v>0</v>
      </c>
      <c r="O78" s="551"/>
      <c r="P78" s="552"/>
      <c r="Q78" s="552"/>
      <c r="R78" s="667"/>
      <c r="S78" s="551"/>
      <c r="T78" s="1893">
        <v>0</v>
      </c>
      <c r="U78" s="667"/>
      <c r="V78" s="1905">
        <v>0</v>
      </c>
      <c r="AN78" s="990"/>
    </row>
    <row r="79" spans="4:40" ht="18" customHeight="1" outlineLevel="1">
      <c r="D79" s="655" t="s">
        <v>1354</v>
      </c>
      <c r="E79" s="572" t="s">
        <v>401</v>
      </c>
      <c r="F79" s="552">
        <v>-2402749947</v>
      </c>
      <c r="G79" s="552">
        <f>-F80</f>
        <v>-2590571062</v>
      </c>
      <c r="H79" s="552">
        <f>-F80</f>
        <v>-2590571062</v>
      </c>
      <c r="I79" s="552">
        <v>0</v>
      </c>
      <c r="J79" s="553">
        <v>0</v>
      </c>
      <c r="K79" s="551">
        <v>0</v>
      </c>
      <c r="L79" s="552"/>
      <c r="M79" s="552"/>
      <c r="N79" s="553">
        <v>0</v>
      </c>
      <c r="O79" s="551"/>
      <c r="P79" s="552"/>
      <c r="Q79" s="552"/>
      <c r="R79" s="667"/>
      <c r="S79" s="551"/>
      <c r="T79" s="1893">
        <v>0</v>
      </c>
      <c r="U79" s="667"/>
      <c r="V79" s="1905">
        <v>0</v>
      </c>
      <c r="AA79" s="952"/>
      <c r="AG79" s="952"/>
      <c r="AH79" s="952"/>
      <c r="AI79" s="952"/>
      <c r="AJ79" s="952"/>
      <c r="AM79" s="952"/>
      <c r="AN79" s="952"/>
    </row>
    <row r="80" spans="4:40" s="952" customFormat="1" ht="18" customHeight="1" outlineLevel="1">
      <c r="D80" s="655">
        <v>111732</v>
      </c>
      <c r="E80" s="572" t="s">
        <v>27</v>
      </c>
      <c r="F80" s="552">
        <f>F76</f>
        <v>2590571062</v>
      </c>
      <c r="G80" s="552">
        <f>G76</f>
        <v>3980039925</v>
      </c>
      <c r="H80" s="552">
        <f>H76</f>
        <v>4302288016</v>
      </c>
      <c r="I80" s="552">
        <v>0</v>
      </c>
      <c r="J80" s="553">
        <v>0</v>
      </c>
      <c r="K80" s="551">
        <v>0</v>
      </c>
      <c r="L80" s="552"/>
      <c r="M80" s="552"/>
      <c r="N80" s="553">
        <v>0</v>
      </c>
      <c r="O80" s="551"/>
      <c r="P80" s="552"/>
      <c r="Q80" s="552"/>
      <c r="R80" s="667"/>
      <c r="S80" s="551"/>
      <c r="T80" s="1893">
        <v>0</v>
      </c>
      <c r="U80" s="667"/>
      <c r="V80" s="1905">
        <v>0</v>
      </c>
      <c r="W80" s="710"/>
      <c r="AB80" s="509"/>
      <c r="AC80" s="509"/>
      <c r="AD80" s="509"/>
      <c r="AE80" s="509"/>
      <c r="AF80" s="509"/>
      <c r="AK80" s="509"/>
      <c r="AL80" s="509"/>
    </row>
    <row r="81" spans="4:40" ht="18" customHeight="1" outlineLevel="1">
      <c r="D81" s="655" t="s">
        <v>1355</v>
      </c>
      <c r="E81" s="572" t="s">
        <v>209</v>
      </c>
      <c r="F81" s="552">
        <f>F78</f>
        <v>-187821115</v>
      </c>
      <c r="G81" s="552">
        <f>G78</f>
        <v>-1389468863</v>
      </c>
      <c r="H81" s="552">
        <f>H78</f>
        <v>-1711716954</v>
      </c>
      <c r="I81" s="552">
        <v>0</v>
      </c>
      <c r="J81" s="553">
        <v>0</v>
      </c>
      <c r="K81" s="551">
        <v>0</v>
      </c>
      <c r="L81" s="552"/>
      <c r="M81" s="552"/>
      <c r="N81" s="553">
        <v>0</v>
      </c>
      <c r="O81" s="551"/>
      <c r="P81" s="552"/>
      <c r="Q81" s="552"/>
      <c r="R81" s="667"/>
      <c r="S81" s="551"/>
      <c r="T81" s="1893">
        <v>0</v>
      </c>
      <c r="U81" s="667"/>
      <c r="V81" s="1905">
        <v>0</v>
      </c>
      <c r="AK81" s="952"/>
      <c r="AL81" s="952"/>
    </row>
    <row r="82" spans="4:40" ht="18" customHeight="1" outlineLevel="1">
      <c r="D82" s="655"/>
      <c r="E82" s="572" t="s">
        <v>421</v>
      </c>
      <c r="F82" s="552">
        <f>-F81</f>
        <v>187821115</v>
      </c>
      <c r="G82" s="552">
        <f>-G81</f>
        <v>1389468863</v>
      </c>
      <c r="H82" s="552">
        <f>-H81</f>
        <v>1711716954</v>
      </c>
      <c r="I82" s="552">
        <v>0</v>
      </c>
      <c r="J82" s="553">
        <v>0</v>
      </c>
      <c r="K82" s="551">
        <v>0</v>
      </c>
      <c r="L82" s="552"/>
      <c r="M82" s="552"/>
      <c r="N82" s="553">
        <v>0</v>
      </c>
      <c r="O82" s="551"/>
      <c r="P82" s="552"/>
      <c r="Q82" s="552"/>
      <c r="R82" s="667"/>
      <c r="S82" s="551"/>
      <c r="T82" s="1893">
        <v>0</v>
      </c>
      <c r="U82" s="667"/>
      <c r="V82" s="1905">
        <v>0</v>
      </c>
    </row>
    <row r="83" spans="4:40" ht="18" customHeight="1" outlineLevel="1">
      <c r="D83" s="634" t="s">
        <v>1599</v>
      </c>
      <c r="E83" s="991"/>
      <c r="F83" s="992"/>
      <c r="G83" s="992"/>
      <c r="H83" s="992"/>
      <c r="I83" s="992"/>
      <c r="J83" s="993"/>
      <c r="K83" s="634"/>
      <c r="L83" s="992"/>
      <c r="M83" s="992"/>
      <c r="N83" s="993"/>
      <c r="O83" s="634"/>
      <c r="P83" s="992"/>
      <c r="Q83" s="992"/>
      <c r="R83" s="994"/>
      <c r="S83" s="634"/>
      <c r="T83" s="1894"/>
      <c r="U83" s="639"/>
      <c r="V83" s="1903"/>
      <c r="W83" s="720"/>
    </row>
    <row r="84" spans="4:40" ht="18" customHeight="1" outlineLevel="1">
      <c r="D84" s="655" t="s">
        <v>295</v>
      </c>
      <c r="E84" s="572" t="s">
        <v>296</v>
      </c>
      <c r="F84" s="552"/>
      <c r="G84" s="552"/>
      <c r="H84" s="552">
        <v>-1181400000</v>
      </c>
      <c r="I84" s="552">
        <f>H84</f>
        <v>-1181400000</v>
      </c>
      <c r="J84" s="553">
        <f>H84</f>
        <v>-1181400000</v>
      </c>
      <c r="K84" s="551"/>
      <c r="L84" s="552"/>
      <c r="M84" s="552"/>
      <c r="N84" s="553"/>
      <c r="O84" s="551"/>
      <c r="P84" s="552"/>
      <c r="Q84" s="552"/>
      <c r="R84" s="667"/>
      <c r="S84" s="551"/>
      <c r="T84" s="1893"/>
      <c r="U84" s="667"/>
      <c r="V84" s="1905"/>
    </row>
    <row r="85" spans="4:40" ht="18" customHeight="1" outlineLevel="1">
      <c r="D85" s="655" t="s">
        <v>1354</v>
      </c>
      <c r="E85" s="572" t="s">
        <v>401</v>
      </c>
      <c r="F85" s="552"/>
      <c r="G85" s="552"/>
      <c r="H85" s="552">
        <f>-H84</f>
        <v>1181400000</v>
      </c>
      <c r="I85" s="552">
        <f>H85</f>
        <v>1181400000</v>
      </c>
      <c r="J85" s="553">
        <f>H85</f>
        <v>1181400000</v>
      </c>
      <c r="K85" s="551"/>
      <c r="L85" s="552"/>
      <c r="M85" s="552"/>
      <c r="N85" s="553"/>
      <c r="O85" s="551"/>
      <c r="P85" s="552"/>
      <c r="Q85" s="552"/>
      <c r="R85" s="667"/>
      <c r="S85" s="551"/>
      <c r="T85" s="1893"/>
      <c r="U85" s="667"/>
      <c r="V85" s="1905"/>
      <c r="AK85" s="952"/>
      <c r="AL85" s="952"/>
    </row>
    <row r="86" spans="4:40" ht="18" customHeight="1" outlineLevel="1">
      <c r="D86" s="655" t="s">
        <v>1355</v>
      </c>
      <c r="E86" s="572" t="s">
        <v>209</v>
      </c>
      <c r="F86" s="552"/>
      <c r="G86" s="552"/>
      <c r="H86" s="552">
        <f>H84</f>
        <v>-1181400000</v>
      </c>
      <c r="I86" s="552">
        <f>H86</f>
        <v>-1181400000</v>
      </c>
      <c r="J86" s="553">
        <f>H86</f>
        <v>-1181400000</v>
      </c>
      <c r="K86" s="551"/>
      <c r="L86" s="552"/>
      <c r="M86" s="552"/>
      <c r="N86" s="553"/>
      <c r="O86" s="551"/>
      <c r="P86" s="552"/>
      <c r="Q86" s="552"/>
      <c r="R86" s="667"/>
      <c r="S86" s="551"/>
      <c r="T86" s="1893"/>
      <c r="U86" s="667"/>
      <c r="V86" s="1905"/>
      <c r="AA86" s="952"/>
      <c r="AG86" s="952"/>
      <c r="AH86" s="952"/>
      <c r="AI86" s="952"/>
      <c r="AJ86" s="952"/>
      <c r="AK86" s="952"/>
      <c r="AL86" s="952"/>
      <c r="AM86" s="952"/>
      <c r="AN86" s="952"/>
    </row>
    <row r="87" spans="4:40" ht="18" customHeight="1" outlineLevel="1" thickBot="1">
      <c r="D87" s="685"/>
      <c r="E87" s="686" t="s">
        <v>421</v>
      </c>
      <c r="F87" s="687"/>
      <c r="G87" s="687"/>
      <c r="H87" s="687">
        <f>-H86</f>
        <v>1181400000</v>
      </c>
      <c r="I87" s="687">
        <f>H87</f>
        <v>1181400000</v>
      </c>
      <c r="J87" s="688">
        <f>H87</f>
        <v>1181400000</v>
      </c>
      <c r="K87" s="689"/>
      <c r="L87" s="687"/>
      <c r="M87" s="687"/>
      <c r="N87" s="688"/>
      <c r="O87" s="689"/>
      <c r="P87" s="687"/>
      <c r="Q87" s="687"/>
      <c r="R87" s="691"/>
      <c r="S87" s="689"/>
      <c r="T87" s="1897"/>
      <c r="U87" s="691"/>
      <c r="V87" s="1907"/>
    </row>
    <row r="92" spans="4:40" ht="18" customHeight="1">
      <c r="AK92" s="952"/>
      <c r="AL92" s="952"/>
    </row>
  </sheetData>
  <phoneticPr fontId="22" type="noConversion"/>
  <pageMargins left="0.7" right="0.7" top="0.75" bottom="0.75" header="0.3" footer="0.3"/>
  <pageSetup paperSize="9" orientation="portrait" r:id="rId1"/>
  <ignoredErrors>
    <ignoredError sqref="D85:F86 D25:F26 D28:E30 D6:F23 D24 D31 D72:F84 D66:K71 G72:K84 D41:E50 D33:D34" numberStoredAsText="1"/>
    <ignoredError sqref="V20" formula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5">
    <tabColor rgb="FFFFFF00"/>
  </sheetPr>
  <dimension ref="D3:AB35"/>
  <sheetViews>
    <sheetView showGridLines="0" zoomScale="85" zoomScaleNormal="85" workbookViewId="0">
      <pane xSplit="5" ySplit="5" topLeftCell="F6" activePane="bottomRight" state="frozen"/>
      <selection activeCell="V34" sqref="V34"/>
      <selection pane="topRight" activeCell="V34" sqref="V34"/>
      <selection pane="bottomLeft" activeCell="V34" sqref="V34"/>
      <selection pane="bottomRight" activeCell="V22" sqref="V22"/>
    </sheetView>
  </sheetViews>
  <sheetFormatPr defaultColWidth="8.75" defaultRowHeight="18" customHeight="1" outlineLevelCol="1"/>
  <cols>
    <col min="1" max="3" width="2.375" style="509" customWidth="1"/>
    <col min="4" max="4" width="15.625" style="509" customWidth="1"/>
    <col min="5" max="5" width="28.75" style="509" customWidth="1"/>
    <col min="6" max="10" width="18.625" style="509" hidden="1" customWidth="1" outlineLevel="1"/>
    <col min="11" max="14" width="17.625" style="509" hidden="1" customWidth="1" outlineLevel="1"/>
    <col min="15" max="15" width="16.625" style="509" customWidth="1" collapsed="1"/>
    <col min="16" max="22" width="16.625" style="509" customWidth="1"/>
    <col min="23" max="23" width="4.125" style="509" customWidth="1"/>
    <col min="24" max="24" width="16.625" style="509" customWidth="1"/>
    <col min="25" max="28" width="20.375" style="509" customWidth="1"/>
    <col min="29" max="16384" width="8.75" style="509"/>
  </cols>
  <sheetData>
    <row r="3" spans="4:24" ht="18" customHeight="1">
      <c r="D3" s="838"/>
      <c r="N3" s="838"/>
      <c r="O3" s="838"/>
      <c r="P3" s="838"/>
      <c r="Q3" s="838"/>
      <c r="R3" s="838"/>
      <c r="S3" s="838"/>
      <c r="T3" s="838"/>
      <c r="U3" s="838"/>
      <c r="V3" s="839" t="s">
        <v>2002</v>
      </c>
    </row>
    <row r="4" spans="4:24" s="840" customFormat="1" ht="18" customHeight="1" thickBot="1">
      <c r="F4" s="840" t="b">
        <f>SUM(F6:F46)=0</f>
        <v>1</v>
      </c>
      <c r="G4" s="840" t="b">
        <f t="shared" ref="G4:Q4" si="0">SUM(G6:G46)=0</f>
        <v>1</v>
      </c>
      <c r="H4" s="840" t="b">
        <f t="shared" si="0"/>
        <v>1</v>
      </c>
      <c r="I4" s="840" t="b">
        <f t="shared" si="0"/>
        <v>1</v>
      </c>
      <c r="J4" s="840" t="b">
        <f>SUM(J6:J46)=0</f>
        <v>1</v>
      </c>
      <c r="K4" s="840" t="b">
        <f>SUM(K6:K46)=0</f>
        <v>1</v>
      </c>
      <c r="L4" s="840" t="b">
        <f>SUM(L6:L46)=0</f>
        <v>1</v>
      </c>
      <c r="M4" s="840" t="b">
        <f>SUM(M6:M46)=0</f>
        <v>1</v>
      </c>
      <c r="N4" s="840" t="b">
        <f t="shared" si="0"/>
        <v>1</v>
      </c>
      <c r="O4" s="840" t="b">
        <f t="shared" si="0"/>
        <v>1</v>
      </c>
      <c r="P4" s="840" t="b">
        <f t="shared" si="0"/>
        <v>1</v>
      </c>
      <c r="Q4" s="840" t="b">
        <f t="shared" si="0"/>
        <v>1</v>
      </c>
      <c r="R4" s="840" t="b">
        <f>SUM(R6:R46)=0</f>
        <v>1</v>
      </c>
      <c r="S4" s="840" t="b">
        <f t="shared" ref="S4:U4" si="1">SUM(S6:S46)=0</f>
        <v>1</v>
      </c>
      <c r="T4" s="840" t="b">
        <f t="shared" si="1"/>
        <v>1</v>
      </c>
      <c r="U4" s="840" t="b">
        <f t="shared" si="1"/>
        <v>1</v>
      </c>
      <c r="V4" s="840" t="b">
        <f>SUM(V6:V46)=0</f>
        <v>1</v>
      </c>
      <c r="X4" s="839" t="s">
        <v>2006</v>
      </c>
    </row>
    <row r="5" spans="4:24" s="952" customFormat="1" ht="18" customHeight="1">
      <c r="D5" s="595" t="s">
        <v>16</v>
      </c>
      <c r="E5" s="596" t="s">
        <v>19</v>
      </c>
      <c r="F5" s="596" t="s">
        <v>2346</v>
      </c>
      <c r="G5" s="596" t="s">
        <v>2349</v>
      </c>
      <c r="H5" s="596" t="s">
        <v>2350</v>
      </c>
      <c r="I5" s="596" t="s">
        <v>2353</v>
      </c>
      <c r="J5" s="841" t="s">
        <v>2355</v>
      </c>
      <c r="K5" s="842" t="s">
        <v>2462</v>
      </c>
      <c r="L5" s="841" t="s">
        <v>2463</v>
      </c>
      <c r="M5" s="843" t="s">
        <v>2458</v>
      </c>
      <c r="N5" s="604" t="s">
        <v>2464</v>
      </c>
      <c r="O5" s="605" t="s">
        <v>2454</v>
      </c>
      <c r="P5" s="843" t="s">
        <v>2465</v>
      </c>
      <c r="Q5" s="843" t="s">
        <v>2447</v>
      </c>
      <c r="R5" s="844" t="s">
        <v>2466</v>
      </c>
      <c r="S5" s="605" t="s">
        <v>2578</v>
      </c>
      <c r="T5" s="598" t="s">
        <v>2812</v>
      </c>
      <c r="U5" s="599" t="s">
        <v>2894</v>
      </c>
      <c r="V5" s="845" t="str">
        <f>'4.0'!V5</f>
        <v>FY2022.Q4</v>
      </c>
      <c r="X5" s="2036"/>
    </row>
    <row r="6" spans="4:24" s="710" customFormat="1" ht="18" customHeight="1">
      <c r="D6" s="846" t="s">
        <v>457</v>
      </c>
      <c r="E6" s="659"/>
      <c r="F6" s="642"/>
      <c r="G6" s="642"/>
      <c r="H6" s="642"/>
      <c r="I6" s="642"/>
      <c r="J6" s="847"/>
      <c r="K6" s="641"/>
      <c r="L6" s="847"/>
      <c r="M6" s="848"/>
      <c r="N6" s="849"/>
      <c r="O6" s="850"/>
      <c r="P6" s="848"/>
      <c r="Q6" s="848"/>
      <c r="R6" s="849"/>
      <c r="S6" s="850"/>
      <c r="T6" s="1909"/>
      <c r="U6" s="2037"/>
      <c r="V6" s="851"/>
      <c r="X6" s="852"/>
    </row>
    <row r="7" spans="4:24" s="710" customFormat="1" ht="18" customHeight="1">
      <c r="D7" s="651" t="s">
        <v>486</v>
      </c>
      <c r="E7" s="652" t="s">
        <v>1904</v>
      </c>
      <c r="F7" s="853">
        <f>'5.1'!L23</f>
        <v>5731508601</v>
      </c>
      <c r="G7" s="853">
        <f>'5.1'!M23</f>
        <v>5648912780</v>
      </c>
      <c r="H7" s="653">
        <f>'5.1'!N23</f>
        <v>5721586093</v>
      </c>
      <c r="I7" s="653">
        <f>'5.1'!O23</f>
        <v>5753390119</v>
      </c>
      <c r="J7" s="854">
        <v>5321843161</v>
      </c>
      <c r="K7" s="855">
        <f>'5.1'!Q23</f>
        <v>5474397504</v>
      </c>
      <c r="L7" s="854">
        <v>7284737363</v>
      </c>
      <c r="M7" s="856">
        <v>7258693635</v>
      </c>
      <c r="N7" s="857">
        <f>'5.1'!T19</f>
        <v>6881418585</v>
      </c>
      <c r="O7" s="858">
        <v>6705639743</v>
      </c>
      <c r="P7" s="856">
        <v>6705639743</v>
      </c>
      <c r="Q7" s="856">
        <v>6881418585</v>
      </c>
      <c r="R7" s="857">
        <v>6881418585</v>
      </c>
      <c r="S7" s="858">
        <v>6881418585</v>
      </c>
      <c r="T7" s="1910">
        <v>6881418585</v>
      </c>
      <c r="U7" s="2038">
        <v>6881418585</v>
      </c>
      <c r="V7" s="859">
        <f>'5.1'!AB19</f>
        <v>6881418585</v>
      </c>
      <c r="X7" s="852"/>
    </row>
    <row r="8" spans="4:24" s="710" customFormat="1" ht="18" customHeight="1">
      <c r="D8" s="651" t="s">
        <v>1907</v>
      </c>
      <c r="E8" s="652" t="s">
        <v>1908</v>
      </c>
      <c r="F8" s="853"/>
      <c r="G8" s="853"/>
      <c r="H8" s="653"/>
      <c r="I8" s="653"/>
      <c r="J8" s="854"/>
      <c r="K8" s="855"/>
      <c r="L8" s="854">
        <v>-2064008920</v>
      </c>
      <c r="M8" s="856">
        <v>-2238097204</v>
      </c>
      <c r="N8" s="857">
        <f>'5.1'!T20</f>
        <v>-2293806195</v>
      </c>
      <c r="O8" s="858">
        <v>-2235213248</v>
      </c>
      <c r="P8" s="856">
        <v>-2235213248</v>
      </c>
      <c r="Q8" s="856">
        <v>-2293806195</v>
      </c>
      <c r="R8" s="857">
        <v>-2293806195</v>
      </c>
      <c r="S8" s="858">
        <v>-2293806195</v>
      </c>
      <c r="T8" s="1910">
        <v>-2293806195</v>
      </c>
      <c r="U8" s="2038">
        <v>-2293806195</v>
      </c>
      <c r="V8" s="859">
        <f>'5.1'!AB20</f>
        <v>-2293806195</v>
      </c>
      <c r="X8" s="852"/>
    </row>
    <row r="9" spans="4:24" s="710" customFormat="1" ht="18" customHeight="1">
      <c r="D9" s="651" t="s">
        <v>390</v>
      </c>
      <c r="E9" s="652" t="s">
        <v>450</v>
      </c>
      <c r="F9" s="853">
        <f>SUM('5.1'!I24:L24)</f>
        <v>647780609</v>
      </c>
      <c r="G9" s="853">
        <f>'5.1'!M24</f>
        <v>166769606</v>
      </c>
      <c r="H9" s="653">
        <f>SUM('5.1'!M24:N24)</f>
        <v>336747355</v>
      </c>
      <c r="I9" s="653">
        <f>SUM('5.1'!$M24:O24)</f>
        <v>510659404</v>
      </c>
      <c r="J9" s="854">
        <f>SUM('5.1'!$M24:P24)</f>
        <v>685224178</v>
      </c>
      <c r="K9" s="855">
        <f>+'5.1'!Q24</f>
        <v>178889077</v>
      </c>
      <c r="L9" s="854">
        <v>363998624</v>
      </c>
      <c r="M9" s="856">
        <v>546683297</v>
      </c>
      <c r="N9" s="857">
        <f>SUM('5.1'!Q24:T24)</f>
        <v>719869189</v>
      </c>
      <c r="O9" s="858">
        <v>0</v>
      </c>
      <c r="P9" s="856">
        <v>0</v>
      </c>
      <c r="Q9" s="856">
        <v>0</v>
      </c>
      <c r="R9" s="857">
        <v>0</v>
      </c>
      <c r="S9" s="858">
        <v>0</v>
      </c>
      <c r="T9" s="1910">
        <v>0</v>
      </c>
      <c r="U9" s="2038">
        <v>0</v>
      </c>
      <c r="V9" s="859">
        <f>'5.1'!AB24</f>
        <v>0</v>
      </c>
      <c r="X9" s="852"/>
    </row>
    <row r="10" spans="4:24" s="710" customFormat="1" ht="18" customHeight="1">
      <c r="D10" s="651" t="s">
        <v>381</v>
      </c>
      <c r="E10" s="652" t="s">
        <v>451</v>
      </c>
      <c r="F10" s="853">
        <f>-SUM('5.1'!I25:L25)</f>
        <v>-225492417</v>
      </c>
      <c r="G10" s="853">
        <f>-'5.1'!M25</f>
        <v>-58052497</v>
      </c>
      <c r="H10" s="653">
        <f>-SUM('5.1'!M25:N25)</f>
        <v>-117221748</v>
      </c>
      <c r="I10" s="653">
        <f>-SUM('5.1'!$M25:O25)</f>
        <v>-177760529</v>
      </c>
      <c r="J10" s="854">
        <f>-SUM('5.1'!$M25:P25)</f>
        <v>-238526523</v>
      </c>
      <c r="K10" s="855">
        <f>-'5.1'!Q25</f>
        <v>-62271284</v>
      </c>
      <c r="L10" s="854">
        <v>-126707914</v>
      </c>
      <c r="M10" s="856">
        <v>-190300445</v>
      </c>
      <c r="N10" s="857">
        <f>-SUM('5.1'!Q25:T25)</f>
        <v>-1924499179</v>
      </c>
      <c r="O10" s="858">
        <v>0</v>
      </c>
      <c r="P10" s="856">
        <v>0</v>
      </c>
      <c r="Q10" s="856">
        <v>0</v>
      </c>
      <c r="R10" s="857">
        <v>0</v>
      </c>
      <c r="S10" s="858">
        <v>0</v>
      </c>
      <c r="T10" s="1910">
        <v>0</v>
      </c>
      <c r="U10" s="2038">
        <v>0</v>
      </c>
      <c r="V10" s="859">
        <f>'5.1'!AB25</f>
        <v>0</v>
      </c>
      <c r="X10" s="852"/>
    </row>
    <row r="11" spans="4:24" s="710" customFormat="1" ht="18" customHeight="1">
      <c r="D11" s="651" t="s">
        <v>1346</v>
      </c>
      <c r="E11" s="652" t="s">
        <v>452</v>
      </c>
      <c r="F11" s="853">
        <f>-'5.1'!L26</f>
        <v>-1995138159</v>
      </c>
      <c r="G11" s="853">
        <f>-'5.1'!M26</f>
        <v>-1966386557</v>
      </c>
      <c r="H11" s="653">
        <f>-'5.1'!N26</f>
        <v>-1991684142</v>
      </c>
      <c r="I11" s="653">
        <f>-'5.1'!O26</f>
        <v>-2002755127</v>
      </c>
      <c r="J11" s="854">
        <f>-'5.1'!P26</f>
        <v>-1852533634</v>
      </c>
      <c r="K11" s="855">
        <f>-'5.1'!Q26</f>
        <v>-1905637806</v>
      </c>
      <c r="L11" s="854">
        <v>-1817335609</v>
      </c>
      <c r="M11" s="856">
        <v>-1747669659</v>
      </c>
      <c r="N11" s="857">
        <f>-'5.1'!T26</f>
        <v>0</v>
      </c>
      <c r="O11" s="858">
        <v>0</v>
      </c>
      <c r="P11" s="856">
        <v>0</v>
      </c>
      <c r="Q11" s="856">
        <v>0</v>
      </c>
      <c r="R11" s="857">
        <v>0</v>
      </c>
      <c r="S11" s="858">
        <v>0</v>
      </c>
      <c r="T11" s="1910">
        <v>0</v>
      </c>
      <c r="U11" s="2038">
        <v>0</v>
      </c>
      <c r="V11" s="859">
        <f>-'5.1'!AB26</f>
        <v>0</v>
      </c>
      <c r="X11" s="852"/>
    </row>
    <row r="12" spans="4:24" s="710" customFormat="1" ht="18" customHeight="1">
      <c r="D12" s="651" t="s">
        <v>1352</v>
      </c>
      <c r="E12" s="652" t="s">
        <v>204</v>
      </c>
      <c r="F12" s="853">
        <f>-SUM('5.1'!H27:L27)</f>
        <v>53559836</v>
      </c>
      <c r="G12" s="853">
        <f>-'5.1'!M27</f>
        <v>-54872890</v>
      </c>
      <c r="H12" s="653">
        <f>-SUM('5.1'!H27:N27)</f>
        <v>-159497280</v>
      </c>
      <c r="I12" s="653">
        <f>-SUM('5.1'!$H$27:O27)</f>
        <v>-293603589</v>
      </c>
      <c r="J12" s="854">
        <f>-SUM('5.1'!$H$27:P27)</f>
        <v>-126076904</v>
      </c>
      <c r="K12" s="855">
        <f>-SUM('5.1'!$H$27:Q27)</f>
        <v>-342144868</v>
      </c>
      <c r="L12" s="854">
        <v>-297450921</v>
      </c>
      <c r="M12" s="856">
        <v>-286077001</v>
      </c>
      <c r="N12" s="857">
        <f>-SUM('5.1'!H27:T27)</f>
        <v>-260849492</v>
      </c>
      <c r="O12" s="858">
        <v>-260849492</v>
      </c>
      <c r="P12" s="856">
        <v>-260849492</v>
      </c>
      <c r="Q12" s="856">
        <v>-260849492</v>
      </c>
      <c r="R12" s="857">
        <v>-260849492</v>
      </c>
      <c r="S12" s="858">
        <v>-260849492</v>
      </c>
      <c r="T12" s="1910">
        <v>-260849492</v>
      </c>
      <c r="U12" s="2038">
        <v>-260849492</v>
      </c>
      <c r="V12" s="859">
        <f>-SUM('5.1'!H27:W27)</f>
        <v>-260849492</v>
      </c>
      <c r="X12" s="852">
        <f>V12-SUM(N12:N13)</f>
        <v>0</v>
      </c>
    </row>
    <row r="13" spans="4:24" s="710" customFormat="1" ht="18" customHeight="1">
      <c r="D13" s="651" t="s">
        <v>1352</v>
      </c>
      <c r="E13" s="652" t="s">
        <v>204</v>
      </c>
      <c r="F13" s="853">
        <v>-4582761</v>
      </c>
      <c r="G13" s="853"/>
      <c r="H13" s="653"/>
      <c r="I13" s="653"/>
      <c r="J13" s="854"/>
      <c r="K13" s="855"/>
      <c r="L13" s="854"/>
      <c r="M13" s="856"/>
      <c r="N13" s="857"/>
      <c r="O13" s="858"/>
      <c r="P13" s="856"/>
      <c r="Q13" s="856"/>
      <c r="R13" s="857"/>
      <c r="S13" s="858"/>
      <c r="T13" s="1910"/>
      <c r="U13" s="2038"/>
      <c r="V13" s="859"/>
      <c r="X13" s="852"/>
    </row>
    <row r="14" spans="4:24" s="710" customFormat="1" ht="18" customHeight="1">
      <c r="D14" s="651" t="s">
        <v>1354</v>
      </c>
      <c r="E14" s="652" t="s">
        <v>207</v>
      </c>
      <c r="F14" s="853">
        <f>-SUM(F7:F13,F15:F16)</f>
        <v>-4207635709</v>
      </c>
      <c r="G14" s="853">
        <f>-SUM(F7,F11)</f>
        <v>-3736370442</v>
      </c>
      <c r="H14" s="653">
        <f>-SUM(H7:H12,H15:H16)</f>
        <v>-3789930278</v>
      </c>
      <c r="I14" s="653">
        <f>-SUM(I7:I12,I15:I16)</f>
        <v>-3789930278</v>
      </c>
      <c r="J14" s="854">
        <f>-SUM(J7:J12,J15:J16)</f>
        <v>-3789930278</v>
      </c>
      <c r="K14" s="855">
        <f>-SUM(K7:K12,K15:K16)</f>
        <v>-3343232623</v>
      </c>
      <c r="L14" s="854">
        <v>-3343232623</v>
      </c>
      <c r="M14" s="856">
        <v>-3343232623</v>
      </c>
      <c r="N14" s="857">
        <f>-SUM(N7:N12,N15:N16,N18:N19)</f>
        <v>-3343232623</v>
      </c>
      <c r="O14" s="858">
        <v>260849492</v>
      </c>
      <c r="P14" s="856">
        <v>260849492</v>
      </c>
      <c r="Q14" s="856">
        <v>260849492</v>
      </c>
      <c r="R14" s="857">
        <v>260849492</v>
      </c>
      <c r="S14" s="858">
        <v>260849492</v>
      </c>
      <c r="T14" s="1910">
        <v>260849492</v>
      </c>
      <c r="U14" s="2038">
        <v>260849492</v>
      </c>
      <c r="V14" s="859">
        <f>-SUM(V7:V12,V15:V19)</f>
        <v>260849492</v>
      </c>
      <c r="X14" s="852"/>
    </row>
    <row r="15" spans="4:24" s="710" customFormat="1" ht="18" customHeight="1">
      <c r="D15" s="651" t="s">
        <v>1355</v>
      </c>
      <c r="E15" s="652" t="s">
        <v>209</v>
      </c>
      <c r="F15" s="853">
        <f>SUM(F9:F10)</f>
        <v>422288192</v>
      </c>
      <c r="G15" s="853">
        <f>SUM(G9:G10)</f>
        <v>108717109</v>
      </c>
      <c r="H15" s="653">
        <f>SUM(H9:H10)</f>
        <v>219525607</v>
      </c>
      <c r="I15" s="653">
        <f>SUM(I9:I10)</f>
        <v>332898875</v>
      </c>
      <c r="J15" s="854">
        <v>446697655</v>
      </c>
      <c r="K15" s="855">
        <f>SUM(K9:K10)</f>
        <v>116617793</v>
      </c>
      <c r="L15" s="854">
        <v>237290710</v>
      </c>
      <c r="M15" s="856">
        <v>356382852</v>
      </c>
      <c r="N15" s="857">
        <f t="array" ref="N15">SUM(N9:N10+N19)</f>
        <v>8412794220</v>
      </c>
      <c r="O15" s="858">
        <v>0</v>
      </c>
      <c r="P15" s="856">
        <v>0</v>
      </c>
      <c r="Q15" s="856">
        <v>0</v>
      </c>
      <c r="R15" s="857">
        <v>0</v>
      </c>
      <c r="S15" s="858">
        <v>0</v>
      </c>
      <c r="T15" s="1910">
        <v>0</v>
      </c>
      <c r="U15" s="2038">
        <v>0</v>
      </c>
      <c r="V15" s="859">
        <f>SUM(V9:V10)</f>
        <v>0</v>
      </c>
      <c r="X15" s="852"/>
    </row>
    <row r="16" spans="4:24" s="710" customFormat="1" ht="18" customHeight="1">
      <c r="D16" s="651" t="s">
        <v>478</v>
      </c>
      <c r="E16" s="652" t="s">
        <v>421</v>
      </c>
      <c r="F16" s="853">
        <f>-F15</f>
        <v>-422288192</v>
      </c>
      <c r="G16" s="853">
        <f>-G15</f>
        <v>-108717109</v>
      </c>
      <c r="H16" s="653">
        <f>-H15</f>
        <v>-219525607</v>
      </c>
      <c r="I16" s="653">
        <f>-I15</f>
        <v>-332898875</v>
      </c>
      <c r="J16" s="854">
        <v>-446697655</v>
      </c>
      <c r="K16" s="855">
        <f>-K15</f>
        <v>-116617793</v>
      </c>
      <c r="L16" s="854">
        <v>-237290710</v>
      </c>
      <c r="M16" s="856">
        <v>-356382852</v>
      </c>
      <c r="N16" s="857">
        <f>-N15</f>
        <v>-8412794220</v>
      </c>
      <c r="O16" s="858">
        <v>0</v>
      </c>
      <c r="P16" s="856">
        <v>0</v>
      </c>
      <c r="Q16" s="856">
        <v>0</v>
      </c>
      <c r="R16" s="857">
        <v>0</v>
      </c>
      <c r="S16" s="858">
        <v>0</v>
      </c>
      <c r="T16" s="1910">
        <v>0</v>
      </c>
      <c r="U16" s="2038">
        <v>0</v>
      </c>
      <c r="V16" s="859">
        <f>-V15</f>
        <v>0</v>
      </c>
      <c r="X16" s="852"/>
    </row>
    <row r="17" spans="4:28" s="710" customFormat="1" ht="18" customHeight="1">
      <c r="D17" s="860"/>
      <c r="E17" s="861"/>
      <c r="F17" s="862"/>
      <c r="G17" s="862"/>
      <c r="H17" s="863"/>
      <c r="I17" s="863"/>
      <c r="J17" s="864"/>
      <c r="K17" s="865"/>
      <c r="L17" s="864"/>
      <c r="M17" s="866"/>
      <c r="N17" s="867"/>
      <c r="O17" s="868"/>
      <c r="P17" s="866"/>
      <c r="Q17" s="866"/>
      <c r="R17" s="867"/>
      <c r="S17" s="868"/>
      <c r="T17" s="1911"/>
      <c r="U17" s="2039"/>
      <c r="V17" s="869"/>
      <c r="X17" s="852"/>
    </row>
    <row r="18" spans="4:28" s="710" customFormat="1" ht="18" customHeight="1">
      <c r="D18" s="870" t="s">
        <v>2035</v>
      </c>
      <c r="E18" s="871" t="s">
        <v>2034</v>
      </c>
      <c r="F18" s="872"/>
      <c r="G18" s="872"/>
      <c r="H18" s="873"/>
      <c r="I18" s="873"/>
      <c r="J18" s="874"/>
      <c r="K18" s="875"/>
      <c r="L18" s="874"/>
      <c r="M18" s="668"/>
      <c r="N18" s="876">
        <f>'5.1'!T21</f>
        <v>-4587612390</v>
      </c>
      <c r="O18" s="672">
        <v>-4470426495</v>
      </c>
      <c r="P18" s="668">
        <v>-4470426495</v>
      </c>
      <c r="Q18" s="668">
        <v>-4587612390</v>
      </c>
      <c r="R18" s="876">
        <v>-4587612390</v>
      </c>
      <c r="S18" s="672">
        <v>-4587612390</v>
      </c>
      <c r="T18" s="1912">
        <v>-4587612390</v>
      </c>
      <c r="U18" s="2040">
        <v>-4587612390</v>
      </c>
      <c r="V18" s="877">
        <f>'5.1'!AB21</f>
        <v>-4587612390</v>
      </c>
      <c r="X18" s="852"/>
    </row>
    <row r="19" spans="4:28" s="710" customFormat="1" ht="18" customHeight="1">
      <c r="D19" s="878" t="s">
        <v>362</v>
      </c>
      <c r="E19" s="879" t="s">
        <v>1845</v>
      </c>
      <c r="F19" s="872"/>
      <c r="G19" s="872"/>
      <c r="H19" s="873"/>
      <c r="I19" s="873"/>
      <c r="J19" s="874"/>
      <c r="K19" s="875"/>
      <c r="L19" s="874"/>
      <c r="M19" s="668"/>
      <c r="N19" s="876">
        <f>'5.1'!T22</f>
        <v>4808712105</v>
      </c>
      <c r="O19" s="672">
        <v>0</v>
      </c>
      <c r="P19" s="668">
        <v>0</v>
      </c>
      <c r="Q19" s="668">
        <v>0</v>
      </c>
      <c r="R19" s="876">
        <v>0</v>
      </c>
      <c r="S19" s="672">
        <v>0</v>
      </c>
      <c r="T19" s="1912">
        <v>0</v>
      </c>
      <c r="U19" s="2040">
        <v>0</v>
      </c>
      <c r="V19" s="877">
        <f>'5.1'!AB22</f>
        <v>0</v>
      </c>
      <c r="X19" s="852"/>
    </row>
    <row r="20" spans="4:28" s="710" customFormat="1" ht="18" customHeight="1">
      <c r="D20" s="880"/>
      <c r="E20" s="881"/>
      <c r="F20" s="882"/>
      <c r="G20" s="882"/>
      <c r="H20" s="883"/>
      <c r="I20" s="883"/>
      <c r="J20" s="884"/>
      <c r="K20" s="885"/>
      <c r="L20" s="884"/>
      <c r="M20" s="886"/>
      <c r="N20" s="887"/>
      <c r="O20" s="888"/>
      <c r="P20" s="886"/>
      <c r="Q20" s="886"/>
      <c r="R20" s="887"/>
      <c r="S20" s="888"/>
      <c r="T20" s="1913"/>
      <c r="U20" s="2041"/>
      <c r="V20" s="889"/>
      <c r="X20" s="852"/>
      <c r="AB20" s="890"/>
    </row>
    <row r="21" spans="4:28" s="720" customFormat="1" ht="18" customHeight="1">
      <c r="D21" s="891" t="s">
        <v>129</v>
      </c>
      <c r="E21" s="892"/>
      <c r="F21" s="893"/>
      <c r="G21" s="893"/>
      <c r="H21" s="893"/>
      <c r="I21" s="893"/>
      <c r="J21" s="894"/>
      <c r="K21" s="846"/>
      <c r="L21" s="894"/>
      <c r="M21" s="895"/>
      <c r="N21" s="896"/>
      <c r="O21" s="897"/>
      <c r="P21" s="895"/>
      <c r="Q21" s="895"/>
      <c r="R21" s="896"/>
      <c r="S21" s="897"/>
      <c r="T21" s="1914"/>
      <c r="U21" s="2042"/>
      <c r="V21" s="898"/>
      <c r="X21" s="899"/>
      <c r="AB21" s="900"/>
    </row>
    <row r="22" spans="4:28" s="710" customFormat="1" ht="18" customHeight="1">
      <c r="D22" s="651" t="s">
        <v>128</v>
      </c>
      <c r="E22" s="652" t="s">
        <v>129</v>
      </c>
      <c r="F22" s="853">
        <v>25657490389</v>
      </c>
      <c r="G22" s="853">
        <v>21880679425</v>
      </c>
      <c r="H22" s="653">
        <v>22839737952</v>
      </c>
      <c r="I22" s="653">
        <v>23691218644</v>
      </c>
      <c r="J22" s="854">
        <v>2035997533</v>
      </c>
      <c r="K22" s="855">
        <v>2163700414</v>
      </c>
      <c r="L22" s="854">
        <v>2135680096</v>
      </c>
      <c r="M22" s="901">
        <v>23959832946</v>
      </c>
      <c r="N22" s="902">
        <f>'5.2'!CP20+'5.2'!CP21+'5.2'!CP22</f>
        <v>22730979412</v>
      </c>
      <c r="O22" s="903">
        <v>22158435716</v>
      </c>
      <c r="P22" s="901">
        <v>22047668815</v>
      </c>
      <c r="Q22" s="901">
        <v>22814320344</v>
      </c>
      <c r="R22" s="902">
        <v>22220303602</v>
      </c>
      <c r="S22" s="903">
        <v>21423037036</v>
      </c>
      <c r="T22" s="1915">
        <v>20438891187</v>
      </c>
      <c r="U22" s="2043">
        <v>21433879861</v>
      </c>
      <c r="V22" s="904">
        <f>'5.2'!DR20+'5.2'!DR21+'5.2'!DR22</f>
        <v>20581973960</v>
      </c>
      <c r="X22" s="852"/>
      <c r="AB22" s="890"/>
    </row>
    <row r="23" spans="4:28" s="710" customFormat="1" ht="18" customHeight="1">
      <c r="D23" s="607" t="s">
        <v>130</v>
      </c>
      <c r="E23" s="683" t="s">
        <v>131</v>
      </c>
      <c r="F23" s="853"/>
      <c r="G23" s="853"/>
      <c r="H23" s="653"/>
      <c r="I23" s="653"/>
      <c r="J23" s="854"/>
      <c r="K23" s="855"/>
      <c r="L23" s="854"/>
      <c r="M23" s="901">
        <v>-21831717197</v>
      </c>
      <c r="N23" s="902">
        <f>'5.2'!CR20+'5.2'!CR21+'5.2'!CR22</f>
        <v>-20712442443</v>
      </c>
      <c r="O23" s="903">
        <v>-20190953357</v>
      </c>
      <c r="P23" s="901">
        <v>-20090063712</v>
      </c>
      <c r="Q23" s="901">
        <v>-20788351734</v>
      </c>
      <c r="R23" s="902">
        <v>-20247304387</v>
      </c>
      <c r="S23" s="903">
        <v>-19521131320</v>
      </c>
      <c r="T23" s="1915">
        <v>-18624743285</v>
      </c>
      <c r="U23" s="2043">
        <v>-19531007273</v>
      </c>
      <c r="V23" s="904">
        <f>'5.2'!DS20+'5.2'!DS21+'5.2'!DS22</f>
        <v>-18774909945</v>
      </c>
      <c r="X23" s="852"/>
      <c r="AB23" s="890"/>
    </row>
    <row r="24" spans="4:28" s="710" customFormat="1" ht="18" customHeight="1">
      <c r="D24" s="651" t="s">
        <v>1354</v>
      </c>
      <c r="E24" s="652" t="s">
        <v>207</v>
      </c>
      <c r="F24" s="853">
        <f>-F22-F28</f>
        <v>-25864992300</v>
      </c>
      <c r="G24" s="853">
        <f>-G22</f>
        <v>-21880679425</v>
      </c>
      <c r="H24" s="653">
        <v>-21767999083</v>
      </c>
      <c r="I24" s="609">
        <f>-SUM(I22,I28)</f>
        <v>-21767999083</v>
      </c>
      <c r="J24" s="905">
        <f>-SUM(J22,J28)</f>
        <v>-1174311828</v>
      </c>
      <c r="K24" s="906">
        <v>-1174311828</v>
      </c>
      <c r="L24" s="905">
        <v>-1174311828</v>
      </c>
      <c r="M24" s="907">
        <v>-1174311828</v>
      </c>
      <c r="N24" s="617">
        <f>-SUM(N22,N28,N23)</f>
        <v>-1174311828</v>
      </c>
      <c r="O24" s="618">
        <v>-1174311828</v>
      </c>
      <c r="P24" s="907">
        <v>-1174311828</v>
      </c>
      <c r="Q24" s="907">
        <v>-1174311828</v>
      </c>
      <c r="R24" s="617">
        <v>-1174311828</v>
      </c>
      <c r="S24" s="618">
        <v>-1174311828</v>
      </c>
      <c r="T24" s="611">
        <v>-1174311828</v>
      </c>
      <c r="U24" s="612">
        <v>-1174311828</v>
      </c>
      <c r="V24" s="908">
        <f>-SUM(V22,V28,V23)</f>
        <v>-1154469028</v>
      </c>
      <c r="X24" s="852"/>
      <c r="AB24" s="890"/>
    </row>
    <row r="25" spans="4:28" s="710" customFormat="1" ht="18" customHeight="1">
      <c r="D25" s="651" t="s">
        <v>362</v>
      </c>
      <c r="E25" s="652" t="s">
        <v>485</v>
      </c>
      <c r="F25" s="853"/>
      <c r="G25" s="853"/>
      <c r="H25" s="653"/>
      <c r="I25" s="609"/>
      <c r="J25" s="905"/>
      <c r="K25" s="906"/>
      <c r="L25" s="905"/>
      <c r="M25" s="907"/>
      <c r="N25" s="617"/>
      <c r="O25" s="618"/>
      <c r="P25" s="907"/>
      <c r="Q25" s="907"/>
      <c r="R25" s="617"/>
      <c r="S25" s="618"/>
      <c r="T25" s="611"/>
      <c r="U25" s="612"/>
      <c r="V25" s="908"/>
      <c r="X25" s="852"/>
      <c r="AB25" s="890"/>
    </row>
    <row r="26" spans="4:28" s="710" customFormat="1" ht="18" customHeight="1">
      <c r="D26" s="651" t="s">
        <v>128</v>
      </c>
      <c r="E26" s="652" t="s">
        <v>129</v>
      </c>
      <c r="F26" s="853">
        <f>-'1.0'!F7</f>
        <v>-19842800</v>
      </c>
      <c r="G26" s="853">
        <f>-'1.0'!G7</f>
        <v>-19842800</v>
      </c>
      <c r="H26" s="653">
        <v>-19842800</v>
      </c>
      <c r="I26" s="653">
        <v>-19842800</v>
      </c>
      <c r="J26" s="854">
        <v>-19842800</v>
      </c>
      <c r="K26" s="855">
        <v>-19842800</v>
      </c>
      <c r="L26" s="854">
        <v>-19842800</v>
      </c>
      <c r="M26" s="901">
        <v>-19842800</v>
      </c>
      <c r="N26" s="902">
        <v>-19842800</v>
      </c>
      <c r="O26" s="903">
        <v>-19842800</v>
      </c>
      <c r="P26" s="901">
        <v>-19842800</v>
      </c>
      <c r="Q26" s="901">
        <v>-19842800</v>
      </c>
      <c r="R26" s="902">
        <v>-19842800</v>
      </c>
      <c r="S26" s="903">
        <v>-19842800</v>
      </c>
      <c r="T26" s="1915">
        <v>-19842800</v>
      </c>
      <c r="U26" s="2043">
        <v>-19842800</v>
      </c>
      <c r="V26" s="904">
        <v>-19842800</v>
      </c>
      <c r="X26" s="852"/>
    </row>
    <row r="27" spans="4:28" s="710" customFormat="1" ht="18" customHeight="1">
      <c r="D27" s="651" t="s">
        <v>1354</v>
      </c>
      <c r="E27" s="652" t="s">
        <v>207</v>
      </c>
      <c r="F27" s="853">
        <f>-F26</f>
        <v>19842800</v>
      </c>
      <c r="G27" s="853">
        <f>-G26</f>
        <v>19842800</v>
      </c>
      <c r="H27" s="653">
        <v>19842800</v>
      </c>
      <c r="I27" s="653">
        <v>19842800</v>
      </c>
      <c r="J27" s="854">
        <v>19842800</v>
      </c>
      <c r="K27" s="855">
        <v>19842800</v>
      </c>
      <c r="L27" s="854">
        <v>19842800</v>
      </c>
      <c r="M27" s="901">
        <v>19842800</v>
      </c>
      <c r="N27" s="902">
        <v>19842800</v>
      </c>
      <c r="O27" s="903">
        <v>19842800</v>
      </c>
      <c r="P27" s="901">
        <v>19842800</v>
      </c>
      <c r="Q27" s="901">
        <v>19842800</v>
      </c>
      <c r="R27" s="902">
        <v>19842800</v>
      </c>
      <c r="S27" s="903">
        <v>19842800</v>
      </c>
      <c r="T27" s="1915">
        <v>19842800</v>
      </c>
      <c r="U27" s="2043">
        <v>19842800</v>
      </c>
      <c r="V27" s="904">
        <v>19842800</v>
      </c>
      <c r="X27" s="852"/>
    </row>
    <row r="28" spans="4:28" s="710" customFormat="1" ht="18" customHeight="1">
      <c r="D28" s="651" t="s">
        <v>1352</v>
      </c>
      <c r="E28" s="652" t="s">
        <v>204</v>
      </c>
      <c r="F28" s="853">
        <v>207501911</v>
      </c>
      <c r="G28" s="853"/>
      <c r="H28" s="653">
        <v>-1071738869</v>
      </c>
      <c r="I28" s="653">
        <v>-1923219561</v>
      </c>
      <c r="J28" s="854">
        <v>-861685705</v>
      </c>
      <c r="K28" s="855">
        <v>-989388586</v>
      </c>
      <c r="L28" s="909">
        <v>-961368268</v>
      </c>
      <c r="M28" s="856">
        <v>-953803921</v>
      </c>
      <c r="N28" s="857">
        <f>-('5.2'!CO20+'5.2'!AS20+'5.2'!L20)</f>
        <v>-844225141</v>
      </c>
      <c r="O28" s="858">
        <v>-793170531</v>
      </c>
      <c r="P28" s="856">
        <v>-783293275</v>
      </c>
      <c r="Q28" s="856">
        <v>-851656782</v>
      </c>
      <c r="R28" s="857">
        <v>-798687387</v>
      </c>
      <c r="S28" s="858">
        <v>-727593888</v>
      </c>
      <c r="T28" s="1910">
        <v>-639836074</v>
      </c>
      <c r="U28" s="2038">
        <v>-728560760</v>
      </c>
      <c r="V28" s="859">
        <f>-('5.2'!CO20+'5.2'!AS20+'5.2'!L20+'5.2'!DC27+'5.2'!DQ20)</f>
        <v>-652594987</v>
      </c>
      <c r="X28" s="852">
        <f>V28-R28-R29</f>
        <v>146092400</v>
      </c>
    </row>
    <row r="29" spans="4:28" s="710" customFormat="1" ht="18" customHeight="1">
      <c r="D29" s="651" t="s">
        <v>1352</v>
      </c>
      <c r="E29" s="652" t="s">
        <v>204</v>
      </c>
      <c r="F29" s="853"/>
      <c r="G29" s="853"/>
      <c r="H29" s="653"/>
      <c r="I29" s="653"/>
      <c r="J29" s="854"/>
      <c r="K29" s="855"/>
      <c r="L29" s="909"/>
      <c r="M29" s="856"/>
      <c r="N29" s="857"/>
      <c r="O29" s="858"/>
      <c r="P29" s="856"/>
      <c r="Q29" s="856"/>
      <c r="R29" s="857"/>
      <c r="S29" s="858"/>
      <c r="T29" s="1910"/>
      <c r="U29" s="2038"/>
      <c r="V29" s="859"/>
      <c r="X29" s="852"/>
    </row>
    <row r="30" spans="4:28" s="710" customFormat="1" ht="18" customHeight="1">
      <c r="D30" s="651" t="s">
        <v>362</v>
      </c>
      <c r="E30" s="652" t="s">
        <v>485</v>
      </c>
      <c r="F30" s="853">
        <v>294995310</v>
      </c>
      <c r="G30" s="853"/>
      <c r="H30" s="653"/>
      <c r="I30" s="653"/>
      <c r="J30" s="854">
        <v>20593687255</v>
      </c>
      <c r="K30" s="855"/>
      <c r="L30" s="909"/>
      <c r="M30" s="856"/>
      <c r="N30" s="857"/>
      <c r="O30" s="858"/>
      <c r="P30" s="856"/>
      <c r="Q30" s="856"/>
      <c r="R30" s="857"/>
      <c r="S30" s="858"/>
      <c r="T30" s="1910"/>
      <c r="U30" s="2038"/>
      <c r="V30" s="859">
        <v>19842800</v>
      </c>
      <c r="X30" s="852"/>
    </row>
    <row r="31" spans="4:28" s="710" customFormat="1" ht="18" customHeight="1">
      <c r="D31" s="651" t="s">
        <v>1354</v>
      </c>
      <c r="E31" s="652" t="s">
        <v>207</v>
      </c>
      <c r="F31" s="853">
        <v>-294995310</v>
      </c>
      <c r="G31" s="853"/>
      <c r="H31" s="653"/>
      <c r="I31" s="653"/>
      <c r="J31" s="854">
        <v>-20593687255</v>
      </c>
      <c r="K31" s="855"/>
      <c r="L31" s="909"/>
      <c r="M31" s="856"/>
      <c r="N31" s="857"/>
      <c r="O31" s="858"/>
      <c r="P31" s="856"/>
      <c r="Q31" s="856"/>
      <c r="R31" s="857"/>
      <c r="S31" s="858"/>
      <c r="T31" s="1910"/>
      <c r="U31" s="2038"/>
      <c r="V31" s="859">
        <f>-V30</f>
        <v>-19842800</v>
      </c>
      <c r="X31" s="852"/>
    </row>
    <row r="32" spans="4:28" s="710" customFormat="1" ht="18" customHeight="1">
      <c r="D32" s="651" t="s">
        <v>1355</v>
      </c>
      <c r="E32" s="652" t="s">
        <v>209</v>
      </c>
      <c r="F32" s="853">
        <v>294995310</v>
      </c>
      <c r="G32" s="853"/>
      <c r="H32" s="653"/>
      <c r="I32" s="653"/>
      <c r="J32" s="854">
        <v>20593687255</v>
      </c>
      <c r="K32" s="855"/>
      <c r="L32" s="909"/>
      <c r="M32" s="856"/>
      <c r="N32" s="857"/>
      <c r="O32" s="858"/>
      <c r="P32" s="856"/>
      <c r="Q32" s="856"/>
      <c r="R32" s="857"/>
      <c r="S32" s="858"/>
      <c r="T32" s="1910"/>
      <c r="U32" s="2038"/>
      <c r="V32" s="859">
        <f>-V31</f>
        <v>19842800</v>
      </c>
      <c r="X32" s="852"/>
    </row>
    <row r="33" spans="4:24" s="710" customFormat="1" ht="18" customHeight="1" thickBot="1">
      <c r="D33" s="910" t="s">
        <v>478</v>
      </c>
      <c r="E33" s="911" t="s">
        <v>421</v>
      </c>
      <c r="F33" s="912">
        <v>-294995310</v>
      </c>
      <c r="G33" s="912"/>
      <c r="H33" s="913"/>
      <c r="I33" s="913"/>
      <c r="J33" s="914">
        <v>-20593687255</v>
      </c>
      <c r="K33" s="915"/>
      <c r="L33" s="916"/>
      <c r="M33" s="917"/>
      <c r="N33" s="918"/>
      <c r="O33" s="919"/>
      <c r="P33" s="917"/>
      <c r="Q33" s="917"/>
      <c r="R33" s="918"/>
      <c r="S33" s="919"/>
      <c r="T33" s="1916"/>
      <c r="U33" s="2044"/>
      <c r="V33" s="920">
        <f>-V32</f>
        <v>-19842800</v>
      </c>
      <c r="X33" s="921"/>
    </row>
    <row r="34" spans="4:24" ht="18" customHeight="1">
      <c r="D34" s="562"/>
    </row>
    <row r="35" spans="4:24" ht="18" customHeight="1">
      <c r="D35" s="562"/>
    </row>
  </sheetData>
  <autoFilter ref="D5:N16" xr:uid="{00000000-0009-0000-0000-00001C000000}"/>
  <phoneticPr fontId="22" type="noConversion"/>
  <pageMargins left="0.7" right="0.7" top="0.75" bottom="0.75" header="0.3" footer="0.3"/>
  <pageSetup paperSize="9" orientation="portrait" r:id="rId1"/>
  <ignoredErrors>
    <ignoredError sqref="D9:E33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7"/>
  <dimension ref="D4:X29"/>
  <sheetViews>
    <sheetView workbookViewId="0">
      <pane xSplit="5" ySplit="8" topLeftCell="F9" activePane="bottomRight" state="frozen"/>
      <selection pane="topRight" activeCell="F1" sqref="F1"/>
      <selection pane="bottomLeft" activeCell="A7" sqref="A7"/>
      <selection pane="bottomRight" activeCell="H28" sqref="H28"/>
    </sheetView>
  </sheetViews>
  <sheetFormatPr defaultColWidth="8.75" defaultRowHeight="18" customHeight="1"/>
  <cols>
    <col min="1" max="3" width="2.375" style="3" customWidth="1"/>
    <col min="4" max="4" width="20.375" style="3" customWidth="1"/>
    <col min="5" max="5" width="26.375" style="3" bestFit="1" customWidth="1"/>
    <col min="6" max="6" width="20.375" style="5" customWidth="1"/>
    <col min="7" max="14" width="13.125" style="5" customWidth="1"/>
    <col min="15" max="24" width="13.125" style="3" customWidth="1"/>
    <col min="25" max="16384" width="8.75" style="3"/>
  </cols>
  <sheetData>
    <row r="4" spans="4:24" s="2" customFormat="1" ht="18" customHeight="1">
      <c r="D4" s="2" t="s">
        <v>428</v>
      </c>
      <c r="E4" s="2" t="s">
        <v>429</v>
      </c>
      <c r="F4" s="4"/>
      <c r="G4" s="4"/>
      <c r="H4" s="4"/>
      <c r="I4" s="4"/>
      <c r="J4" s="5"/>
      <c r="K4" s="4"/>
      <c r="L4" s="4"/>
      <c r="M4" s="4"/>
      <c r="N4" s="4"/>
    </row>
    <row r="5" spans="4:24" s="2" customFormat="1" ht="18" customHeight="1">
      <c r="D5" s="2" t="s">
        <v>1601</v>
      </c>
      <c r="F5" s="4"/>
      <c r="G5" s="4"/>
      <c r="H5" s="4"/>
      <c r="I5" s="4"/>
      <c r="J5" s="5"/>
      <c r="K5" s="4"/>
      <c r="L5" s="4"/>
      <c r="M5" s="4"/>
      <c r="N5" s="4"/>
    </row>
    <row r="6" spans="4:24" s="2" customFormat="1" ht="18" customHeight="1">
      <c r="F6" s="4"/>
      <c r="G6" s="4"/>
      <c r="H6" s="4"/>
      <c r="I6" s="4"/>
      <c r="J6" s="5"/>
      <c r="K6" s="4"/>
      <c r="L6" s="4"/>
      <c r="M6" s="4"/>
      <c r="N6" s="4"/>
    </row>
    <row r="7" spans="4:24" s="2" customFormat="1" ht="18" customHeight="1" thickBot="1">
      <c r="D7" s="2" t="s">
        <v>453</v>
      </c>
      <c r="F7" s="4"/>
      <c r="G7" s="4"/>
      <c r="H7" s="4"/>
      <c r="I7" s="4"/>
      <c r="J7" s="5"/>
      <c r="K7" s="4"/>
      <c r="L7" s="4"/>
      <c r="M7" s="4"/>
      <c r="N7" s="4"/>
    </row>
    <row r="8" spans="4:24" s="1" customFormat="1" ht="18" customHeight="1">
      <c r="D8" s="50" t="s">
        <v>393</v>
      </c>
      <c r="E8" s="51" t="s">
        <v>19</v>
      </c>
      <c r="F8" s="51" t="s">
        <v>430</v>
      </c>
      <c r="G8" s="51" t="s">
        <v>431</v>
      </c>
      <c r="H8" s="51" t="s">
        <v>432</v>
      </c>
      <c r="I8" s="51" t="s">
        <v>433</v>
      </c>
      <c r="J8" s="51" t="s">
        <v>434</v>
      </c>
      <c r="K8" s="51" t="s">
        <v>435</v>
      </c>
      <c r="L8" s="51" t="s">
        <v>436</v>
      </c>
      <c r="M8" s="51" t="s">
        <v>437</v>
      </c>
      <c r="N8" s="51" t="s">
        <v>438</v>
      </c>
      <c r="O8" s="51" t="s">
        <v>439</v>
      </c>
      <c r="P8" s="51" t="s">
        <v>440</v>
      </c>
      <c r="Q8" s="51" t="s">
        <v>441</v>
      </c>
      <c r="R8" s="51" t="s">
        <v>442</v>
      </c>
      <c r="S8" s="51" t="s">
        <v>443</v>
      </c>
      <c r="T8" s="51" t="s">
        <v>444</v>
      </c>
      <c r="U8" s="51" t="s">
        <v>445</v>
      </c>
      <c r="V8" s="51" t="s">
        <v>446</v>
      </c>
      <c r="W8" s="51" t="s">
        <v>447</v>
      </c>
      <c r="X8" s="52" t="s">
        <v>448</v>
      </c>
    </row>
    <row r="9" spans="4:24" ht="18" customHeight="1">
      <c r="D9" s="53"/>
      <c r="E9" s="54" t="s">
        <v>449</v>
      </c>
      <c r="F9" s="39">
        <v>652725000</v>
      </c>
      <c r="G9" s="39"/>
      <c r="H9" s="39">
        <f>$F$9-H10</f>
        <v>630967500</v>
      </c>
      <c r="I9" s="39">
        <f>$H$9-I10</f>
        <v>614649375</v>
      </c>
      <c r="J9" s="39">
        <f>$H$9-J10-I10</f>
        <v>598331250</v>
      </c>
      <c r="K9" s="39">
        <f>$H$9-K10-I10-J10</f>
        <v>582013125</v>
      </c>
      <c r="L9" s="39">
        <f>$H$9-L10-SUM(I10:K10)</f>
        <v>565695000</v>
      </c>
      <c r="M9" s="39">
        <f>$L$9-M10</f>
        <v>549376875</v>
      </c>
      <c r="N9" s="39">
        <f>$L$9-N10-M10</f>
        <v>533058750</v>
      </c>
      <c r="O9" s="39">
        <f>$L$9-O10-N10-M10</f>
        <v>516740625</v>
      </c>
      <c r="P9" s="39">
        <f>$L$9-P10-M10-N10-O10</f>
        <v>500422500</v>
      </c>
      <c r="Q9" s="54"/>
      <c r="R9" s="54"/>
      <c r="S9" s="54"/>
      <c r="T9" s="54"/>
      <c r="U9" s="54"/>
      <c r="V9" s="54"/>
      <c r="W9" s="54"/>
      <c r="X9" s="55"/>
    </row>
    <row r="10" spans="4:24" ht="18" customHeight="1">
      <c r="D10" s="53"/>
      <c r="E10" s="54" t="s">
        <v>450</v>
      </c>
      <c r="F10" s="40"/>
      <c r="G10" s="39">
        <v>120</v>
      </c>
      <c r="H10" s="39">
        <v>21757500</v>
      </c>
      <c r="I10" s="39">
        <f>ROUND($F$9/$G$10*3,0)</f>
        <v>16318125</v>
      </c>
      <c r="J10" s="39">
        <f t="shared" ref="J10:L11" si="0">I10</f>
        <v>16318125</v>
      </c>
      <c r="K10" s="39">
        <f t="shared" si="0"/>
        <v>16318125</v>
      </c>
      <c r="L10" s="39">
        <f t="shared" si="0"/>
        <v>16318125</v>
      </c>
      <c r="M10" s="39">
        <f>I10</f>
        <v>16318125</v>
      </c>
      <c r="N10" s="39">
        <f t="shared" ref="N10:P11" si="1">J10</f>
        <v>16318125</v>
      </c>
      <c r="O10" s="39">
        <f t="shared" si="1"/>
        <v>16318125</v>
      </c>
      <c r="P10" s="39">
        <f t="shared" si="1"/>
        <v>16318125</v>
      </c>
      <c r="Q10" s="39"/>
      <c r="R10" s="39"/>
      <c r="S10" s="39"/>
      <c r="T10" s="39"/>
      <c r="U10" s="39"/>
      <c r="V10" s="39"/>
      <c r="W10" s="39"/>
      <c r="X10" s="56"/>
    </row>
    <row r="11" spans="4:24" ht="18" customHeight="1">
      <c r="D11" s="53"/>
      <c r="E11" s="54" t="s">
        <v>451</v>
      </c>
      <c r="F11" s="40">
        <v>0.34810000000000002</v>
      </c>
      <c r="G11" s="39"/>
      <c r="H11" s="39">
        <v>7573786</v>
      </c>
      <c r="I11" s="39">
        <f>ROUND($F$12/$G$10*3,0)</f>
        <v>5680339</v>
      </c>
      <c r="J11" s="39">
        <f t="shared" si="0"/>
        <v>5680339</v>
      </c>
      <c r="K11" s="39">
        <f t="shared" si="0"/>
        <v>5680339</v>
      </c>
      <c r="L11" s="39">
        <f t="shared" si="0"/>
        <v>5680339</v>
      </c>
      <c r="M11" s="39">
        <f>I11</f>
        <v>5680339</v>
      </c>
      <c r="N11" s="39">
        <f t="shared" si="1"/>
        <v>5680339</v>
      </c>
      <c r="O11" s="39">
        <f t="shared" si="1"/>
        <v>5680339</v>
      </c>
      <c r="P11" s="39">
        <f t="shared" si="1"/>
        <v>5680339</v>
      </c>
      <c r="Q11" s="39"/>
      <c r="R11" s="39"/>
      <c r="S11" s="39"/>
      <c r="T11" s="39"/>
      <c r="U11" s="39"/>
      <c r="V11" s="39"/>
      <c r="W11" s="39"/>
      <c r="X11" s="56"/>
    </row>
    <row r="12" spans="4:24" ht="18" customHeight="1" thickBot="1">
      <c r="D12" s="57"/>
      <c r="E12" s="58" t="s">
        <v>452</v>
      </c>
      <c r="F12" s="59">
        <f>ROUND(F9*F11,0)</f>
        <v>227213573</v>
      </c>
      <c r="G12" s="59"/>
      <c r="H12" s="59">
        <f>$F$12-H11</f>
        <v>219639787</v>
      </c>
      <c r="I12" s="59">
        <f>H12-I11</f>
        <v>213959448</v>
      </c>
      <c r="J12" s="59">
        <f>H12-J11-I11</f>
        <v>208279109</v>
      </c>
      <c r="K12" s="59">
        <f>$H$12-K11-J11-I11</f>
        <v>202598770</v>
      </c>
      <c r="L12" s="59">
        <f>$H$12-L11-K11-J11-I11</f>
        <v>196918431</v>
      </c>
      <c r="M12" s="59">
        <f>L12-M11</f>
        <v>191238092</v>
      </c>
      <c r="N12" s="59">
        <f>L12-N11-M11</f>
        <v>185557753</v>
      </c>
      <c r="O12" s="59">
        <f>L12-O11-M11-N11</f>
        <v>179877414</v>
      </c>
      <c r="P12" s="59">
        <f>L12-P11-SUM(M11:O11)</f>
        <v>174197075</v>
      </c>
      <c r="Q12" s="59"/>
      <c r="R12" s="59"/>
      <c r="S12" s="59"/>
      <c r="T12" s="59"/>
      <c r="U12" s="59"/>
      <c r="V12" s="59"/>
      <c r="W12" s="59"/>
      <c r="X12" s="60"/>
    </row>
    <row r="13" spans="4:24" ht="18" customHeight="1">
      <c r="H13" s="95"/>
    </row>
    <row r="14" spans="4:24" s="2" customFormat="1" ht="18" customHeight="1" thickBot="1">
      <c r="D14" s="2" t="s">
        <v>454</v>
      </c>
      <c r="F14" s="4"/>
      <c r="G14" s="4"/>
      <c r="H14" s="4"/>
      <c r="I14" s="4"/>
      <c r="J14" s="5"/>
      <c r="K14" s="4"/>
      <c r="L14" s="4"/>
      <c r="M14" s="4" t="s">
        <v>1600</v>
      </c>
      <c r="N14" s="4"/>
    </row>
    <row r="15" spans="4:24" s="1" customFormat="1" ht="18" customHeight="1">
      <c r="D15" s="61" t="s">
        <v>393</v>
      </c>
      <c r="E15" s="2154" t="s">
        <v>19</v>
      </c>
      <c r="F15" s="2154" t="s">
        <v>430</v>
      </c>
      <c r="G15" s="2154" t="s">
        <v>431</v>
      </c>
      <c r="H15" s="62" t="s">
        <v>432</v>
      </c>
      <c r="I15" s="62" t="s">
        <v>433</v>
      </c>
      <c r="J15" s="62" t="s">
        <v>434</v>
      </c>
      <c r="K15" s="62" t="s">
        <v>435</v>
      </c>
      <c r="L15" s="62" t="s">
        <v>436</v>
      </c>
      <c r="M15" s="62" t="s">
        <v>437</v>
      </c>
      <c r="N15" s="62" t="s">
        <v>438</v>
      </c>
      <c r="O15" s="62" t="s">
        <v>439</v>
      </c>
      <c r="P15" s="62" t="s">
        <v>440</v>
      </c>
      <c r="Q15" s="62" t="s">
        <v>441</v>
      </c>
      <c r="R15" s="62" t="s">
        <v>442</v>
      </c>
      <c r="S15" s="62" t="s">
        <v>443</v>
      </c>
      <c r="T15" s="62" t="s">
        <v>444</v>
      </c>
      <c r="U15" s="62" t="s">
        <v>445</v>
      </c>
      <c r="V15" s="62" t="s">
        <v>446</v>
      </c>
      <c r="W15" s="62" t="s">
        <v>447</v>
      </c>
      <c r="X15" s="63" t="s">
        <v>448</v>
      </c>
    </row>
    <row r="16" spans="4:24" s="1" customFormat="1" ht="18" customHeight="1">
      <c r="D16" s="64" t="s">
        <v>455</v>
      </c>
      <c r="E16" s="2155"/>
      <c r="F16" s="2155"/>
      <c r="G16" s="2155"/>
      <c r="H16" s="65">
        <v>9.4910999999999994</v>
      </c>
      <c r="I16" s="65">
        <v>10.0146</v>
      </c>
      <c r="J16" s="65">
        <v>10.1479</v>
      </c>
      <c r="K16" s="65">
        <v>9.8117000000000001</v>
      </c>
      <c r="L16" s="65">
        <v>10.1318</v>
      </c>
      <c r="M16" s="65">
        <v>10.282400000000001</v>
      </c>
      <c r="N16" s="65">
        <v>10.733499999999999</v>
      </c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 spans="4:24" s="1" customFormat="1" ht="18" customHeight="1">
      <c r="D17" s="64" t="s">
        <v>456</v>
      </c>
      <c r="E17" s="2156"/>
      <c r="F17" s="2156"/>
      <c r="G17" s="2156"/>
      <c r="H17" s="65">
        <v>9.9062999999999999</v>
      </c>
      <c r="I17" s="65">
        <v>9.8903999999999996</v>
      </c>
      <c r="J17" s="65">
        <v>9.8918999999999997</v>
      </c>
      <c r="K17" s="65">
        <v>9.952</v>
      </c>
      <c r="L17" s="65">
        <v>9.9626999999999999</v>
      </c>
      <c r="M17" s="65">
        <v>10.219900000000001</v>
      </c>
      <c r="N17" s="65">
        <v>10.416499999999999</v>
      </c>
      <c r="O17" s="66"/>
      <c r="P17" s="66"/>
      <c r="Q17" s="66"/>
      <c r="R17" s="66"/>
      <c r="S17" s="66"/>
      <c r="T17" s="66"/>
      <c r="U17" s="66"/>
      <c r="V17" s="66"/>
      <c r="W17" s="66"/>
      <c r="X17" s="67"/>
    </row>
    <row r="18" spans="4:24" ht="18" customHeight="1">
      <c r="D18" s="68">
        <v>10020617</v>
      </c>
      <c r="E18" s="69" t="s">
        <v>449</v>
      </c>
      <c r="F18" s="34">
        <v>6676985115</v>
      </c>
      <c r="G18" s="34"/>
      <c r="H18" s="34">
        <f>ROUND(H9*H16,0)</f>
        <v>5988575639</v>
      </c>
      <c r="I18" s="34">
        <f t="shared" ref="I18:L19" si="2">ROUND(I9*I16,0)</f>
        <v>6155467631</v>
      </c>
      <c r="J18" s="34">
        <f t="shared" si="2"/>
        <v>6071805692</v>
      </c>
      <c r="K18" s="34">
        <f t="shared" si="2"/>
        <v>5710538179</v>
      </c>
      <c r="L18" s="34">
        <f>ROUND(L9*L16,0)</f>
        <v>5731508601</v>
      </c>
      <c r="M18" s="34">
        <f>L18-M19</f>
        <v>5566176622.125</v>
      </c>
      <c r="N18" s="34">
        <f>M18-N19</f>
        <v>5400844643.25</v>
      </c>
      <c r="O18" s="34">
        <f>N18-O19</f>
        <v>5235512664.375</v>
      </c>
      <c r="P18" s="34">
        <f>O18-P19</f>
        <v>5070180685.5</v>
      </c>
      <c r="Q18" s="69"/>
      <c r="R18" s="69"/>
      <c r="S18" s="69"/>
      <c r="T18" s="69"/>
      <c r="U18" s="69"/>
      <c r="V18" s="69"/>
      <c r="W18" s="69"/>
      <c r="X18" s="70"/>
    </row>
    <row r="19" spans="4:24" ht="18" customHeight="1">
      <c r="D19" s="68">
        <v>40040114</v>
      </c>
      <c r="E19" s="69" t="s">
        <v>450</v>
      </c>
      <c r="F19" s="71"/>
      <c r="G19" s="34">
        <v>120</v>
      </c>
      <c r="H19" s="34">
        <f>ROUND(H10*H17,0)</f>
        <v>215536322</v>
      </c>
      <c r="I19" s="34">
        <f t="shared" si="2"/>
        <v>161392784</v>
      </c>
      <c r="J19" s="34">
        <f t="shared" si="2"/>
        <v>161417261</v>
      </c>
      <c r="K19" s="34">
        <f t="shared" si="2"/>
        <v>162397980</v>
      </c>
      <c r="L19" s="34">
        <f t="shared" si="2"/>
        <v>162572584</v>
      </c>
      <c r="M19" s="34">
        <f>L18/104*3</f>
        <v>165331978.875</v>
      </c>
      <c r="N19" s="34">
        <f t="shared" ref="N19:P20" si="3">M19</f>
        <v>165331978.875</v>
      </c>
      <c r="O19" s="34">
        <f t="shared" si="3"/>
        <v>165331978.875</v>
      </c>
      <c r="P19" s="34">
        <f t="shared" si="3"/>
        <v>165331978.875</v>
      </c>
      <c r="Q19" s="34"/>
      <c r="R19" s="34"/>
      <c r="S19" s="34"/>
      <c r="T19" s="34"/>
      <c r="U19" s="34"/>
      <c r="V19" s="34"/>
      <c r="W19" s="34"/>
      <c r="X19" s="35"/>
    </row>
    <row r="20" spans="4:24" ht="18" customHeight="1">
      <c r="D20" s="68">
        <v>40080101</v>
      </c>
      <c r="E20" s="69" t="s">
        <v>451</v>
      </c>
      <c r="F20" s="71">
        <v>0.34810000000000002</v>
      </c>
      <c r="G20" s="34"/>
      <c r="H20" s="34">
        <f>ROUND(H11*H17,0)</f>
        <v>75028196</v>
      </c>
      <c r="I20" s="34">
        <f>ROUND(I11*I17,0)</f>
        <v>56180825</v>
      </c>
      <c r="J20" s="34">
        <f>ROUND(J11*J17,0)</f>
        <v>56189345</v>
      </c>
      <c r="K20" s="34">
        <f>ROUND(K11*K17,0)</f>
        <v>56530734</v>
      </c>
      <c r="L20" s="34">
        <f>ROUND(L11*L17,0)</f>
        <v>56591513</v>
      </c>
      <c r="M20" s="34">
        <f>L21/104*3</f>
        <v>57552062.278846152</v>
      </c>
      <c r="N20" s="34">
        <f t="shared" si="3"/>
        <v>57552062.278846152</v>
      </c>
      <c r="O20" s="34">
        <f t="shared" si="3"/>
        <v>57552062.278846152</v>
      </c>
      <c r="P20" s="34">
        <f t="shared" si="3"/>
        <v>57552062.278846152</v>
      </c>
      <c r="Q20" s="34"/>
      <c r="R20" s="34"/>
      <c r="S20" s="34"/>
      <c r="T20" s="34"/>
      <c r="U20" s="34"/>
      <c r="V20" s="34"/>
      <c r="W20" s="34"/>
      <c r="X20" s="35"/>
    </row>
    <row r="21" spans="4:24" ht="18" customHeight="1">
      <c r="D21" s="68">
        <v>20020501</v>
      </c>
      <c r="E21" s="69" t="s">
        <v>452</v>
      </c>
      <c r="F21" s="34">
        <v>2324258519</v>
      </c>
      <c r="G21" s="34"/>
      <c r="H21" s="34">
        <f>ROUND(H12*H16,0)</f>
        <v>2084623182</v>
      </c>
      <c r="I21" s="34">
        <f>ROUND(I12*I16,0)</f>
        <v>2142718288</v>
      </c>
      <c r="J21" s="34">
        <f>ROUND(J12*J16,0)</f>
        <v>2113595570</v>
      </c>
      <c r="K21" s="34">
        <f>ROUND(K12*K16,0)</f>
        <v>1987838352</v>
      </c>
      <c r="L21" s="34">
        <f>ROUND(L12*L16,0)</f>
        <v>1995138159</v>
      </c>
      <c r="M21" s="34">
        <f>L21-M20</f>
        <v>1937586096.7211537</v>
      </c>
      <c r="N21" s="34">
        <f>M21-N20</f>
        <v>1880034034.4423075</v>
      </c>
      <c r="O21" s="34">
        <f>N21-O20</f>
        <v>1822481972.1634612</v>
      </c>
      <c r="P21" s="34">
        <f>O21-P20</f>
        <v>1764929909.8846149</v>
      </c>
      <c r="Q21" s="34"/>
      <c r="R21" s="34"/>
      <c r="S21" s="34"/>
      <c r="T21" s="34"/>
      <c r="U21" s="34"/>
      <c r="V21" s="34"/>
      <c r="W21" s="34"/>
      <c r="X21" s="35"/>
    </row>
    <row r="22" spans="4:24" ht="18" customHeight="1" thickBot="1">
      <c r="D22" s="72" t="s">
        <v>203</v>
      </c>
      <c r="E22" s="73" t="s">
        <v>204</v>
      </c>
      <c r="F22" s="37"/>
      <c r="G22" s="37"/>
      <c r="H22" s="37">
        <f>SUM(H18:H19)-F18+F21-H21-H20</f>
        <v>-308266013</v>
      </c>
      <c r="I22" s="37">
        <f t="shared" ref="I22:N22" si="4">SUM(I18:I19)-H18+H21-I21-I20</f>
        <v>214008845</v>
      </c>
      <c r="J22" s="37">
        <f t="shared" si="4"/>
        <v>50688695</v>
      </c>
      <c r="K22" s="37">
        <f t="shared" si="4"/>
        <v>-129643049</v>
      </c>
      <c r="L22" s="37">
        <f t="shared" si="4"/>
        <v>119651686</v>
      </c>
      <c r="M22" s="37">
        <f t="shared" si="4"/>
        <v>1.1175870895385742E-7</v>
      </c>
      <c r="N22" s="37">
        <f t="shared" si="4"/>
        <v>1.1175870895385742E-7</v>
      </c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 spans="4:24" ht="18" customHeight="1">
      <c r="D23" s="23"/>
      <c r="H23" s="95"/>
    </row>
    <row r="24" spans="4:24" ht="18" customHeight="1">
      <c r="D24" s="23"/>
    </row>
    <row r="25" spans="4:24" ht="18" customHeight="1">
      <c r="D25" s="23"/>
    </row>
    <row r="26" spans="4:24" ht="18" customHeight="1">
      <c r="D26" s="23"/>
    </row>
    <row r="27" spans="4:24" ht="18" customHeight="1">
      <c r="D27" s="23"/>
    </row>
    <row r="28" spans="4:24" ht="18" customHeight="1">
      <c r="D28" s="23"/>
    </row>
    <row r="29" spans="4:24" ht="18" customHeight="1">
      <c r="D29" s="23"/>
    </row>
  </sheetData>
  <mergeCells count="3">
    <mergeCell ref="E15:E17"/>
    <mergeCell ref="F15:F17"/>
    <mergeCell ref="G15:G17"/>
  </mergeCells>
  <phoneticPr fontId="2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6">
    <tabColor rgb="FFFFFF00"/>
  </sheetPr>
  <dimension ref="D2:AE40"/>
  <sheetViews>
    <sheetView showGridLines="0" zoomScale="80" zoomScaleNormal="80" workbookViewId="0">
      <pane xSplit="5" ySplit="5" topLeftCell="F6" activePane="bottomRight" state="frozen"/>
      <selection activeCell="V34" sqref="V34"/>
      <selection pane="topRight" activeCell="V34" sqref="V34"/>
      <selection pane="bottomLeft" activeCell="V34" sqref="V34"/>
      <selection pane="bottomRight" activeCell="V34" sqref="V34"/>
    </sheetView>
  </sheetViews>
  <sheetFormatPr defaultColWidth="8.75" defaultRowHeight="18" customHeight="1" outlineLevelCol="1"/>
  <cols>
    <col min="1" max="3" width="2.375" style="770" customWidth="1"/>
    <col min="4" max="4" width="20.375" style="770" customWidth="1"/>
    <col min="5" max="5" width="27.625" style="770" customWidth="1"/>
    <col min="6" max="6" width="20.375" style="498" customWidth="1"/>
    <col min="7" max="7" width="13.625" style="498" customWidth="1"/>
    <col min="8" max="14" width="13.625" style="498" hidden="1" customWidth="1" outlineLevel="1"/>
    <col min="15" max="16" width="13.625" style="770" hidden="1" customWidth="1" outlineLevel="1"/>
    <col min="17" max="20" width="15.625" style="770" hidden="1" customWidth="1" outlineLevel="1"/>
    <col min="21" max="21" width="15.625" style="770" customWidth="1" collapsed="1"/>
    <col min="22" max="28" width="15.625" style="770" customWidth="1"/>
    <col min="29" max="29" width="10.125" style="770" bestFit="1" customWidth="1"/>
    <col min="30" max="30" width="8.75" style="770"/>
    <col min="31" max="31" width="12.125" style="770" bestFit="1" customWidth="1"/>
    <col min="32" max="16384" width="8.75" style="770"/>
  </cols>
  <sheetData>
    <row r="2" spans="4:29" ht="18" customHeight="1">
      <c r="E2" s="771" t="s">
        <v>2017</v>
      </c>
    </row>
    <row r="3" spans="4:29" s="772" customFormat="1" ht="18" customHeight="1">
      <c r="D3" s="772" t="s">
        <v>428</v>
      </c>
      <c r="E3" s="772" t="s">
        <v>429</v>
      </c>
      <c r="F3" s="494"/>
      <c r="G3" s="494"/>
      <c r="H3" s="494"/>
      <c r="I3" s="494"/>
      <c r="J3" s="498"/>
      <c r="K3" s="494"/>
      <c r="L3" s="494"/>
      <c r="M3" s="494"/>
      <c r="N3" s="494"/>
    </row>
    <row r="4" spans="4:29" s="772" customFormat="1" ht="18" customHeight="1" thickBot="1">
      <c r="D4" s="772" t="s">
        <v>453</v>
      </c>
      <c r="F4" s="494"/>
      <c r="G4" s="494"/>
      <c r="H4" s="494"/>
      <c r="I4" s="494"/>
      <c r="J4" s="498"/>
      <c r="K4" s="494"/>
      <c r="L4" s="494"/>
      <c r="M4" s="494"/>
      <c r="N4" s="494"/>
    </row>
    <row r="5" spans="4:29" s="778" customFormat="1" ht="18" customHeight="1">
      <c r="D5" s="773" t="s">
        <v>393</v>
      </c>
      <c r="E5" s="774" t="s">
        <v>19</v>
      </c>
      <c r="F5" s="775" t="s">
        <v>430</v>
      </c>
      <c r="G5" s="775" t="s">
        <v>431</v>
      </c>
      <c r="H5" s="775" t="s">
        <v>2343</v>
      </c>
      <c r="I5" s="775" t="s">
        <v>2348</v>
      </c>
      <c r="J5" s="775" t="s">
        <v>2344</v>
      </c>
      <c r="K5" s="775" t="s">
        <v>2345</v>
      </c>
      <c r="L5" s="775" t="s">
        <v>2347</v>
      </c>
      <c r="M5" s="775" t="s">
        <v>2351</v>
      </c>
      <c r="N5" s="775" t="s">
        <v>2352</v>
      </c>
      <c r="O5" s="775" t="s">
        <v>2354</v>
      </c>
      <c r="P5" s="775" t="s">
        <v>2356</v>
      </c>
      <c r="Q5" s="775" t="s">
        <v>2467</v>
      </c>
      <c r="R5" s="775" t="s">
        <v>2468</v>
      </c>
      <c r="S5" s="775" t="s">
        <v>2469</v>
      </c>
      <c r="T5" s="775" t="s">
        <v>2470</v>
      </c>
      <c r="U5" s="775" t="s">
        <v>2471</v>
      </c>
      <c r="V5" s="775" t="s">
        <v>2472</v>
      </c>
      <c r="W5" s="775" t="s">
        <v>2473</v>
      </c>
      <c r="X5" s="775" t="s">
        <v>2466</v>
      </c>
      <c r="Y5" s="776" t="s">
        <v>2574</v>
      </c>
      <c r="Z5" s="776" t="s">
        <v>2812</v>
      </c>
      <c r="AA5" s="776" t="s">
        <v>2895</v>
      </c>
      <c r="AB5" s="777" t="str">
        <f>'5.0'!V5</f>
        <v>FY2022.Q4</v>
      </c>
    </row>
    <row r="6" spans="4:29" s="778" customFormat="1" ht="18" customHeight="1">
      <c r="D6" s="779"/>
      <c r="E6" s="780" t="s">
        <v>1904</v>
      </c>
      <c r="F6" s="781"/>
      <c r="G6" s="781"/>
      <c r="H6" s="781"/>
      <c r="I6" s="781"/>
      <c r="J6" s="781"/>
      <c r="K6" s="781"/>
      <c r="L6" s="781"/>
      <c r="M6" s="781"/>
      <c r="N6" s="781"/>
      <c r="O6" s="781"/>
      <c r="P6" s="781"/>
      <c r="Q6" s="781"/>
      <c r="R6" s="781"/>
      <c r="S6" s="781"/>
      <c r="T6" s="782">
        <f>F10</f>
        <v>652725000</v>
      </c>
      <c r="U6" s="783">
        <f>T6</f>
        <v>652725000</v>
      </c>
      <c r="V6" s="782">
        <v>652725000</v>
      </c>
      <c r="W6" s="782">
        <v>652725000</v>
      </c>
      <c r="X6" s="784">
        <v>652725000</v>
      </c>
      <c r="Y6" s="784">
        <v>652725000</v>
      </c>
      <c r="Z6" s="784">
        <v>652725000</v>
      </c>
      <c r="AA6" s="784">
        <v>652725000</v>
      </c>
      <c r="AB6" s="785">
        <v>652725000</v>
      </c>
    </row>
    <row r="7" spans="4:29" s="778" customFormat="1" ht="18" customHeight="1">
      <c r="D7" s="779"/>
      <c r="E7" s="780" t="s">
        <v>1908</v>
      </c>
      <c r="F7" s="781"/>
      <c r="G7" s="781"/>
      <c r="H7" s="781"/>
      <c r="I7" s="781"/>
      <c r="J7" s="781"/>
      <c r="K7" s="781"/>
      <c r="L7" s="781"/>
      <c r="M7" s="781"/>
      <c r="N7" s="781"/>
      <c r="O7" s="781"/>
      <c r="P7" s="781"/>
      <c r="Q7" s="781"/>
      <c r="R7" s="781"/>
      <c r="S7" s="781"/>
      <c r="T7" s="786">
        <f>-SUM(H11:T11)</f>
        <v>-217575000</v>
      </c>
      <c r="U7" s="787">
        <f>T7-U11</f>
        <v>-217575000</v>
      </c>
      <c r="V7" s="786">
        <v>-217575000</v>
      </c>
      <c r="W7" s="786">
        <v>-217575000</v>
      </c>
      <c r="X7" s="788">
        <v>-217575000</v>
      </c>
      <c r="Y7" s="788">
        <v>-217575000</v>
      </c>
      <c r="Z7" s="788">
        <v>-217575000</v>
      </c>
      <c r="AA7" s="788">
        <v>-217575000</v>
      </c>
      <c r="AB7" s="785">
        <v>-217575000</v>
      </c>
    </row>
    <row r="8" spans="4:29" s="778" customFormat="1" ht="18" customHeight="1">
      <c r="D8" s="779"/>
      <c r="E8" s="780" t="s">
        <v>2034</v>
      </c>
      <c r="F8" s="781"/>
      <c r="G8" s="781"/>
      <c r="H8" s="781"/>
      <c r="I8" s="781"/>
      <c r="J8" s="781"/>
      <c r="K8" s="781"/>
      <c r="L8" s="781"/>
      <c r="M8" s="781"/>
      <c r="N8" s="781"/>
      <c r="O8" s="781"/>
      <c r="P8" s="781"/>
      <c r="Q8" s="781"/>
      <c r="R8" s="781"/>
      <c r="S8" s="781"/>
      <c r="T8" s="786">
        <f>-T6-T7</f>
        <v>-435150000</v>
      </c>
      <c r="U8" s="787">
        <f>T8</f>
        <v>-435150000</v>
      </c>
      <c r="V8" s="786">
        <v>-435150000</v>
      </c>
      <c r="W8" s="786">
        <v>-435150000</v>
      </c>
      <c r="X8" s="788">
        <v>-435150000</v>
      </c>
      <c r="Y8" s="788">
        <v>-435150000</v>
      </c>
      <c r="Z8" s="788">
        <v>-435150000</v>
      </c>
      <c r="AA8" s="788">
        <v>-435150000</v>
      </c>
      <c r="AB8" s="785">
        <v>-435150000</v>
      </c>
    </row>
    <row r="9" spans="4:29" s="778" customFormat="1" ht="18" customHeight="1">
      <c r="D9" s="779"/>
      <c r="E9" s="789" t="s">
        <v>2036</v>
      </c>
      <c r="F9" s="781"/>
      <c r="G9" s="781"/>
      <c r="H9" s="781"/>
      <c r="I9" s="781"/>
      <c r="J9" s="781"/>
      <c r="K9" s="781"/>
      <c r="L9" s="781"/>
      <c r="M9" s="781"/>
      <c r="N9" s="781"/>
      <c r="O9" s="781"/>
      <c r="P9" s="781"/>
      <c r="Q9" s="781"/>
      <c r="R9" s="781"/>
      <c r="S9" s="781"/>
      <c r="T9" s="782">
        <f>T6+T7+T8</f>
        <v>0</v>
      </c>
      <c r="U9" s="782">
        <f>U6+U7+U8</f>
        <v>0</v>
      </c>
      <c r="V9" s="782">
        <v>0</v>
      </c>
      <c r="W9" s="790"/>
      <c r="X9" s="791"/>
      <c r="Y9" s="791"/>
      <c r="Z9" s="791"/>
      <c r="AA9" s="791"/>
      <c r="AB9" s="785"/>
    </row>
    <row r="10" spans="4:29" ht="18" customHeight="1">
      <c r="D10" s="792"/>
      <c r="E10" s="793" t="s">
        <v>449</v>
      </c>
      <c r="F10" s="794">
        <v>652725000</v>
      </c>
      <c r="G10" s="794"/>
      <c r="H10" s="794">
        <f>$F$10-H11</f>
        <v>630967500</v>
      </c>
      <c r="I10" s="794">
        <f>$H$10-I11</f>
        <v>614649375</v>
      </c>
      <c r="J10" s="794">
        <f>$H$10-J11-I11</f>
        <v>598331250</v>
      </c>
      <c r="K10" s="794">
        <f>$H$10-K11-I11-J11</f>
        <v>582013125</v>
      </c>
      <c r="L10" s="794">
        <f>$H$10-L11-SUM(I11:K11)</f>
        <v>565695000</v>
      </c>
      <c r="M10" s="794">
        <f>$L$10-M11</f>
        <v>549376875</v>
      </c>
      <c r="N10" s="794">
        <f>$L$10-N11-M11</f>
        <v>533058750</v>
      </c>
      <c r="O10" s="794">
        <f>$L$10-O11-N11-M11</f>
        <v>516740625</v>
      </c>
      <c r="P10" s="794">
        <f>$L$10-P11-M11-N11-O11</f>
        <v>500422500</v>
      </c>
      <c r="Q10" s="794">
        <f>$P$10-Q11</f>
        <v>484104375</v>
      </c>
      <c r="R10" s="794">
        <f>$Q$10-R11</f>
        <v>467786250</v>
      </c>
      <c r="S10" s="794">
        <f>$R$10-S11</f>
        <v>451468125</v>
      </c>
      <c r="T10" s="794">
        <f>$S$10-T11</f>
        <v>435150000</v>
      </c>
      <c r="U10" s="795"/>
      <c r="V10" s="795"/>
      <c r="W10" s="795"/>
      <c r="X10" s="796"/>
      <c r="Y10" s="796"/>
      <c r="Z10" s="796"/>
      <c r="AA10" s="796"/>
      <c r="AB10" s="797"/>
      <c r="AC10" s="498"/>
    </row>
    <row r="11" spans="4:29" ht="18" customHeight="1">
      <c r="D11" s="792"/>
      <c r="E11" s="793" t="s">
        <v>450</v>
      </c>
      <c r="F11" s="798"/>
      <c r="G11" s="794">
        <v>120</v>
      </c>
      <c r="H11" s="794">
        <v>21757500</v>
      </c>
      <c r="I11" s="794">
        <f>ROUND($F$10/$G$11*3,0)</f>
        <v>16318125</v>
      </c>
      <c r="J11" s="794">
        <f t="shared" ref="J11:L12" si="0">I11</f>
        <v>16318125</v>
      </c>
      <c r="K11" s="794">
        <f t="shared" si="0"/>
        <v>16318125</v>
      </c>
      <c r="L11" s="794">
        <f t="shared" si="0"/>
        <v>16318125</v>
      </c>
      <c r="M11" s="794">
        <f>I11</f>
        <v>16318125</v>
      </c>
      <c r="N11" s="794">
        <f t="shared" ref="N11:P12" si="1">J11</f>
        <v>16318125</v>
      </c>
      <c r="O11" s="794">
        <f t="shared" si="1"/>
        <v>16318125</v>
      </c>
      <c r="P11" s="794">
        <f t="shared" si="1"/>
        <v>16318125</v>
      </c>
      <c r="Q11" s="794">
        <f>ROUND(+P11/3*3,)</f>
        <v>16318125</v>
      </c>
      <c r="R11" s="794">
        <f>+ROUND(Q11,)</f>
        <v>16318125</v>
      </c>
      <c r="S11" s="794">
        <f>R11</f>
        <v>16318125</v>
      </c>
      <c r="T11" s="794">
        <f>S11</f>
        <v>16318125</v>
      </c>
      <c r="U11" s="794"/>
      <c r="V11" s="794"/>
      <c r="W11" s="794"/>
      <c r="X11" s="799"/>
      <c r="Y11" s="799"/>
      <c r="Z11" s="799"/>
      <c r="AA11" s="799"/>
      <c r="AB11" s="797"/>
    </row>
    <row r="12" spans="4:29" ht="18" customHeight="1">
      <c r="D12" s="792"/>
      <c r="E12" s="793" t="s">
        <v>451</v>
      </c>
      <c r="F12" s="798">
        <v>0.34810000000000002</v>
      </c>
      <c r="G12" s="794"/>
      <c r="H12" s="794">
        <v>7573786</v>
      </c>
      <c r="I12" s="794">
        <f>ROUND($F$13/$G$11*3,0)</f>
        <v>5680339</v>
      </c>
      <c r="J12" s="794">
        <f t="shared" si="0"/>
        <v>5680339</v>
      </c>
      <c r="K12" s="794">
        <f t="shared" si="0"/>
        <v>5680339</v>
      </c>
      <c r="L12" s="794">
        <f t="shared" si="0"/>
        <v>5680339</v>
      </c>
      <c r="M12" s="794">
        <f>I12</f>
        <v>5680339</v>
      </c>
      <c r="N12" s="794">
        <f t="shared" si="1"/>
        <v>5680339</v>
      </c>
      <c r="O12" s="794">
        <f t="shared" si="1"/>
        <v>5680339</v>
      </c>
      <c r="P12" s="794">
        <f t="shared" si="1"/>
        <v>5680339</v>
      </c>
      <c r="Q12" s="794">
        <f>ROUND(+P12/3*3,)</f>
        <v>5680339</v>
      </c>
      <c r="R12" s="794">
        <f>+ROUND(Q12,)</f>
        <v>5680339</v>
      </c>
      <c r="S12" s="794">
        <f>R12</f>
        <v>5680339</v>
      </c>
      <c r="T12" s="794">
        <f>S13</f>
        <v>157156058</v>
      </c>
      <c r="U12" s="794"/>
      <c r="V12" s="794"/>
      <c r="W12" s="794"/>
      <c r="X12" s="799"/>
      <c r="Y12" s="799"/>
      <c r="Z12" s="799"/>
      <c r="AA12" s="799"/>
      <c r="AB12" s="797"/>
    </row>
    <row r="13" spans="4:29" ht="18" customHeight="1" thickBot="1">
      <c r="D13" s="800"/>
      <c r="E13" s="801" t="s">
        <v>452</v>
      </c>
      <c r="F13" s="802">
        <f>ROUND(F10*F12,0)</f>
        <v>227213573</v>
      </c>
      <c r="G13" s="802"/>
      <c r="H13" s="802">
        <f>$F$13-H12</f>
        <v>219639787</v>
      </c>
      <c r="I13" s="802">
        <f>H13-I12</f>
        <v>213959448</v>
      </c>
      <c r="J13" s="802">
        <f>H13-J12-I12</f>
        <v>208279109</v>
      </c>
      <c r="K13" s="802">
        <f>$H$13-K12-J12-I12</f>
        <v>202598770</v>
      </c>
      <c r="L13" s="802">
        <f>$H$13-L12-K12-J12-I12</f>
        <v>196918431</v>
      </c>
      <c r="M13" s="802">
        <f>L13-M12</f>
        <v>191238092</v>
      </c>
      <c r="N13" s="802">
        <f>L13-N12-M12</f>
        <v>185557753</v>
      </c>
      <c r="O13" s="802">
        <f>L13-O12-M12-N12</f>
        <v>179877414</v>
      </c>
      <c r="P13" s="802">
        <f>L13-SUM(M12:P12)</f>
        <v>174197075</v>
      </c>
      <c r="Q13" s="802">
        <f>P13-Q12</f>
        <v>168516736</v>
      </c>
      <c r="R13" s="802">
        <f>Q13-R12</f>
        <v>162836397</v>
      </c>
      <c r="S13" s="802">
        <f>R13-S12</f>
        <v>157156058</v>
      </c>
      <c r="T13" s="802">
        <f>S13-T12</f>
        <v>0</v>
      </c>
      <c r="U13" s="802"/>
      <c r="V13" s="802"/>
      <c r="W13" s="802"/>
      <c r="X13" s="803"/>
      <c r="Y13" s="803"/>
      <c r="Z13" s="803"/>
      <c r="AA13" s="803"/>
      <c r="AB13" s="804"/>
    </row>
    <row r="15" spans="4:29" s="772" customFormat="1" ht="18" customHeight="1" thickBot="1">
      <c r="D15" s="772" t="s">
        <v>454</v>
      </c>
      <c r="F15" s="494"/>
      <c r="G15" s="494"/>
      <c r="H15" s="494"/>
      <c r="I15" s="494"/>
      <c r="J15" s="498"/>
      <c r="K15" s="494"/>
      <c r="L15" s="494"/>
      <c r="M15" s="494"/>
      <c r="N15" s="494"/>
    </row>
    <row r="16" spans="4:29" s="778" customFormat="1" ht="18" customHeight="1">
      <c r="D16" s="805" t="s">
        <v>393</v>
      </c>
      <c r="E16" s="2157" t="s">
        <v>19</v>
      </c>
      <c r="F16" s="2157" t="s">
        <v>430</v>
      </c>
      <c r="G16" s="2157" t="s">
        <v>431</v>
      </c>
      <c r="H16" s="806" t="str">
        <f>H5</f>
        <v xml:space="preserve">FY2017. Q4 </v>
      </c>
      <c r="I16" s="806" t="str">
        <f t="shared" ref="I16:AB16" si="2">I5</f>
        <v>FY2018.Q1</v>
      </c>
      <c r="J16" s="806" t="str">
        <f t="shared" si="2"/>
        <v>FY2018.Q2</v>
      </c>
      <c r="K16" s="806" t="str">
        <f t="shared" si="2"/>
        <v>FY2018.Q3</v>
      </c>
      <c r="L16" s="806" t="str">
        <f t="shared" si="2"/>
        <v>FY2018.Q4</v>
      </c>
      <c r="M16" s="806" t="str">
        <f t="shared" si="2"/>
        <v>FY2019.Q1</v>
      </c>
      <c r="N16" s="806" t="str">
        <f t="shared" si="2"/>
        <v>FY2019.Q2</v>
      </c>
      <c r="O16" s="806" t="str">
        <f t="shared" si="2"/>
        <v>FY2019.Q3</v>
      </c>
      <c r="P16" s="806" t="str">
        <f t="shared" si="2"/>
        <v>FY2019.Q4</v>
      </c>
      <c r="Q16" s="806" t="str">
        <f t="shared" si="2"/>
        <v>FY2020.Q1</v>
      </c>
      <c r="R16" s="806" t="str">
        <f t="shared" si="2"/>
        <v>FY2020.Q2</v>
      </c>
      <c r="S16" s="806" t="str">
        <f t="shared" si="2"/>
        <v>FY2020.Q3</v>
      </c>
      <c r="T16" s="806" t="str">
        <f t="shared" si="2"/>
        <v>FY2020.Q4</v>
      </c>
      <c r="U16" s="806" t="str">
        <f t="shared" si="2"/>
        <v>FY2021.Q1</v>
      </c>
      <c r="V16" s="806" t="str">
        <f t="shared" si="2"/>
        <v>FY2021.Q2</v>
      </c>
      <c r="W16" s="806" t="str">
        <f t="shared" si="2"/>
        <v>FY2021.Q3</v>
      </c>
      <c r="X16" s="806" t="str">
        <f t="shared" si="2"/>
        <v>FY2021.Q4</v>
      </c>
      <c r="Y16" s="807" t="s">
        <v>2574</v>
      </c>
      <c r="Z16" s="807" t="s">
        <v>2812</v>
      </c>
      <c r="AA16" s="807" t="s">
        <v>2896</v>
      </c>
      <c r="AB16" s="808" t="str">
        <f t="shared" si="2"/>
        <v>FY2022.Q4</v>
      </c>
    </row>
    <row r="17" spans="4:31" s="778" customFormat="1" ht="18" customHeight="1">
      <c r="D17" s="809" t="s">
        <v>455</v>
      </c>
      <c r="E17" s="2158"/>
      <c r="F17" s="2158"/>
      <c r="G17" s="2158"/>
      <c r="H17" s="810">
        <v>9.4910999999999994</v>
      </c>
      <c r="I17" s="810">
        <v>10.0146</v>
      </c>
      <c r="J17" s="810">
        <v>10.1479</v>
      </c>
      <c r="K17" s="810">
        <v>9.8117000000000001</v>
      </c>
      <c r="L17" s="810">
        <v>10.1318</v>
      </c>
      <c r="M17" s="810">
        <v>10.282400000000001</v>
      </c>
      <c r="N17" s="810">
        <v>10.733499999999999</v>
      </c>
      <c r="O17" s="810">
        <v>11.134</v>
      </c>
      <c r="P17" s="810">
        <v>10.6347</v>
      </c>
      <c r="Q17" s="810">
        <v>11.308299999999999</v>
      </c>
      <c r="R17" s="810">
        <v>11.160500000000001</v>
      </c>
      <c r="S17" s="811">
        <v>11.1206</v>
      </c>
      <c r="T17" s="811">
        <v>10.5426</v>
      </c>
      <c r="U17" s="811">
        <v>10.273300000000001</v>
      </c>
      <c r="V17" s="810">
        <v>10.5426</v>
      </c>
      <c r="W17" s="810">
        <v>10.5426</v>
      </c>
      <c r="X17" s="812">
        <v>10.5426</v>
      </c>
      <c r="Y17" s="812">
        <v>10.5426</v>
      </c>
      <c r="Z17" s="812">
        <v>10.5426</v>
      </c>
      <c r="AA17" s="812">
        <v>10.5426</v>
      </c>
      <c r="AB17" s="813">
        <v>10.5426</v>
      </c>
    </row>
    <row r="18" spans="4:31" s="778" customFormat="1" ht="18" customHeight="1">
      <c r="D18" s="809" t="s">
        <v>1903</v>
      </c>
      <c r="E18" s="2159"/>
      <c r="F18" s="2159"/>
      <c r="G18" s="2159"/>
      <c r="H18" s="810">
        <v>9.9062999999999999</v>
      </c>
      <c r="I18" s="810">
        <v>9.8903999999999996</v>
      </c>
      <c r="J18" s="810">
        <v>9.8918999999999997</v>
      </c>
      <c r="K18" s="810">
        <v>9.952</v>
      </c>
      <c r="L18" s="810">
        <v>9.9626999999999999</v>
      </c>
      <c r="M18" s="810">
        <v>10.219900000000001</v>
      </c>
      <c r="N18" s="810">
        <v>10.416499999999999</v>
      </c>
      <c r="O18" s="810">
        <v>10.6576</v>
      </c>
      <c r="P18" s="810">
        <v>10.6976</v>
      </c>
      <c r="Q18" s="810">
        <v>10.9626</v>
      </c>
      <c r="R18" s="810">
        <v>11.1532</v>
      </c>
      <c r="S18" s="811">
        <v>11.167199999999999</v>
      </c>
      <c r="T18" s="811">
        <v>11.050700000000001</v>
      </c>
      <c r="U18" s="811">
        <v>10.510300000000001</v>
      </c>
      <c r="V18" s="810">
        <v>11.050700000000001</v>
      </c>
      <c r="W18" s="810">
        <v>11.050700000000001</v>
      </c>
      <c r="X18" s="812">
        <v>11.050700000000001</v>
      </c>
      <c r="Y18" s="812">
        <v>11.050700000000001</v>
      </c>
      <c r="Z18" s="812">
        <v>11.050700000000001</v>
      </c>
      <c r="AA18" s="812">
        <v>11.050700000000001</v>
      </c>
      <c r="AB18" s="813">
        <v>11.050700000000001</v>
      </c>
    </row>
    <row r="19" spans="4:31" ht="18" customHeight="1">
      <c r="D19" s="814" t="s">
        <v>486</v>
      </c>
      <c r="E19" s="815" t="s">
        <v>1904</v>
      </c>
      <c r="F19" s="609"/>
      <c r="G19" s="609"/>
      <c r="H19" s="609"/>
      <c r="I19" s="609"/>
      <c r="J19" s="609"/>
      <c r="K19" s="609"/>
      <c r="L19" s="609"/>
      <c r="M19" s="609"/>
      <c r="N19" s="609"/>
      <c r="O19" s="609"/>
      <c r="P19" s="609"/>
      <c r="Q19" s="816"/>
      <c r="R19" s="817">
        <f t="shared" ref="R19:W19" si="3">ROUND($F$10*R17,)</f>
        <v>7284737363</v>
      </c>
      <c r="S19" s="817">
        <f t="shared" si="3"/>
        <v>7258693635</v>
      </c>
      <c r="T19" s="817">
        <f t="shared" si="3"/>
        <v>6881418585</v>
      </c>
      <c r="U19" s="817">
        <f t="shared" si="3"/>
        <v>6705639743</v>
      </c>
      <c r="V19" s="817">
        <f t="shared" si="3"/>
        <v>6881418585</v>
      </c>
      <c r="W19" s="817">
        <f t="shared" si="3"/>
        <v>6881418585</v>
      </c>
      <c r="X19" s="818">
        <v>6881418585</v>
      </c>
      <c r="Y19" s="818">
        <v>6881418585</v>
      </c>
      <c r="Z19" s="818">
        <v>6881418585</v>
      </c>
      <c r="AA19" s="818">
        <v>6881418585</v>
      </c>
      <c r="AB19" s="819">
        <v>6881418585</v>
      </c>
      <c r="AD19" s="820"/>
      <c r="AE19" s="820"/>
    </row>
    <row r="20" spans="4:31" ht="18" customHeight="1">
      <c r="D20" s="814" t="s">
        <v>1906</v>
      </c>
      <c r="E20" s="815" t="s">
        <v>1908</v>
      </c>
      <c r="F20" s="609"/>
      <c r="G20" s="609"/>
      <c r="H20" s="609"/>
      <c r="I20" s="609"/>
      <c r="J20" s="609"/>
      <c r="K20" s="609"/>
      <c r="L20" s="609"/>
      <c r="M20" s="609"/>
      <c r="N20" s="609"/>
      <c r="O20" s="609"/>
      <c r="P20" s="609"/>
      <c r="Q20" s="816"/>
      <c r="R20" s="821">
        <f>+R23-R19</f>
        <v>-2064008920</v>
      </c>
      <c r="S20" s="821">
        <f>+S23-S19</f>
        <v>-2238097204</v>
      </c>
      <c r="T20" s="821">
        <f>+T23-T19</f>
        <v>-2293806195</v>
      </c>
      <c r="U20" s="821">
        <f>ROUND(U7*U17,)</f>
        <v>-2235213248</v>
      </c>
      <c r="V20" s="821">
        <f>ROUND(V7*V17,)</f>
        <v>-2293806195</v>
      </c>
      <c r="W20" s="821">
        <f>ROUND(W7*W17,)</f>
        <v>-2293806195</v>
      </c>
      <c r="X20" s="822">
        <v>-2293806195</v>
      </c>
      <c r="Y20" s="822">
        <v>-2293806195</v>
      </c>
      <c r="Z20" s="822">
        <v>-2293806195</v>
      </c>
      <c r="AA20" s="822">
        <v>-2293806195</v>
      </c>
      <c r="AB20" s="823">
        <v>-2293806195</v>
      </c>
      <c r="AD20" s="820"/>
      <c r="AE20" s="820"/>
    </row>
    <row r="21" spans="4:31" ht="18" customHeight="1">
      <c r="D21" s="814" t="s">
        <v>2035</v>
      </c>
      <c r="E21" s="815" t="s">
        <v>2034</v>
      </c>
      <c r="F21" s="609"/>
      <c r="G21" s="609"/>
      <c r="H21" s="609"/>
      <c r="I21" s="609"/>
      <c r="J21" s="609"/>
      <c r="K21" s="609"/>
      <c r="L21" s="609"/>
      <c r="M21" s="609"/>
      <c r="N21" s="609"/>
      <c r="O21" s="609"/>
      <c r="P21" s="609"/>
      <c r="Q21" s="816"/>
      <c r="R21" s="821"/>
      <c r="S21" s="821"/>
      <c r="T21" s="821">
        <f>-T10*T17</f>
        <v>-4587612390</v>
      </c>
      <c r="U21" s="821">
        <f>ROUND(U8*U17,)</f>
        <v>-4470426495</v>
      </c>
      <c r="V21" s="821">
        <f>ROUND(V8*V17,)</f>
        <v>-4587612390</v>
      </c>
      <c r="W21" s="821">
        <f>ROUND(W8*W17,)</f>
        <v>-4587612390</v>
      </c>
      <c r="X21" s="822">
        <v>-4587612390</v>
      </c>
      <c r="Y21" s="822">
        <v>-4587612390</v>
      </c>
      <c r="Z21" s="822">
        <v>-4587612390</v>
      </c>
      <c r="AA21" s="822">
        <v>-4587612390</v>
      </c>
      <c r="AB21" s="823">
        <v>-4587612390</v>
      </c>
    </row>
    <row r="22" spans="4:31" ht="18" customHeight="1">
      <c r="D22" s="814" t="s">
        <v>2018</v>
      </c>
      <c r="E22" s="815" t="s">
        <v>1845</v>
      </c>
      <c r="F22" s="609"/>
      <c r="G22" s="609"/>
      <c r="H22" s="609"/>
      <c r="I22" s="609"/>
      <c r="J22" s="609"/>
      <c r="K22" s="609"/>
      <c r="L22" s="609"/>
      <c r="M22" s="609"/>
      <c r="N22" s="609"/>
      <c r="O22" s="609"/>
      <c r="P22" s="609"/>
      <c r="Q22" s="816"/>
      <c r="R22" s="816"/>
      <c r="S22" s="816"/>
      <c r="T22" s="816">
        <f>ROUND(T10*T18,)</f>
        <v>4808712105</v>
      </c>
      <c r="U22" s="816"/>
      <c r="V22" s="815"/>
      <c r="W22" s="815"/>
      <c r="X22" s="824"/>
      <c r="Y22" s="824"/>
      <c r="Z22" s="824"/>
      <c r="AA22" s="824"/>
      <c r="AB22" s="825"/>
    </row>
    <row r="23" spans="4:31" ht="18" customHeight="1">
      <c r="D23" s="814">
        <v>10020617</v>
      </c>
      <c r="E23" s="815" t="s">
        <v>449</v>
      </c>
      <c r="F23" s="609">
        <v>6676985115</v>
      </c>
      <c r="G23" s="609"/>
      <c r="H23" s="609">
        <f t="shared" ref="H23:T23" si="4">ROUND(H10*H17,0)</f>
        <v>5988575639</v>
      </c>
      <c r="I23" s="609">
        <f t="shared" si="4"/>
        <v>6155467631</v>
      </c>
      <c r="J23" s="609">
        <f t="shared" si="4"/>
        <v>6071805692</v>
      </c>
      <c r="K23" s="609">
        <f t="shared" si="4"/>
        <v>5710538179</v>
      </c>
      <c r="L23" s="609">
        <f t="shared" si="4"/>
        <v>5731508601</v>
      </c>
      <c r="M23" s="609">
        <f t="shared" si="4"/>
        <v>5648912780</v>
      </c>
      <c r="N23" s="609">
        <f t="shared" si="4"/>
        <v>5721586093</v>
      </c>
      <c r="O23" s="609">
        <f t="shared" si="4"/>
        <v>5753390119</v>
      </c>
      <c r="P23" s="609">
        <f t="shared" si="4"/>
        <v>5321843161</v>
      </c>
      <c r="Q23" s="816">
        <f t="shared" si="4"/>
        <v>5474397504</v>
      </c>
      <c r="R23" s="816">
        <f t="shared" si="4"/>
        <v>5220728443</v>
      </c>
      <c r="S23" s="816">
        <f t="shared" si="4"/>
        <v>5020596431</v>
      </c>
      <c r="T23" s="816">
        <f t="shared" si="4"/>
        <v>4587612390</v>
      </c>
      <c r="U23" s="816"/>
      <c r="V23" s="815"/>
      <c r="W23" s="815"/>
      <c r="X23" s="824"/>
      <c r="Y23" s="824"/>
      <c r="Z23" s="824"/>
      <c r="AA23" s="824"/>
      <c r="AB23" s="825"/>
      <c r="AD23" s="820"/>
      <c r="AE23" s="820"/>
    </row>
    <row r="24" spans="4:31" ht="18" customHeight="1">
      <c r="D24" s="814">
        <v>40040114</v>
      </c>
      <c r="E24" s="815" t="s">
        <v>450</v>
      </c>
      <c r="F24" s="609"/>
      <c r="G24" s="609">
        <v>120</v>
      </c>
      <c r="H24" s="609">
        <f t="shared" ref="H24:Q24" si="5">ROUND(H11*H18,0)</f>
        <v>215536322</v>
      </c>
      <c r="I24" s="609">
        <f t="shared" si="5"/>
        <v>161392784</v>
      </c>
      <c r="J24" s="609">
        <f t="shared" si="5"/>
        <v>161417261</v>
      </c>
      <c r="K24" s="609">
        <f t="shared" si="5"/>
        <v>162397980</v>
      </c>
      <c r="L24" s="609">
        <f t="shared" si="5"/>
        <v>162572584</v>
      </c>
      <c r="M24" s="609">
        <f t="shared" si="5"/>
        <v>166769606</v>
      </c>
      <c r="N24" s="609">
        <f t="shared" si="5"/>
        <v>169977749</v>
      </c>
      <c r="O24" s="609">
        <f t="shared" si="5"/>
        <v>173912049</v>
      </c>
      <c r="P24" s="609">
        <f t="shared" si="5"/>
        <v>174564774</v>
      </c>
      <c r="Q24" s="816">
        <f t="shared" si="5"/>
        <v>178889077</v>
      </c>
      <c r="R24" s="816">
        <f>ROUND((R11+Q11)*R$18-Q24,0)</f>
        <v>185109547</v>
      </c>
      <c r="S24" s="816">
        <f>ROUND((S11+R11+Q11)*S$18-R24-Q24,0)</f>
        <v>182684673</v>
      </c>
      <c r="T24" s="816">
        <f>ROUND((T11+S11+R11)*T$18-S24-R24,0)</f>
        <v>173185892</v>
      </c>
      <c r="U24" s="816"/>
      <c r="V24" s="815"/>
      <c r="W24" s="815"/>
      <c r="X24" s="824"/>
      <c r="Y24" s="824"/>
      <c r="Z24" s="824"/>
      <c r="AA24" s="824"/>
      <c r="AB24" s="825"/>
      <c r="AE24" s="498"/>
    </row>
    <row r="25" spans="4:31" ht="18" customHeight="1">
      <c r="D25" s="814">
        <v>40080101</v>
      </c>
      <c r="E25" s="815" t="s">
        <v>451</v>
      </c>
      <c r="F25" s="609">
        <v>0.34810000000000002</v>
      </c>
      <c r="G25" s="609"/>
      <c r="H25" s="609">
        <f t="shared" ref="H25:Q25" si="6">ROUND(H12*H18,0)</f>
        <v>75028196</v>
      </c>
      <c r="I25" s="609">
        <f t="shared" si="6"/>
        <v>56180825</v>
      </c>
      <c r="J25" s="609">
        <f t="shared" si="6"/>
        <v>56189345</v>
      </c>
      <c r="K25" s="609">
        <f t="shared" si="6"/>
        <v>56530734</v>
      </c>
      <c r="L25" s="609">
        <f t="shared" si="6"/>
        <v>56591513</v>
      </c>
      <c r="M25" s="609">
        <f t="shared" si="6"/>
        <v>58052497</v>
      </c>
      <c r="N25" s="609">
        <f t="shared" si="6"/>
        <v>59169251</v>
      </c>
      <c r="O25" s="609">
        <f t="shared" si="6"/>
        <v>60538781</v>
      </c>
      <c r="P25" s="609">
        <f t="shared" si="6"/>
        <v>60765994</v>
      </c>
      <c r="Q25" s="816">
        <f t="shared" si="6"/>
        <v>62271284</v>
      </c>
      <c r="R25" s="816">
        <f>ROUND((R12+Q12)*R$18-Q25,0)</f>
        <v>64436630</v>
      </c>
      <c r="S25" s="816">
        <f>ROUND((S12+R12+Q12)*S$18-R25-Q25,0)</f>
        <v>63592531</v>
      </c>
      <c r="T25" s="816">
        <f>ROUND((T12+S12+R12)*T$18-S25-R25,0)</f>
        <v>1734198734</v>
      </c>
      <c r="U25" s="816"/>
      <c r="V25" s="815"/>
      <c r="W25" s="815"/>
      <c r="X25" s="824"/>
      <c r="Y25" s="824"/>
      <c r="Z25" s="824"/>
      <c r="AA25" s="824"/>
      <c r="AB25" s="825"/>
    </row>
    <row r="26" spans="4:31" ht="18" customHeight="1">
      <c r="D26" s="814">
        <v>20020501</v>
      </c>
      <c r="E26" s="815" t="s">
        <v>452</v>
      </c>
      <c r="F26" s="609">
        <v>2324258519</v>
      </c>
      <c r="G26" s="609"/>
      <c r="H26" s="609">
        <f t="shared" ref="H26:T26" si="7">ROUND(H13*H17,0)</f>
        <v>2084623182</v>
      </c>
      <c r="I26" s="609">
        <f t="shared" si="7"/>
        <v>2142718288</v>
      </c>
      <c r="J26" s="609">
        <f t="shared" si="7"/>
        <v>2113595570</v>
      </c>
      <c r="K26" s="609">
        <f t="shared" si="7"/>
        <v>1987838352</v>
      </c>
      <c r="L26" s="609">
        <f t="shared" si="7"/>
        <v>1995138159</v>
      </c>
      <c r="M26" s="609">
        <f t="shared" si="7"/>
        <v>1966386557</v>
      </c>
      <c r="N26" s="609">
        <f t="shared" si="7"/>
        <v>1991684142</v>
      </c>
      <c r="O26" s="609">
        <f t="shared" si="7"/>
        <v>2002755127</v>
      </c>
      <c r="P26" s="609">
        <f t="shared" si="7"/>
        <v>1852533634</v>
      </c>
      <c r="Q26" s="816">
        <f t="shared" si="7"/>
        <v>1905637806</v>
      </c>
      <c r="R26" s="816">
        <f t="shared" si="7"/>
        <v>1817335609</v>
      </c>
      <c r="S26" s="816">
        <f t="shared" si="7"/>
        <v>1747669659</v>
      </c>
      <c r="T26" s="816">
        <f t="shared" si="7"/>
        <v>0</v>
      </c>
      <c r="U26" s="816"/>
      <c r="V26" s="815"/>
      <c r="W26" s="815"/>
      <c r="X26" s="824"/>
      <c r="Y26" s="824"/>
      <c r="Z26" s="824"/>
      <c r="AA26" s="824"/>
      <c r="AB26" s="825"/>
    </row>
    <row r="27" spans="4:31" ht="18" customHeight="1" thickBot="1">
      <c r="D27" s="826" t="s">
        <v>203</v>
      </c>
      <c r="E27" s="827" t="s">
        <v>204</v>
      </c>
      <c r="F27" s="621"/>
      <c r="G27" s="621"/>
      <c r="H27" s="621">
        <f>SUM(H23:H24)-F23+F26-H26-H25</f>
        <v>-308266013</v>
      </c>
      <c r="I27" s="621">
        <f t="shared" ref="I27:S27" si="8">SUM(I23:I24)-H23+H26-I26-I25</f>
        <v>214008845</v>
      </c>
      <c r="J27" s="621">
        <f t="shared" si="8"/>
        <v>50688695</v>
      </c>
      <c r="K27" s="621">
        <f t="shared" si="8"/>
        <v>-129643049</v>
      </c>
      <c r="L27" s="621">
        <f t="shared" si="8"/>
        <v>119651686</v>
      </c>
      <c r="M27" s="621">
        <f t="shared" si="8"/>
        <v>54872890</v>
      </c>
      <c r="N27" s="621">
        <f t="shared" si="8"/>
        <v>158184226</v>
      </c>
      <c r="O27" s="621">
        <f t="shared" si="8"/>
        <v>134106309</v>
      </c>
      <c r="P27" s="621">
        <f t="shared" si="8"/>
        <v>-167526685</v>
      </c>
      <c r="Q27" s="828">
        <f t="shared" si="8"/>
        <v>216067964</v>
      </c>
      <c r="R27" s="828">
        <f t="shared" si="8"/>
        <v>-44693947</v>
      </c>
      <c r="S27" s="828">
        <f t="shared" si="8"/>
        <v>-11373920</v>
      </c>
      <c r="T27" s="828">
        <f>SUM(T23:T24)-S23+S26-T26-T25+T22+T21</f>
        <v>-25227509</v>
      </c>
      <c r="U27" s="828"/>
      <c r="V27" s="827"/>
      <c r="W27" s="827"/>
      <c r="X27" s="829"/>
      <c r="Y27" s="829"/>
      <c r="Z27" s="829"/>
      <c r="AA27" s="829"/>
      <c r="AB27" s="830"/>
    </row>
    <row r="28" spans="4:31" s="778" customFormat="1" ht="18" hidden="1" customHeight="1">
      <c r="D28" s="831" t="s">
        <v>1889</v>
      </c>
      <c r="E28" s="770"/>
      <c r="F28" s="498"/>
      <c r="G28" s="498"/>
      <c r="H28" s="832">
        <v>9.9062999999999999</v>
      </c>
      <c r="I28" s="832">
        <v>9.8903999999999996</v>
      </c>
      <c r="J28" s="832">
        <v>9.8918999999999997</v>
      </c>
      <c r="K28" s="832">
        <v>9.952</v>
      </c>
      <c r="L28" s="832">
        <v>9.9626999999999999</v>
      </c>
      <c r="M28" s="832">
        <v>10.219900000000001</v>
      </c>
      <c r="N28" s="832">
        <v>10.416499999999999</v>
      </c>
      <c r="O28" s="832">
        <v>10.6576</v>
      </c>
      <c r="P28" s="832">
        <v>10.6976</v>
      </c>
      <c r="Q28" s="832">
        <v>10.9626</v>
      </c>
      <c r="R28" s="832">
        <v>11.132899999999999</v>
      </c>
      <c r="S28" s="833"/>
      <c r="T28" s="833"/>
      <c r="U28" s="833"/>
      <c r="V28" s="833"/>
      <c r="W28" s="833"/>
      <c r="X28" s="834"/>
      <c r="Y28" s="834"/>
      <c r="Z28" s="834"/>
      <c r="AA28" s="834"/>
      <c r="AB28" s="835"/>
    </row>
    <row r="29" spans="4:31" ht="18" hidden="1" customHeight="1">
      <c r="D29" s="836"/>
    </row>
    <row r="30" spans="4:31" ht="18" hidden="1" customHeight="1">
      <c r="D30" s="836"/>
      <c r="H30" s="609">
        <f>ROUND(+H$28*H11,)</f>
        <v>215536322</v>
      </c>
      <c r="I30" s="609">
        <f>ROUND(+I$28*I11,)</f>
        <v>161392784</v>
      </c>
      <c r="J30" s="609">
        <f>ROUND(+J$28*SUM($I11:J11)-SUM($I30:I30),)</f>
        <v>161441737</v>
      </c>
      <c r="K30" s="609">
        <f>ROUND(+K$28*SUM($I11:K11)-SUM($I30:J30),)</f>
        <v>164359419</v>
      </c>
      <c r="L30" s="609">
        <f>ROUND(+L$28*SUM($I11:L11)-SUM($I30:K30),)</f>
        <v>163096396</v>
      </c>
      <c r="M30" s="609">
        <f>ROUND(+M$28*M11,)</f>
        <v>166769606</v>
      </c>
      <c r="N30" s="609">
        <f>ROUND(+N$28*SUM($M11:N11)-SUM($M30:M30),)</f>
        <v>173185892</v>
      </c>
      <c r="O30" s="609">
        <f>ROUND(+O$28*SUM($M11:O11)-SUM($M30:N30),)</f>
        <v>181780649</v>
      </c>
      <c r="P30" s="609">
        <f>ROUND(+P$28*SUM($M11:P11)-SUM($M30:O30),)</f>
        <v>176522949</v>
      </c>
      <c r="Q30" s="609">
        <f>ROUND(+Q$28*Q11,)</f>
        <v>178889077</v>
      </c>
      <c r="R30" s="609">
        <f>ROUND(+R$28*SUM($Q11:R11)-SUM($Q30:Q30),)</f>
        <v>184447031</v>
      </c>
      <c r="S30" s="609">
        <f>ROUND(+S$28*SUM($Q11:S11)-SUM($Q30:R30),)</f>
        <v>-363336108</v>
      </c>
      <c r="T30" s="609">
        <f>ROUND(+T$28*SUM($Q11:T11)-SUM($Q30:S30),)</f>
        <v>0</v>
      </c>
      <c r="U30" s="609"/>
      <c r="V30" s="609"/>
      <c r="W30" s="609"/>
      <c r="X30" s="609"/>
      <c r="Y30" s="609"/>
      <c r="Z30" s="609"/>
      <c r="AA30" s="609"/>
      <c r="AB30" s="609"/>
    </row>
    <row r="31" spans="4:31" ht="18" hidden="1" customHeight="1">
      <c r="D31" s="836"/>
      <c r="H31" s="609">
        <f>ROUND(+H$28*H12,)</f>
        <v>75028196</v>
      </c>
      <c r="I31" s="609">
        <f>ROUND(+I$28*I12,)</f>
        <v>56180825</v>
      </c>
      <c r="J31" s="609">
        <f>ROUND(+J$28*SUM($I12:J12)-SUM($I31:I31),)</f>
        <v>56197866</v>
      </c>
      <c r="K31" s="609">
        <f>ROUND(+K$28*SUM($I12:K12)-SUM($I31:J31),)</f>
        <v>57213510</v>
      </c>
      <c r="L31" s="609">
        <f>ROUND(+L$28*SUM($I12:L12)-SUM($I31:K31),)</f>
        <v>56773852</v>
      </c>
      <c r="M31" s="609">
        <f>ROUND(+M$28*M12,)</f>
        <v>58052497</v>
      </c>
      <c r="N31" s="609">
        <f>ROUND(+N$28*SUM($M12:N12)-SUM($M31:M31),)</f>
        <v>60286005</v>
      </c>
      <c r="O31" s="609">
        <f>ROUND(+O$28*SUM($M12:O12)-SUM($M31:N31),)</f>
        <v>63277841</v>
      </c>
      <c r="P31" s="609">
        <f>ROUND(+P$28*SUM($M12:P12)-SUM($M31:O31),)</f>
        <v>61447635</v>
      </c>
      <c r="Q31" s="609">
        <f>ROUND(+Q$28*Q12,)</f>
        <v>62271284</v>
      </c>
      <c r="R31" s="609">
        <f>ROUND(+R$28*SUM($Q12:R12)-SUM($Q31:Q31),)</f>
        <v>64206008</v>
      </c>
      <c r="S31" s="609">
        <f>ROUND(+S$28*SUM($Q12:S12)-SUM($Q31:R31),)</f>
        <v>-126477292</v>
      </c>
      <c r="T31" s="609">
        <f>ROUND(+T$28*SUM($Q12:T12)-SUM($Q31:S31),)</f>
        <v>0</v>
      </c>
      <c r="U31" s="609"/>
      <c r="V31" s="609"/>
      <c r="W31" s="609"/>
      <c r="X31" s="609"/>
      <c r="Y31" s="609"/>
      <c r="Z31" s="609"/>
      <c r="AA31" s="609"/>
      <c r="AB31" s="609"/>
    </row>
    <row r="32" spans="4:31" ht="18" hidden="1" customHeight="1">
      <c r="D32" s="836"/>
      <c r="Q32" s="837"/>
      <c r="R32" s="837"/>
    </row>
    <row r="33" spans="4:22" ht="18" hidden="1" customHeight="1">
      <c r="D33" s="836"/>
      <c r="P33" s="498"/>
      <c r="R33" s="837"/>
    </row>
    <row r="34" spans="4:22" ht="18" hidden="1" customHeight="1">
      <c r="P34" s="498"/>
      <c r="R34" s="837"/>
    </row>
    <row r="35" spans="4:22" ht="18" customHeight="1">
      <c r="P35" s="820"/>
      <c r="R35" s="837"/>
      <c r="S35" s="837"/>
      <c r="T35" s="837"/>
      <c r="V35" s="837"/>
    </row>
    <row r="36" spans="4:22" ht="18" customHeight="1">
      <c r="R36" s="837"/>
      <c r="T36" s="498"/>
      <c r="U36" s="820"/>
    </row>
    <row r="37" spans="4:22" ht="18" customHeight="1">
      <c r="R37" s="837"/>
      <c r="S37" s="837"/>
    </row>
    <row r="38" spans="4:22" ht="18" customHeight="1">
      <c r="R38" s="837"/>
    </row>
    <row r="39" spans="4:22" ht="18" customHeight="1">
      <c r="R39" s="837"/>
    </row>
    <row r="40" spans="4:22" ht="18" customHeight="1">
      <c r="R40" s="837"/>
    </row>
  </sheetData>
  <mergeCells count="3">
    <mergeCell ref="E16:E18"/>
    <mergeCell ref="F16:F18"/>
    <mergeCell ref="G16:G18"/>
  </mergeCells>
  <phoneticPr fontId="22" type="noConversion"/>
  <pageMargins left="0.7" right="0.7" top="0.75" bottom="0.75" header="0.3" footer="0.3"/>
  <pageSetup paperSize="9" orientation="portrait" r:id="rId1"/>
  <ignoredErrors>
    <ignoredError sqref="U7" formula="1"/>
  </ignoredErrors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8">
    <tabColor rgb="FFFFFF00"/>
  </sheetPr>
  <dimension ref="C4:DW51"/>
  <sheetViews>
    <sheetView showGridLines="0" zoomScale="85" zoomScaleNormal="85" workbookViewId="0">
      <pane xSplit="5" ySplit="6" topLeftCell="DJ7" activePane="bottomRight" state="frozen"/>
      <selection activeCell="V34" sqref="V34"/>
      <selection pane="topRight" activeCell="V34" sqref="V34"/>
      <selection pane="bottomLeft" activeCell="V34" sqref="V34"/>
      <selection pane="bottomRight" activeCell="DO21" sqref="DO21"/>
    </sheetView>
  </sheetViews>
  <sheetFormatPr defaultColWidth="8.75" defaultRowHeight="18" customHeight="1" outlineLevelCol="1"/>
  <cols>
    <col min="1" max="2" width="2.375" style="498" customWidth="1"/>
    <col min="3" max="3" width="6" style="498" customWidth="1"/>
    <col min="4" max="4" width="15.375" style="498" customWidth="1"/>
    <col min="5" max="5" width="17.875" style="498" customWidth="1"/>
    <col min="6" max="6" width="14.75" style="498" hidden="1" customWidth="1" outlineLevel="1"/>
    <col min="7" max="16" width="17.625" style="498" hidden="1" customWidth="1" outlineLevel="1"/>
    <col min="17" max="17" width="2.375" style="498" hidden="1" customWidth="1" outlineLevel="1"/>
    <col min="18" max="27" width="14.75" style="498" hidden="1" customWidth="1" outlineLevel="1"/>
    <col min="28" max="28" width="3.375" style="498" hidden="1" customWidth="1" outlineLevel="1"/>
    <col min="29" max="38" width="14.75" style="498" hidden="1" customWidth="1" outlineLevel="1"/>
    <col min="39" max="39" width="2.625" style="498" hidden="1" customWidth="1" outlineLevel="1"/>
    <col min="40" max="49" width="16.375" style="498" hidden="1" customWidth="1" outlineLevel="1"/>
    <col min="50" max="50" width="7.75" style="694" hidden="1" customWidth="1" outlineLevel="1"/>
    <col min="51" max="60" width="16.375" style="498" hidden="1" customWidth="1" outlineLevel="1"/>
    <col min="61" max="61" width="13.375" style="498" hidden="1" customWidth="1" outlineLevel="1"/>
    <col min="62" max="71" width="16.375" style="498" hidden="1" customWidth="1" outlineLevel="1"/>
    <col min="72" max="72" width="11.875" style="498" hidden="1" customWidth="1" outlineLevel="1"/>
    <col min="73" max="85" width="16.375" style="498" hidden="1" customWidth="1" outlineLevel="1"/>
    <col min="86" max="86" width="2.625" style="498" hidden="1" customWidth="1" outlineLevel="1"/>
    <col min="87" max="87" width="17.125" style="498" customWidth="1" collapsed="1"/>
    <col min="88" max="99" width="17.125" style="498" customWidth="1"/>
    <col min="100" max="100" width="3.625" style="543" customWidth="1"/>
    <col min="101" max="113" width="17.125" style="498" customWidth="1"/>
    <col min="114" max="114" width="3.625" style="498" customWidth="1"/>
    <col min="115" max="127" width="17.125" style="498" customWidth="1"/>
    <col min="128" max="16384" width="8.75" style="498"/>
  </cols>
  <sheetData>
    <row r="4" spans="3:127" ht="18" customHeight="1" thickBot="1">
      <c r="D4" s="540" t="s">
        <v>474</v>
      </c>
    </row>
    <row r="5" spans="3:127" ht="18" customHeight="1" thickBot="1">
      <c r="D5" s="2160"/>
      <c r="E5" s="2161"/>
      <c r="AC5" s="2171" t="s">
        <v>1744</v>
      </c>
      <c r="AD5" s="2171"/>
      <c r="AE5" s="2171"/>
      <c r="AF5" s="2171"/>
      <c r="AG5" s="2171"/>
      <c r="AH5" s="2171"/>
      <c r="AI5" s="2171"/>
      <c r="AJ5" s="2171"/>
      <c r="AK5" s="2171"/>
      <c r="AL5" s="2171"/>
      <c r="AN5" s="2172" t="s">
        <v>2331</v>
      </c>
      <c r="AO5" s="2173"/>
      <c r="AP5" s="2173"/>
      <c r="AQ5" s="2173"/>
      <c r="AR5" s="2173"/>
      <c r="AS5" s="2173"/>
      <c r="AT5" s="2173"/>
      <c r="AU5" s="2173"/>
      <c r="AV5" s="2173"/>
      <c r="AW5" s="2174"/>
      <c r="AY5" s="2170" t="s">
        <v>1863</v>
      </c>
      <c r="AZ5" s="2170"/>
      <c r="BA5" s="2170"/>
      <c r="BB5" s="2170"/>
      <c r="BC5" s="2170"/>
      <c r="BD5" s="2170"/>
      <c r="BE5" s="2170"/>
      <c r="BF5" s="2170"/>
      <c r="BG5" s="2170"/>
      <c r="BH5" s="2170"/>
      <c r="BJ5" s="2170" t="s">
        <v>2326</v>
      </c>
      <c r="BK5" s="2170"/>
      <c r="BL5" s="2170"/>
      <c r="BM5" s="2170"/>
      <c r="BN5" s="2170"/>
      <c r="BO5" s="2170"/>
      <c r="BP5" s="2170"/>
      <c r="BQ5" s="2170"/>
      <c r="BR5" s="2170"/>
      <c r="BS5" s="2170"/>
      <c r="BU5" s="2170" t="s">
        <v>2003</v>
      </c>
      <c r="BV5" s="2170"/>
      <c r="BW5" s="2170"/>
      <c r="BX5" s="2170"/>
      <c r="BY5" s="2170"/>
      <c r="BZ5" s="2170"/>
      <c r="CA5" s="2170"/>
      <c r="CB5" s="2170"/>
      <c r="CC5" s="2170"/>
      <c r="CD5" s="2170"/>
      <c r="CE5" s="2170"/>
      <c r="CF5" s="2170"/>
      <c r="CG5" s="2170"/>
      <c r="CI5" s="2172" t="s">
        <v>2332</v>
      </c>
      <c r="CJ5" s="2173"/>
      <c r="CK5" s="2173"/>
      <c r="CL5" s="2173"/>
      <c r="CM5" s="2173"/>
      <c r="CN5" s="2173"/>
      <c r="CO5" s="2173"/>
      <c r="CP5" s="2173"/>
      <c r="CQ5" s="2173"/>
      <c r="CR5" s="2173"/>
      <c r="CS5" s="2173"/>
      <c r="CT5" s="2173"/>
      <c r="CU5" s="2174"/>
      <c r="CV5" s="695"/>
      <c r="CW5" s="2178" t="s">
        <v>2395</v>
      </c>
      <c r="CX5" s="2179"/>
      <c r="CY5" s="2179"/>
      <c r="CZ5" s="2179"/>
      <c r="DA5" s="2179"/>
      <c r="DB5" s="2179"/>
      <c r="DC5" s="2179"/>
      <c r="DD5" s="2179"/>
      <c r="DE5" s="2179"/>
      <c r="DF5" s="2179"/>
      <c r="DG5" s="2179"/>
      <c r="DH5" s="2179"/>
      <c r="DI5" s="2180"/>
      <c r="DK5" s="2175" t="s">
        <v>2897</v>
      </c>
      <c r="DL5" s="2176"/>
      <c r="DM5" s="2176"/>
      <c r="DN5" s="2176"/>
      <c r="DO5" s="2176"/>
      <c r="DP5" s="2176"/>
      <c r="DQ5" s="2176"/>
      <c r="DR5" s="2176"/>
      <c r="DS5" s="2176"/>
      <c r="DT5" s="2176"/>
      <c r="DU5" s="2176"/>
      <c r="DV5" s="2176"/>
      <c r="DW5" s="2177"/>
    </row>
    <row r="6" spans="3:127" s="519" customFormat="1" ht="18" customHeight="1">
      <c r="D6" s="696" t="s">
        <v>458</v>
      </c>
      <c r="E6" s="697" t="s">
        <v>459</v>
      </c>
      <c r="F6" s="698" t="s">
        <v>471</v>
      </c>
      <c r="G6" s="698" t="s">
        <v>466</v>
      </c>
      <c r="H6" s="698" t="s">
        <v>460</v>
      </c>
      <c r="I6" s="698" t="s">
        <v>461</v>
      </c>
      <c r="J6" s="698" t="s">
        <v>462</v>
      </c>
      <c r="K6" s="698" t="s">
        <v>463</v>
      </c>
      <c r="L6" s="698" t="s">
        <v>464</v>
      </c>
      <c r="M6" s="698" t="s">
        <v>394</v>
      </c>
      <c r="N6" s="698" t="s">
        <v>483</v>
      </c>
      <c r="O6" s="698" t="s">
        <v>465</v>
      </c>
      <c r="P6" s="699" t="s">
        <v>477</v>
      </c>
      <c r="Q6" s="700" t="s">
        <v>1857</v>
      </c>
      <c r="R6" s="701" t="s">
        <v>466</v>
      </c>
      <c r="S6" s="701" t="s">
        <v>460</v>
      </c>
      <c r="T6" s="701" t="s">
        <v>461</v>
      </c>
      <c r="U6" s="701" t="s">
        <v>462</v>
      </c>
      <c r="V6" s="701" t="s">
        <v>463</v>
      </c>
      <c r="W6" s="701" t="s">
        <v>464</v>
      </c>
      <c r="X6" s="701" t="s">
        <v>395</v>
      </c>
      <c r="Y6" s="701" t="s">
        <v>483</v>
      </c>
      <c r="Z6" s="701" t="s">
        <v>465</v>
      </c>
      <c r="AA6" s="701" t="s">
        <v>477</v>
      </c>
      <c r="AB6" s="700"/>
      <c r="AC6" s="701" t="s">
        <v>466</v>
      </c>
      <c r="AD6" s="701" t="s">
        <v>460</v>
      </c>
      <c r="AE6" s="701" t="s">
        <v>461</v>
      </c>
      <c r="AF6" s="701" t="s">
        <v>462</v>
      </c>
      <c r="AG6" s="701" t="s">
        <v>463</v>
      </c>
      <c r="AH6" s="701" t="s">
        <v>464</v>
      </c>
      <c r="AI6" s="701" t="s">
        <v>1703</v>
      </c>
      <c r="AJ6" s="701" t="s">
        <v>483</v>
      </c>
      <c r="AK6" s="701" t="s">
        <v>465</v>
      </c>
      <c r="AL6" s="701" t="s">
        <v>477</v>
      </c>
      <c r="AN6" s="702" t="s">
        <v>466</v>
      </c>
      <c r="AO6" s="703" t="s">
        <v>460</v>
      </c>
      <c r="AP6" s="703" t="s">
        <v>461</v>
      </c>
      <c r="AQ6" s="703" t="s">
        <v>462</v>
      </c>
      <c r="AR6" s="703" t="s">
        <v>463</v>
      </c>
      <c r="AS6" s="703" t="s">
        <v>464</v>
      </c>
      <c r="AT6" s="703" t="s">
        <v>397</v>
      </c>
      <c r="AU6" s="703" t="s">
        <v>483</v>
      </c>
      <c r="AV6" s="703" t="s">
        <v>465</v>
      </c>
      <c r="AW6" s="704" t="s">
        <v>477</v>
      </c>
      <c r="AX6" s="495"/>
      <c r="AY6" s="701" t="s">
        <v>466</v>
      </c>
      <c r="AZ6" s="701" t="s">
        <v>460</v>
      </c>
      <c r="BA6" s="701" t="s">
        <v>461</v>
      </c>
      <c r="BB6" s="701" t="s">
        <v>462</v>
      </c>
      <c r="BC6" s="701" t="s">
        <v>463</v>
      </c>
      <c r="BD6" s="701" t="s">
        <v>464</v>
      </c>
      <c r="BE6" s="701" t="s">
        <v>397</v>
      </c>
      <c r="BF6" s="701" t="s">
        <v>483</v>
      </c>
      <c r="BG6" s="701" t="s">
        <v>465</v>
      </c>
      <c r="BH6" s="701" t="s">
        <v>477</v>
      </c>
      <c r="BJ6" s="701" t="s">
        <v>466</v>
      </c>
      <c r="BK6" s="701" t="s">
        <v>460</v>
      </c>
      <c r="BL6" s="701" t="s">
        <v>461</v>
      </c>
      <c r="BM6" s="701" t="s">
        <v>462</v>
      </c>
      <c r="BN6" s="701" t="s">
        <v>463</v>
      </c>
      <c r="BO6" s="701" t="s">
        <v>464</v>
      </c>
      <c r="BP6" s="701" t="s">
        <v>397</v>
      </c>
      <c r="BQ6" s="701" t="s">
        <v>483</v>
      </c>
      <c r="BR6" s="701" t="s">
        <v>465</v>
      </c>
      <c r="BS6" s="701" t="s">
        <v>477</v>
      </c>
      <c r="BU6" s="701" t="s">
        <v>466</v>
      </c>
      <c r="BV6" s="701" t="s">
        <v>460</v>
      </c>
      <c r="BW6" s="701" t="s">
        <v>1958</v>
      </c>
      <c r="BX6" s="701" t="s">
        <v>461</v>
      </c>
      <c r="BY6" s="701" t="s">
        <v>462</v>
      </c>
      <c r="BZ6" s="701" t="s">
        <v>463</v>
      </c>
      <c r="CA6" s="701" t="s">
        <v>464</v>
      </c>
      <c r="CB6" s="701" t="s">
        <v>1989</v>
      </c>
      <c r="CC6" s="701" t="s">
        <v>1988</v>
      </c>
      <c r="CD6" s="701" t="s">
        <v>1958</v>
      </c>
      <c r="CE6" s="701" t="s">
        <v>483</v>
      </c>
      <c r="CF6" s="701" t="s">
        <v>465</v>
      </c>
      <c r="CG6" s="701" t="s">
        <v>477</v>
      </c>
      <c r="CI6" s="702" t="s">
        <v>466</v>
      </c>
      <c r="CJ6" s="703" t="s">
        <v>460</v>
      </c>
      <c r="CK6" s="703" t="s">
        <v>1958</v>
      </c>
      <c r="CL6" s="703" t="s">
        <v>461</v>
      </c>
      <c r="CM6" s="703" t="s">
        <v>462</v>
      </c>
      <c r="CN6" s="703" t="s">
        <v>463</v>
      </c>
      <c r="CO6" s="703" t="s">
        <v>464</v>
      </c>
      <c r="CP6" s="703" t="s">
        <v>1989</v>
      </c>
      <c r="CQ6" s="703" t="s">
        <v>1988</v>
      </c>
      <c r="CR6" s="703" t="s">
        <v>1958</v>
      </c>
      <c r="CS6" s="703" t="s">
        <v>483</v>
      </c>
      <c r="CT6" s="703" t="s">
        <v>465</v>
      </c>
      <c r="CU6" s="704" t="s">
        <v>477</v>
      </c>
      <c r="CV6" s="705"/>
      <c r="CW6" s="702" t="s">
        <v>466</v>
      </c>
      <c r="CX6" s="703" t="s">
        <v>2602</v>
      </c>
      <c r="CY6" s="703" t="s">
        <v>2603</v>
      </c>
      <c r="CZ6" s="703" t="s">
        <v>461</v>
      </c>
      <c r="DA6" s="703" t="s">
        <v>462</v>
      </c>
      <c r="DB6" s="703" t="s">
        <v>463</v>
      </c>
      <c r="DC6" s="703" t="s">
        <v>464</v>
      </c>
      <c r="DD6" s="703" t="s">
        <v>2604</v>
      </c>
      <c r="DE6" s="703" t="s">
        <v>2605</v>
      </c>
      <c r="DF6" s="703" t="s">
        <v>2606</v>
      </c>
      <c r="DG6" s="703" t="s">
        <v>483</v>
      </c>
      <c r="DH6" s="703" t="s">
        <v>465</v>
      </c>
      <c r="DI6" s="704" t="s">
        <v>477</v>
      </c>
      <c r="DK6" s="706" t="s">
        <v>2396</v>
      </c>
      <c r="DL6" s="707" t="s">
        <v>1958</v>
      </c>
      <c r="DM6" s="707" t="s">
        <v>2032</v>
      </c>
      <c r="DN6" s="707" t="s">
        <v>461</v>
      </c>
      <c r="DO6" s="707" t="s">
        <v>462</v>
      </c>
      <c r="DP6" s="707" t="s">
        <v>463</v>
      </c>
      <c r="DQ6" s="707" t="s">
        <v>464</v>
      </c>
      <c r="DR6" s="707" t="s">
        <v>1989</v>
      </c>
      <c r="DS6" s="707" t="s">
        <v>1958</v>
      </c>
      <c r="DT6" s="707" t="s">
        <v>2033</v>
      </c>
      <c r="DU6" s="707" t="s">
        <v>483</v>
      </c>
      <c r="DV6" s="707" t="s">
        <v>465</v>
      </c>
      <c r="DW6" s="708" t="s">
        <v>477</v>
      </c>
    </row>
    <row r="7" spans="3:127" ht="18" customHeight="1">
      <c r="C7" s="498" t="s">
        <v>2004</v>
      </c>
      <c r="D7" s="655" t="s">
        <v>15</v>
      </c>
      <c r="E7" s="572" t="s">
        <v>428</v>
      </c>
      <c r="F7" s="709" t="s">
        <v>472</v>
      </c>
      <c r="G7" s="552">
        <v>2126044175</v>
      </c>
      <c r="H7" s="552">
        <v>2126044175</v>
      </c>
      <c r="I7" s="552">
        <v>0</v>
      </c>
      <c r="J7" s="552">
        <v>0</v>
      </c>
      <c r="K7" s="552">
        <v>0</v>
      </c>
      <c r="L7" s="552">
        <v>0</v>
      </c>
      <c r="M7" s="552">
        <f>SUM(H7:L7)</f>
        <v>2126044175</v>
      </c>
      <c r="N7" s="552">
        <v>0</v>
      </c>
      <c r="O7" s="552">
        <f>M7-H7</f>
        <v>0</v>
      </c>
      <c r="P7" s="553"/>
      <c r="R7" s="498">
        <v>2126044175</v>
      </c>
      <c r="S7" s="498">
        <f>M7</f>
        <v>2126044175</v>
      </c>
      <c r="X7" s="498">
        <f>SUM(S7:W7)</f>
        <v>2126044175</v>
      </c>
      <c r="Y7" s="498">
        <v>0</v>
      </c>
      <c r="Z7" s="498">
        <f>X7-S7</f>
        <v>0</v>
      </c>
      <c r="AC7" s="498">
        <v>2126044175</v>
      </c>
      <c r="AD7" s="498">
        <f>X7</f>
        <v>2126044175</v>
      </c>
      <c r="AI7" s="498">
        <f>SUM(AD7:AH7)</f>
        <v>2126044175</v>
      </c>
      <c r="AJ7" s="498">
        <v>0</v>
      </c>
      <c r="AK7" s="498">
        <f>AI7-AD7</f>
        <v>0</v>
      </c>
      <c r="AN7" s="551">
        <v>2126044175</v>
      </c>
      <c r="AO7" s="552">
        <f>M7</f>
        <v>2126044175</v>
      </c>
      <c r="AP7" s="552"/>
      <c r="AQ7" s="552">
        <v>-1936461513.2483287</v>
      </c>
      <c r="AR7" s="552"/>
      <c r="AS7" s="552"/>
      <c r="AT7" s="552">
        <f>SUM(AO7:AS7)</f>
        <v>189582661.75167131</v>
      </c>
      <c r="AU7" s="552">
        <v>0</v>
      </c>
      <c r="AV7" s="552">
        <f>AT7-AO7</f>
        <v>-1936461513.2483287</v>
      </c>
      <c r="AW7" s="553"/>
      <c r="AY7" s="498">
        <v>2126044175</v>
      </c>
      <c r="AZ7" s="498">
        <f>+AT7</f>
        <v>189582661.75167131</v>
      </c>
      <c r="BE7" s="498">
        <f>SUM(AZ7:BD7)</f>
        <v>189582661.75167131</v>
      </c>
      <c r="BF7" s="498">
        <v>0</v>
      </c>
      <c r="BG7" s="498">
        <f>BE7-AZ7</f>
        <v>0</v>
      </c>
      <c r="BJ7" s="498">
        <f>+G7</f>
        <v>2126044175</v>
      </c>
      <c r="BK7" s="498">
        <v>189582661.75167131</v>
      </c>
      <c r="BM7" s="498">
        <v>0</v>
      </c>
      <c r="BP7" s="498">
        <v>189582661.75167131</v>
      </c>
      <c r="BQ7" s="498">
        <v>0</v>
      </c>
      <c r="BR7" s="498">
        <v>0</v>
      </c>
      <c r="BU7" s="498">
        <f>+G7</f>
        <v>2126044175</v>
      </c>
      <c r="BV7" s="498">
        <f>+AT7</f>
        <v>189582661.75167131</v>
      </c>
      <c r="BW7" s="498">
        <f>+BV7-BU7</f>
        <v>-1936461513.2483287</v>
      </c>
      <c r="BY7" s="498">
        <v>0</v>
      </c>
      <c r="CB7" s="498">
        <f>+CC7-CD7</f>
        <v>2126044175</v>
      </c>
      <c r="CC7" s="498">
        <f>SUM(BV7:CA7)-BW7</f>
        <v>189582661.75167131</v>
      </c>
      <c r="CD7" s="498">
        <f t="shared" ref="CD7:CD13" si="0">+BW7+BY7</f>
        <v>-1936461513.2483287</v>
      </c>
      <c r="CE7" s="498">
        <v>0</v>
      </c>
      <c r="CF7" s="498">
        <f>CC7-BV7</f>
        <v>0</v>
      </c>
      <c r="CI7" s="551">
        <f t="shared" ref="CI7:CJ13" si="1">BU7</f>
        <v>2126044175</v>
      </c>
      <c r="CJ7" s="552">
        <f t="shared" si="1"/>
        <v>189582661.75167131</v>
      </c>
      <c r="CK7" s="552">
        <f>+CJ7-CI7</f>
        <v>-1936461513.2483287</v>
      </c>
      <c r="CL7" s="552"/>
      <c r="CM7" s="552">
        <v>0</v>
      </c>
      <c r="CN7" s="552"/>
      <c r="CO7" s="552"/>
      <c r="CP7" s="552">
        <f>+CQ7-CR7</f>
        <v>2126044175</v>
      </c>
      <c r="CQ7" s="552">
        <f>SUM(CJ7:CO7)-CK7</f>
        <v>189582661.75167131</v>
      </c>
      <c r="CR7" s="552">
        <f t="shared" ref="CR7:CR13" si="2">+CK7+CM7</f>
        <v>-1936461513.2483287</v>
      </c>
      <c r="CS7" s="552"/>
      <c r="CT7" s="552">
        <f t="shared" ref="CT7:CT13" si="3">CQ7-CJ7</f>
        <v>0</v>
      </c>
      <c r="CU7" s="553"/>
      <c r="CV7" s="710"/>
      <c r="CW7" s="551">
        <v>2126044175</v>
      </c>
      <c r="CX7" s="552">
        <v>-1936461513.2483287</v>
      </c>
      <c r="CY7" s="552">
        <v>189582661.75167131</v>
      </c>
      <c r="CZ7" s="552"/>
      <c r="DA7" s="552">
        <v>0</v>
      </c>
      <c r="DB7" s="552"/>
      <c r="DC7" s="552">
        <v>0</v>
      </c>
      <c r="DD7" s="552">
        <v>2126044175</v>
      </c>
      <c r="DE7" s="552">
        <v>-1936461513.2483287</v>
      </c>
      <c r="DF7" s="552">
        <v>189582661.75167131</v>
      </c>
      <c r="DG7" s="552"/>
      <c r="DH7" s="552">
        <v>0</v>
      </c>
      <c r="DI7" s="711"/>
      <c r="DK7" s="551">
        <f>DD7</f>
        <v>2126044175</v>
      </c>
      <c r="DL7" s="552">
        <f t="shared" ref="DL7:DL13" si="4">DE7</f>
        <v>-1936461513.2483287</v>
      </c>
      <c r="DM7" s="552">
        <f t="shared" ref="DM7:DM13" si="5">DF7</f>
        <v>189582661.75167131</v>
      </c>
      <c r="DN7" s="552"/>
      <c r="DO7" s="552">
        <v>0</v>
      </c>
      <c r="DP7" s="552"/>
      <c r="DQ7" s="552">
        <v>0</v>
      </c>
      <c r="DR7" s="552">
        <f>DK7</f>
        <v>2126044175</v>
      </c>
      <c r="DS7" s="552">
        <f>DL7+DO7</f>
        <v>-1936461513.2483287</v>
      </c>
      <c r="DT7" s="552">
        <f>DR7+DS7</f>
        <v>189582661.75167131</v>
      </c>
      <c r="DU7" s="552"/>
      <c r="DV7" s="552">
        <f t="shared" ref="DV7:DV13" si="6">DT7-DM7</f>
        <v>0</v>
      </c>
      <c r="DW7" s="711"/>
    </row>
    <row r="8" spans="3:127" ht="18" customHeight="1">
      <c r="C8" s="498" t="s">
        <v>2005</v>
      </c>
      <c r="D8" s="655" t="s">
        <v>15</v>
      </c>
      <c r="E8" s="572" t="s">
        <v>467</v>
      </c>
      <c r="F8" s="709" t="s">
        <v>473</v>
      </c>
      <c r="G8" s="552">
        <v>19842800</v>
      </c>
      <c r="H8" s="552">
        <v>19842800</v>
      </c>
      <c r="I8" s="552">
        <v>0</v>
      </c>
      <c r="J8" s="552">
        <v>0</v>
      </c>
      <c r="K8" s="552">
        <v>0</v>
      </c>
      <c r="L8" s="552">
        <v>0</v>
      </c>
      <c r="M8" s="552">
        <f>SUM(H8:L8)</f>
        <v>19842800</v>
      </c>
      <c r="N8" s="552">
        <v>0</v>
      </c>
      <c r="O8" s="552">
        <f>M8-H8</f>
        <v>0</v>
      </c>
      <c r="P8" s="553"/>
      <c r="Q8" s="498">
        <f>ROUND(+P8/3*3,)</f>
        <v>0</v>
      </c>
      <c r="R8" s="498">
        <v>0</v>
      </c>
      <c r="S8" s="498">
        <f>M8</f>
        <v>19842800</v>
      </c>
      <c r="X8" s="498">
        <f>SUM(S8:W8)</f>
        <v>19842800</v>
      </c>
      <c r="Y8" s="498">
        <v>0</v>
      </c>
      <c r="Z8" s="498">
        <f>X8-S8</f>
        <v>0</v>
      </c>
      <c r="AC8" s="498">
        <v>0</v>
      </c>
      <c r="AD8" s="498">
        <f>X8</f>
        <v>19842800</v>
      </c>
      <c r="AI8" s="498">
        <f>SUM(AD8:AH8)</f>
        <v>19842800</v>
      </c>
      <c r="AJ8" s="498">
        <v>0</v>
      </c>
      <c r="AK8" s="498">
        <f>AI8-AD8</f>
        <v>0</v>
      </c>
      <c r="AN8" s="551">
        <v>0</v>
      </c>
      <c r="AO8" s="552">
        <f>M8</f>
        <v>19842800</v>
      </c>
      <c r="AP8" s="552"/>
      <c r="AQ8" s="552"/>
      <c r="AR8" s="552"/>
      <c r="AS8" s="552"/>
      <c r="AT8" s="552">
        <f>SUM(AO8:AS8)</f>
        <v>19842800</v>
      </c>
      <c r="AU8" s="552">
        <v>0</v>
      </c>
      <c r="AV8" s="552">
        <f>AT8-AO8</f>
        <v>0</v>
      </c>
      <c r="AW8" s="553"/>
      <c r="AY8" s="498">
        <v>0</v>
      </c>
      <c r="AZ8" s="498">
        <f>+AT8</f>
        <v>19842800</v>
      </c>
      <c r="BE8" s="498">
        <f>SUM(AZ8:BD8)</f>
        <v>19842800</v>
      </c>
      <c r="BF8" s="498">
        <v>0</v>
      </c>
      <c r="BG8" s="498">
        <f>BE8-AZ8</f>
        <v>0</v>
      </c>
      <c r="BJ8" s="498">
        <f>+G8</f>
        <v>19842800</v>
      </c>
      <c r="BK8" s="498">
        <v>19842800</v>
      </c>
      <c r="BP8" s="498">
        <v>19842800</v>
      </c>
      <c r="BQ8" s="498">
        <v>0</v>
      </c>
      <c r="BR8" s="498">
        <v>0</v>
      </c>
      <c r="BU8" s="498">
        <f>+G8</f>
        <v>19842800</v>
      </c>
      <c r="BV8" s="498">
        <f>+AT8</f>
        <v>19842800</v>
      </c>
      <c r="BW8" s="498">
        <f>+BV8-BU8</f>
        <v>0</v>
      </c>
      <c r="CB8" s="498">
        <f>+CC8-CD8</f>
        <v>19842800</v>
      </c>
      <c r="CC8" s="498">
        <f>SUM(BV8:CA8)-BW8</f>
        <v>19842800</v>
      </c>
      <c r="CD8" s="498">
        <f t="shared" si="0"/>
        <v>0</v>
      </c>
      <c r="CE8" s="498">
        <v>0</v>
      </c>
      <c r="CF8" s="498">
        <f>CC8-BV8</f>
        <v>0</v>
      </c>
      <c r="CI8" s="551">
        <f t="shared" si="1"/>
        <v>19842800</v>
      </c>
      <c r="CJ8" s="552">
        <f t="shared" si="1"/>
        <v>19842800</v>
      </c>
      <c r="CK8" s="552">
        <f>+CJ8-CI8</f>
        <v>0</v>
      </c>
      <c r="CL8" s="552"/>
      <c r="CM8" s="552">
        <v>0</v>
      </c>
      <c r="CN8" s="552"/>
      <c r="CO8" s="552"/>
      <c r="CP8" s="552">
        <f>+CQ8-CR8</f>
        <v>19842800</v>
      </c>
      <c r="CQ8" s="552">
        <f>SUM(CJ8:CO8)-CK8</f>
        <v>19842800</v>
      </c>
      <c r="CR8" s="552">
        <f t="shared" si="2"/>
        <v>0</v>
      </c>
      <c r="CS8" s="552"/>
      <c r="CT8" s="552">
        <f t="shared" si="3"/>
        <v>0</v>
      </c>
      <c r="CU8" s="553"/>
      <c r="CV8" s="710"/>
      <c r="CW8" s="551">
        <v>19842800</v>
      </c>
      <c r="CX8" s="552">
        <v>0</v>
      </c>
      <c r="CY8" s="552">
        <v>19842800</v>
      </c>
      <c r="CZ8" s="552"/>
      <c r="DA8" s="552">
        <v>0</v>
      </c>
      <c r="DB8" s="552"/>
      <c r="DC8" s="552">
        <v>0</v>
      </c>
      <c r="DD8" s="552">
        <v>19842800</v>
      </c>
      <c r="DE8" s="552">
        <v>0</v>
      </c>
      <c r="DF8" s="552">
        <v>19842800</v>
      </c>
      <c r="DG8" s="552"/>
      <c r="DH8" s="552">
        <v>0</v>
      </c>
      <c r="DI8" s="711"/>
      <c r="DK8" s="551">
        <f t="shared" ref="DK8:DK13" si="7">DD8</f>
        <v>19842800</v>
      </c>
      <c r="DL8" s="552">
        <f t="shared" si="4"/>
        <v>0</v>
      </c>
      <c r="DM8" s="552">
        <f t="shared" si="5"/>
        <v>19842800</v>
      </c>
      <c r="DN8" s="552"/>
      <c r="DO8" s="552">
        <v>-19842800</v>
      </c>
      <c r="DP8" s="552"/>
      <c r="DQ8" s="552">
        <v>0</v>
      </c>
      <c r="DR8" s="552">
        <f t="shared" ref="DR8:DR13" si="8">DK8</f>
        <v>19842800</v>
      </c>
      <c r="DS8" s="552">
        <f t="shared" ref="DS8:DS13" si="9">DL8+DO8</f>
        <v>-19842800</v>
      </c>
      <c r="DT8" s="552">
        <f t="shared" ref="DT8:DT13" si="10">DR8+DS8</f>
        <v>0</v>
      </c>
      <c r="DU8" s="552"/>
      <c r="DV8" s="552">
        <f t="shared" si="6"/>
        <v>-19842800</v>
      </c>
      <c r="DW8" s="711"/>
    </row>
    <row r="9" spans="3:127" ht="18" customHeight="1">
      <c r="C9" s="498" t="s">
        <v>2005</v>
      </c>
      <c r="D9" s="655" t="s">
        <v>15</v>
      </c>
      <c r="E9" s="572" t="s">
        <v>470</v>
      </c>
      <c r="F9" s="709" t="s">
        <v>473</v>
      </c>
      <c r="G9" s="552">
        <v>297103293</v>
      </c>
      <c r="H9" s="552">
        <v>297103293</v>
      </c>
      <c r="I9" s="552"/>
      <c r="J9" s="552">
        <v>-294995310</v>
      </c>
      <c r="K9" s="552"/>
      <c r="L9" s="552">
        <v>-2107983</v>
      </c>
      <c r="M9" s="552">
        <f>SUM(H9:L9)</f>
        <v>0</v>
      </c>
      <c r="N9" s="552"/>
      <c r="O9" s="552">
        <f>M9-H9</f>
        <v>-297103293</v>
      </c>
      <c r="P9" s="553"/>
      <c r="R9" s="498">
        <v>297103293</v>
      </c>
      <c r="S9" s="498">
        <f>M9</f>
        <v>0</v>
      </c>
      <c r="X9" s="498">
        <f>SUM(S9:W9)</f>
        <v>0</v>
      </c>
      <c r="Z9" s="498">
        <f>X9-S9</f>
        <v>0</v>
      </c>
      <c r="AC9" s="498">
        <v>297103293</v>
      </c>
      <c r="AD9" s="498">
        <f>X9</f>
        <v>0</v>
      </c>
      <c r="AI9" s="498">
        <f>SUM(AD9:AH9)</f>
        <v>0</v>
      </c>
      <c r="AK9" s="498">
        <f>AI9-AD9</f>
        <v>0</v>
      </c>
      <c r="AN9" s="551">
        <v>297103293</v>
      </c>
      <c r="AO9" s="552">
        <f>M9</f>
        <v>0</v>
      </c>
      <c r="AP9" s="552"/>
      <c r="AQ9" s="552"/>
      <c r="AR9" s="552"/>
      <c r="AS9" s="552"/>
      <c r="AT9" s="552">
        <f>SUM(AO9:AS9)</f>
        <v>0</v>
      </c>
      <c r="AU9" s="552"/>
      <c r="AV9" s="552">
        <f>AT9-AO9</f>
        <v>0</v>
      </c>
      <c r="AW9" s="553"/>
      <c r="AY9" s="498">
        <v>297103293</v>
      </c>
      <c r="AZ9" s="498">
        <f>+AT9</f>
        <v>0</v>
      </c>
      <c r="BE9" s="498">
        <f>SUM(AZ9:BD9)</f>
        <v>0</v>
      </c>
      <c r="BG9" s="498">
        <f>BE9-AZ9</f>
        <v>0</v>
      </c>
      <c r="BJ9" s="498">
        <f>+G9</f>
        <v>297103293</v>
      </c>
      <c r="BK9" s="498">
        <v>0</v>
      </c>
      <c r="BP9" s="498">
        <v>0</v>
      </c>
      <c r="BR9" s="498">
        <v>0</v>
      </c>
      <c r="BU9" s="498">
        <f>+G9</f>
        <v>297103293</v>
      </c>
      <c r="BV9" s="498">
        <f>+AT9</f>
        <v>0</v>
      </c>
      <c r="BW9" s="498">
        <f>+BV9-BU9</f>
        <v>-297103293</v>
      </c>
      <c r="CB9" s="498">
        <f>+CC9-CD9</f>
        <v>297103293</v>
      </c>
      <c r="CC9" s="498">
        <f>SUM(BV9:CA9)-BW9</f>
        <v>0</v>
      </c>
      <c r="CD9" s="498">
        <f>+BW9+BY9</f>
        <v>-297103293</v>
      </c>
      <c r="CF9" s="498">
        <f>CC9-BV9</f>
        <v>0</v>
      </c>
      <c r="CI9" s="551">
        <f t="shared" si="1"/>
        <v>297103293</v>
      </c>
      <c r="CJ9" s="552">
        <f t="shared" si="1"/>
        <v>0</v>
      </c>
      <c r="CK9" s="552">
        <f>+CJ9-CI9</f>
        <v>-297103293</v>
      </c>
      <c r="CL9" s="552"/>
      <c r="CM9" s="552">
        <v>0</v>
      </c>
      <c r="CN9" s="552"/>
      <c r="CO9" s="552"/>
      <c r="CP9" s="552">
        <f>+CQ9-CR9</f>
        <v>297103293</v>
      </c>
      <c r="CQ9" s="552">
        <f>SUM(CJ9:CO9)-CK9</f>
        <v>0</v>
      </c>
      <c r="CR9" s="552">
        <f>+CK9+CM9</f>
        <v>-297103293</v>
      </c>
      <c r="CS9" s="552"/>
      <c r="CT9" s="552">
        <f t="shared" si="3"/>
        <v>0</v>
      </c>
      <c r="CU9" s="553"/>
      <c r="CV9" s="710"/>
      <c r="CW9" s="551">
        <v>297103293</v>
      </c>
      <c r="CX9" s="552">
        <v>-297103293</v>
      </c>
      <c r="CY9" s="552">
        <v>0</v>
      </c>
      <c r="CZ9" s="552"/>
      <c r="DA9" s="552">
        <v>0</v>
      </c>
      <c r="DB9" s="552"/>
      <c r="DC9" s="552">
        <v>0</v>
      </c>
      <c r="DD9" s="552">
        <v>297103293</v>
      </c>
      <c r="DE9" s="552">
        <v>-297103293</v>
      </c>
      <c r="DF9" s="552">
        <v>0</v>
      </c>
      <c r="DG9" s="552"/>
      <c r="DH9" s="552">
        <v>0</v>
      </c>
      <c r="DI9" s="711"/>
      <c r="DK9" s="551">
        <f t="shared" si="7"/>
        <v>297103293</v>
      </c>
      <c r="DL9" s="552">
        <f t="shared" si="4"/>
        <v>-297103293</v>
      </c>
      <c r="DM9" s="552">
        <f t="shared" si="5"/>
        <v>0</v>
      </c>
      <c r="DN9" s="552"/>
      <c r="DO9" s="552">
        <v>0</v>
      </c>
      <c r="DP9" s="552"/>
      <c r="DQ9" s="552">
        <v>0</v>
      </c>
      <c r="DR9" s="552">
        <f t="shared" si="8"/>
        <v>297103293</v>
      </c>
      <c r="DS9" s="552">
        <f t="shared" si="9"/>
        <v>-297103293</v>
      </c>
      <c r="DT9" s="552">
        <f t="shared" si="10"/>
        <v>0</v>
      </c>
      <c r="DU9" s="552"/>
      <c r="DV9" s="552">
        <f t="shared" si="6"/>
        <v>0</v>
      </c>
      <c r="DW9" s="711"/>
    </row>
    <row r="10" spans="3:127" ht="18" customHeight="1">
      <c r="C10" s="498" t="s">
        <v>2005</v>
      </c>
      <c r="D10" s="655" t="s">
        <v>15</v>
      </c>
      <c r="E10" s="572" t="s">
        <v>2082</v>
      </c>
      <c r="F10" s="709" t="s">
        <v>473</v>
      </c>
      <c r="G10" s="552"/>
      <c r="H10" s="552"/>
      <c r="I10" s="552"/>
      <c r="J10" s="552"/>
      <c r="K10" s="552"/>
      <c r="L10" s="552"/>
      <c r="M10" s="552"/>
      <c r="N10" s="552"/>
      <c r="O10" s="552"/>
      <c r="P10" s="553"/>
      <c r="AN10" s="551"/>
      <c r="AO10" s="552"/>
      <c r="AP10" s="552"/>
      <c r="AQ10" s="552"/>
      <c r="AR10" s="552"/>
      <c r="AS10" s="552"/>
      <c r="AT10" s="552"/>
      <c r="AU10" s="552"/>
      <c r="AV10" s="552"/>
      <c r="AW10" s="553"/>
      <c r="CI10" s="551">
        <f t="shared" si="1"/>
        <v>0</v>
      </c>
      <c r="CJ10" s="552">
        <f>BV10</f>
        <v>0</v>
      </c>
      <c r="CK10" s="552">
        <f>+CJ10-CI10</f>
        <v>0</v>
      </c>
      <c r="CL10" s="552"/>
      <c r="CM10" s="552">
        <v>0</v>
      </c>
      <c r="CN10" s="552"/>
      <c r="CO10" s="552"/>
      <c r="CP10" s="552">
        <f>+CQ10-CR10</f>
        <v>0</v>
      </c>
      <c r="CQ10" s="552">
        <f>SUM(CJ10:CO10)-CK10</f>
        <v>0</v>
      </c>
      <c r="CR10" s="552">
        <f>+CK10+CM10</f>
        <v>0</v>
      </c>
      <c r="CS10" s="552"/>
      <c r="CT10" s="552">
        <f t="shared" si="3"/>
        <v>0</v>
      </c>
      <c r="CU10" s="553"/>
      <c r="CV10" s="710"/>
      <c r="CW10" s="551">
        <v>1464530117</v>
      </c>
      <c r="CX10" s="552">
        <v>0</v>
      </c>
      <c r="CY10" s="552">
        <v>0</v>
      </c>
      <c r="CZ10" s="552"/>
      <c r="DA10" s="552">
        <v>0</v>
      </c>
      <c r="DB10" s="552">
        <v>1464530117</v>
      </c>
      <c r="DC10" s="552">
        <v>0</v>
      </c>
      <c r="DD10" s="552">
        <v>1464530117</v>
      </c>
      <c r="DE10" s="552">
        <v>0</v>
      </c>
      <c r="DF10" s="552">
        <v>1464530117</v>
      </c>
      <c r="DG10" s="552"/>
      <c r="DH10" s="552">
        <v>1464530117</v>
      </c>
      <c r="DI10" s="711" t="s">
        <v>2333</v>
      </c>
      <c r="DK10" s="551">
        <f t="shared" si="7"/>
        <v>1464530117</v>
      </c>
      <c r="DL10" s="552">
        <f t="shared" si="4"/>
        <v>0</v>
      </c>
      <c r="DM10" s="552">
        <f t="shared" si="5"/>
        <v>1464530117</v>
      </c>
      <c r="DN10" s="552"/>
      <c r="DO10" s="552">
        <v>0</v>
      </c>
      <c r="DP10" s="552"/>
      <c r="DQ10" s="552">
        <v>0</v>
      </c>
      <c r="DR10" s="552">
        <f t="shared" si="8"/>
        <v>1464530117</v>
      </c>
      <c r="DS10" s="552">
        <f t="shared" si="9"/>
        <v>0</v>
      </c>
      <c r="DT10" s="552">
        <f t="shared" si="10"/>
        <v>1464530117</v>
      </c>
      <c r="DU10" s="552"/>
      <c r="DV10" s="552">
        <f t="shared" si="6"/>
        <v>0</v>
      </c>
      <c r="DW10" s="711"/>
    </row>
    <row r="11" spans="3:127" ht="18" customHeight="1">
      <c r="C11" s="498" t="s">
        <v>2005</v>
      </c>
      <c r="D11" s="655" t="s">
        <v>15</v>
      </c>
      <c r="E11" s="572" t="s">
        <v>479</v>
      </c>
      <c r="F11" s="709" t="s">
        <v>473</v>
      </c>
      <c r="G11" s="552">
        <v>13175822804</v>
      </c>
      <c r="H11" s="552">
        <v>13175822804</v>
      </c>
      <c r="I11" s="552">
        <v>0</v>
      </c>
      <c r="J11" s="552">
        <v>-13175822804</v>
      </c>
      <c r="K11" s="552"/>
      <c r="L11" s="552"/>
      <c r="M11" s="552">
        <f>SUM(H11:L11)</f>
        <v>0</v>
      </c>
      <c r="N11" s="552">
        <v>0</v>
      </c>
      <c r="O11" s="552">
        <f>M11-H11</f>
        <v>-13175822804</v>
      </c>
      <c r="P11" s="711" t="s">
        <v>468</v>
      </c>
      <c r="Q11" s="565" t="e">
        <f>ROUND(+P11/3*3,)</f>
        <v>#VALUE!</v>
      </c>
      <c r="R11" s="498">
        <v>13175822804</v>
      </c>
      <c r="S11" s="498">
        <f>M11</f>
        <v>0</v>
      </c>
      <c r="X11" s="498">
        <f>SUM(S11:W11)</f>
        <v>0</v>
      </c>
      <c r="Y11" s="498">
        <v>0</v>
      </c>
      <c r="Z11" s="498">
        <f>X11-S11</f>
        <v>0</v>
      </c>
      <c r="AA11" s="565"/>
      <c r="AB11" s="565"/>
      <c r="AC11" s="498">
        <v>13175822804</v>
      </c>
      <c r="AD11" s="498">
        <f>X11</f>
        <v>0</v>
      </c>
      <c r="AI11" s="498">
        <f>SUM(AD11:AH11)</f>
        <v>0</v>
      </c>
      <c r="AJ11" s="498">
        <v>0</v>
      </c>
      <c r="AK11" s="498">
        <f>AI11-AD11</f>
        <v>0</v>
      </c>
      <c r="AL11" s="565"/>
      <c r="AN11" s="551">
        <v>13175822804</v>
      </c>
      <c r="AO11" s="552">
        <f>M11</f>
        <v>0</v>
      </c>
      <c r="AP11" s="552"/>
      <c r="AQ11" s="552"/>
      <c r="AR11" s="552"/>
      <c r="AS11" s="552"/>
      <c r="AT11" s="552">
        <f>SUM(AO11:AS11)</f>
        <v>0</v>
      </c>
      <c r="AU11" s="552">
        <v>0</v>
      </c>
      <c r="AV11" s="552">
        <f>AT11-AO11</f>
        <v>0</v>
      </c>
      <c r="AW11" s="711"/>
      <c r="AY11" s="498">
        <v>13175822804</v>
      </c>
      <c r="AZ11" s="498">
        <f>+AT11</f>
        <v>0</v>
      </c>
      <c r="BE11" s="498">
        <f>SUM(AZ11:BD11)</f>
        <v>0</v>
      </c>
      <c r="BF11" s="498">
        <v>0</v>
      </c>
      <c r="BG11" s="498">
        <f>BE11-AZ11</f>
        <v>0</v>
      </c>
      <c r="BH11" s="565"/>
      <c r="BJ11" s="498">
        <f>+G11</f>
        <v>13175822804</v>
      </c>
      <c r="BK11" s="498">
        <v>0</v>
      </c>
      <c r="BP11" s="498">
        <v>0</v>
      </c>
      <c r="BQ11" s="498">
        <v>0</v>
      </c>
      <c r="BR11" s="498">
        <v>0</v>
      </c>
      <c r="BS11" s="565"/>
      <c r="BU11" s="498">
        <f>+G11</f>
        <v>13175822804</v>
      </c>
      <c r="BV11" s="498">
        <f>+AT11</f>
        <v>0</v>
      </c>
      <c r="BW11" s="498">
        <f>+BV11-BU11</f>
        <v>-13175822804</v>
      </c>
      <c r="CB11" s="498">
        <f>+CC11-CD11</f>
        <v>13175822804</v>
      </c>
      <c r="CC11" s="498">
        <f>SUM(BV11:CA11)-BW11</f>
        <v>0</v>
      </c>
      <c r="CD11" s="498">
        <f t="shared" si="0"/>
        <v>-13175822804</v>
      </c>
      <c r="CE11" s="498">
        <v>0</v>
      </c>
      <c r="CF11" s="498">
        <f>CC11-BV11</f>
        <v>0</v>
      </c>
      <c r="CG11" s="565"/>
      <c r="CI11" s="551">
        <f t="shared" si="1"/>
        <v>13175822804</v>
      </c>
      <c r="CJ11" s="552">
        <f t="shared" si="1"/>
        <v>0</v>
      </c>
      <c r="CK11" s="552">
        <f>+CJ11-CI11</f>
        <v>-13175822804</v>
      </c>
      <c r="CL11" s="552"/>
      <c r="CM11" s="552">
        <v>0</v>
      </c>
      <c r="CN11" s="552"/>
      <c r="CO11" s="552"/>
      <c r="CP11" s="552">
        <f>+CQ11-CR11</f>
        <v>13175822804</v>
      </c>
      <c r="CQ11" s="552">
        <f>SUM(CJ11:CO11)-CK11</f>
        <v>0</v>
      </c>
      <c r="CR11" s="552">
        <f t="shared" si="2"/>
        <v>-13175822804</v>
      </c>
      <c r="CS11" s="552"/>
      <c r="CT11" s="552">
        <f t="shared" si="3"/>
        <v>0</v>
      </c>
      <c r="CU11" s="711"/>
      <c r="CV11" s="712"/>
      <c r="CW11" s="551">
        <v>13175822804</v>
      </c>
      <c r="CX11" s="552">
        <v>-13175822804</v>
      </c>
      <c r="CY11" s="552">
        <v>0</v>
      </c>
      <c r="CZ11" s="552"/>
      <c r="DA11" s="552">
        <v>0</v>
      </c>
      <c r="DB11" s="552"/>
      <c r="DC11" s="552">
        <v>0</v>
      </c>
      <c r="DD11" s="552">
        <v>13175822804</v>
      </c>
      <c r="DE11" s="552">
        <v>-13175822804</v>
      </c>
      <c r="DF11" s="552">
        <v>0</v>
      </c>
      <c r="DG11" s="552"/>
      <c r="DH11" s="552">
        <v>0</v>
      </c>
      <c r="DI11" s="711"/>
      <c r="DK11" s="551">
        <f t="shared" si="7"/>
        <v>13175822804</v>
      </c>
      <c r="DL11" s="552">
        <f t="shared" si="4"/>
        <v>-13175822804</v>
      </c>
      <c r="DM11" s="552">
        <f t="shared" si="5"/>
        <v>0</v>
      </c>
      <c r="DN11" s="552"/>
      <c r="DO11" s="552">
        <v>0</v>
      </c>
      <c r="DP11" s="552"/>
      <c r="DQ11" s="552">
        <v>0</v>
      </c>
      <c r="DR11" s="552">
        <f t="shared" si="8"/>
        <v>13175822804</v>
      </c>
      <c r="DS11" s="552">
        <f t="shared" si="9"/>
        <v>-13175822804</v>
      </c>
      <c r="DT11" s="552">
        <f t="shared" si="10"/>
        <v>0</v>
      </c>
      <c r="DU11" s="552"/>
      <c r="DV11" s="552">
        <f t="shared" si="6"/>
        <v>0</v>
      </c>
      <c r="DW11" s="711"/>
    </row>
    <row r="12" spans="3:127" ht="18" customHeight="1">
      <c r="C12" s="498" t="s">
        <v>2005</v>
      </c>
      <c r="D12" s="655" t="s">
        <v>15</v>
      </c>
      <c r="E12" s="572" t="s">
        <v>216</v>
      </c>
      <c r="F12" s="709" t="s">
        <v>473</v>
      </c>
      <c r="G12" s="552">
        <v>4096993217</v>
      </c>
      <c r="H12" s="552">
        <v>0</v>
      </c>
      <c r="I12" s="552">
        <v>4096993217</v>
      </c>
      <c r="J12" s="552"/>
      <c r="K12" s="552"/>
      <c r="L12" s="552"/>
      <c r="M12" s="552">
        <f>SUM(H12:L12)</f>
        <v>4096993217</v>
      </c>
      <c r="N12" s="552"/>
      <c r="O12" s="552">
        <f>M12-H12</f>
        <v>4096993217</v>
      </c>
      <c r="P12" s="711" t="s">
        <v>469</v>
      </c>
      <c r="Q12" s="565"/>
      <c r="R12" s="498">
        <v>4096993217</v>
      </c>
      <c r="S12" s="498">
        <f>M12</f>
        <v>4096993217</v>
      </c>
      <c r="T12" s="498">
        <v>-4096993217</v>
      </c>
      <c r="X12" s="498">
        <f>SUM(S12:W12)</f>
        <v>0</v>
      </c>
      <c r="Z12" s="498">
        <f>X12-S12</f>
        <v>-4096993217</v>
      </c>
      <c r="AA12" s="565" t="s">
        <v>1533</v>
      </c>
      <c r="AB12" s="565"/>
      <c r="AC12" s="498">
        <v>4096993217</v>
      </c>
      <c r="AD12" s="498">
        <f>X12</f>
        <v>0</v>
      </c>
      <c r="AE12" s="498">
        <v>-4096993217</v>
      </c>
      <c r="AI12" s="498">
        <f>SUM(AD12:AH12)</f>
        <v>-4096993217</v>
      </c>
      <c r="AK12" s="498">
        <f>AI12-AD12</f>
        <v>-4096993217</v>
      </c>
      <c r="AL12" s="565" t="s">
        <v>1533</v>
      </c>
      <c r="AN12" s="551">
        <v>4096993217</v>
      </c>
      <c r="AO12" s="552">
        <f>M12</f>
        <v>4096993217</v>
      </c>
      <c r="AP12" s="552">
        <v>-4096993217</v>
      </c>
      <c r="AQ12" s="552"/>
      <c r="AR12" s="552"/>
      <c r="AS12" s="552"/>
      <c r="AT12" s="552">
        <f>SUM(AO12:AS12)</f>
        <v>0</v>
      </c>
      <c r="AU12" s="552"/>
      <c r="AV12" s="552">
        <f>AT12-AO12</f>
        <v>-4096993217</v>
      </c>
      <c r="AW12" s="711" t="s">
        <v>1533</v>
      </c>
      <c r="AY12" s="498">
        <v>4096993217</v>
      </c>
      <c r="AZ12" s="498">
        <f>+AT12</f>
        <v>0</v>
      </c>
      <c r="BE12" s="498">
        <f>SUM(AZ12:BD12)</f>
        <v>0</v>
      </c>
      <c r="BG12" s="498">
        <f>BE12-AZ12</f>
        <v>0</v>
      </c>
      <c r="BH12" s="565" t="s">
        <v>1533</v>
      </c>
      <c r="BJ12" s="498">
        <f>+G12</f>
        <v>4096993217</v>
      </c>
      <c r="BK12" s="498">
        <v>0</v>
      </c>
      <c r="BP12" s="498">
        <v>0</v>
      </c>
      <c r="BR12" s="498">
        <v>0</v>
      </c>
      <c r="BS12" s="565" t="s">
        <v>1533</v>
      </c>
      <c r="BU12" s="498">
        <f>+G12</f>
        <v>4096993217</v>
      </c>
      <c r="BV12" s="498">
        <f>+BU12</f>
        <v>4096993217</v>
      </c>
      <c r="CB12" s="498">
        <f>+BU12</f>
        <v>4096993217</v>
      </c>
      <c r="CC12" s="498">
        <f>+CB12</f>
        <v>4096993217</v>
      </c>
      <c r="CD12" s="498">
        <f t="shared" si="0"/>
        <v>0</v>
      </c>
      <c r="CF12" s="498">
        <f>CC12-BV12</f>
        <v>0</v>
      </c>
      <c r="CG12" s="565" t="s">
        <v>1533</v>
      </c>
      <c r="CI12" s="551">
        <f t="shared" si="1"/>
        <v>4096993217</v>
      </c>
      <c r="CJ12" s="552">
        <f t="shared" si="1"/>
        <v>4096993217</v>
      </c>
      <c r="CK12" s="552"/>
      <c r="CL12" s="552"/>
      <c r="CM12" s="552">
        <v>0</v>
      </c>
      <c r="CN12" s="552"/>
      <c r="CO12" s="552"/>
      <c r="CP12" s="552">
        <f>+CI12</f>
        <v>4096993217</v>
      </c>
      <c r="CQ12" s="552">
        <f>+CP12</f>
        <v>4096993217</v>
      </c>
      <c r="CR12" s="552">
        <f t="shared" si="2"/>
        <v>0</v>
      </c>
      <c r="CS12" s="552"/>
      <c r="CT12" s="552">
        <f t="shared" si="3"/>
        <v>0</v>
      </c>
      <c r="CU12" s="711" t="s">
        <v>1533</v>
      </c>
      <c r="CV12" s="712"/>
      <c r="CW12" s="551">
        <v>4096993217</v>
      </c>
      <c r="CX12" s="552">
        <v>0</v>
      </c>
      <c r="CY12" s="552">
        <v>4096993217</v>
      </c>
      <c r="CZ12" s="552"/>
      <c r="DA12" s="552">
        <v>0</v>
      </c>
      <c r="DB12" s="552"/>
      <c r="DC12" s="552">
        <v>0</v>
      </c>
      <c r="DD12" s="552">
        <v>4096993217</v>
      </c>
      <c r="DE12" s="552">
        <v>0</v>
      </c>
      <c r="DF12" s="552">
        <v>4096993217</v>
      </c>
      <c r="DG12" s="552"/>
      <c r="DH12" s="552">
        <v>0</v>
      </c>
      <c r="DI12" s="711"/>
      <c r="DK12" s="551">
        <f t="shared" si="7"/>
        <v>4096993217</v>
      </c>
      <c r="DL12" s="552">
        <f t="shared" si="4"/>
        <v>0</v>
      </c>
      <c r="DM12" s="552">
        <f t="shared" si="5"/>
        <v>4096993217</v>
      </c>
      <c r="DN12" s="552"/>
      <c r="DO12" s="552">
        <v>0</v>
      </c>
      <c r="DP12" s="552"/>
      <c r="DQ12" s="552">
        <v>0</v>
      </c>
      <c r="DR12" s="552">
        <f t="shared" si="8"/>
        <v>4096993217</v>
      </c>
      <c r="DS12" s="552">
        <f t="shared" si="9"/>
        <v>0</v>
      </c>
      <c r="DT12" s="552">
        <f t="shared" si="10"/>
        <v>4096993217</v>
      </c>
      <c r="DU12" s="552"/>
      <c r="DV12" s="552">
        <f t="shared" si="6"/>
        <v>0</v>
      </c>
      <c r="DW12" s="711"/>
    </row>
    <row r="13" spans="3:127" ht="18" customHeight="1">
      <c r="C13" s="498" t="s">
        <v>2005</v>
      </c>
      <c r="D13" s="655" t="s">
        <v>15</v>
      </c>
      <c r="E13" s="572" t="s">
        <v>2328</v>
      </c>
      <c r="F13" s="709"/>
      <c r="G13" s="552"/>
      <c r="H13" s="552"/>
      <c r="I13" s="552"/>
      <c r="J13" s="552"/>
      <c r="K13" s="552"/>
      <c r="L13" s="552"/>
      <c r="M13" s="552"/>
      <c r="N13" s="552"/>
      <c r="O13" s="552"/>
      <c r="P13" s="553"/>
      <c r="AN13" s="551"/>
      <c r="AO13" s="552"/>
      <c r="AP13" s="552"/>
      <c r="AQ13" s="552"/>
      <c r="AR13" s="552"/>
      <c r="AS13" s="552"/>
      <c r="AT13" s="552"/>
      <c r="AU13" s="552"/>
      <c r="AV13" s="552"/>
      <c r="AW13" s="553"/>
      <c r="BU13" s="498">
        <v>484923306</v>
      </c>
      <c r="BV13" s="498">
        <v>484923306</v>
      </c>
      <c r="BW13" s="498">
        <f>+BV13-BU13</f>
        <v>0</v>
      </c>
      <c r="CB13" s="498">
        <f>+CC13-CD13</f>
        <v>484923306</v>
      </c>
      <c r="CC13" s="498">
        <f>SUM(BV13:CA13)-BW13</f>
        <v>484923306</v>
      </c>
      <c r="CD13" s="498">
        <f t="shared" si="0"/>
        <v>0</v>
      </c>
      <c r="CI13" s="551">
        <f t="shared" si="1"/>
        <v>484923306</v>
      </c>
      <c r="CJ13" s="552">
        <f t="shared" si="1"/>
        <v>484923306</v>
      </c>
      <c r="CK13" s="552">
        <f>+CJ13-CI13</f>
        <v>0</v>
      </c>
      <c r="CL13" s="552"/>
      <c r="CM13" s="552">
        <v>-484923306</v>
      </c>
      <c r="CN13" s="552"/>
      <c r="CO13" s="552"/>
      <c r="CP13" s="552">
        <f>+CQ13-CR13</f>
        <v>484923306</v>
      </c>
      <c r="CQ13" s="552">
        <f>SUM(CJ13:CO13)-CK13</f>
        <v>0</v>
      </c>
      <c r="CR13" s="552">
        <f t="shared" si="2"/>
        <v>-484923306</v>
      </c>
      <c r="CS13" s="552"/>
      <c r="CT13" s="552">
        <f t="shared" si="3"/>
        <v>-484923306</v>
      </c>
      <c r="CU13" s="553"/>
      <c r="CV13" s="710"/>
      <c r="CW13" s="551">
        <v>484923306</v>
      </c>
      <c r="CX13" s="552">
        <v>-484923306</v>
      </c>
      <c r="CY13" s="552">
        <v>0</v>
      </c>
      <c r="CZ13" s="552"/>
      <c r="DA13" s="552">
        <v>0</v>
      </c>
      <c r="DB13" s="552"/>
      <c r="DC13" s="552">
        <v>0</v>
      </c>
      <c r="DD13" s="552">
        <v>484923306</v>
      </c>
      <c r="DE13" s="552">
        <v>-484923306</v>
      </c>
      <c r="DF13" s="552">
        <v>0</v>
      </c>
      <c r="DG13" s="552"/>
      <c r="DH13" s="552">
        <v>0</v>
      </c>
      <c r="DI13" s="711"/>
      <c r="DK13" s="551">
        <f t="shared" si="7"/>
        <v>484923306</v>
      </c>
      <c r="DL13" s="552">
        <f t="shared" si="4"/>
        <v>-484923306</v>
      </c>
      <c r="DM13" s="552">
        <f t="shared" si="5"/>
        <v>0</v>
      </c>
      <c r="DN13" s="552"/>
      <c r="DO13" s="552">
        <v>0</v>
      </c>
      <c r="DP13" s="552"/>
      <c r="DQ13" s="552">
        <v>0</v>
      </c>
      <c r="DR13" s="552">
        <f t="shared" si="8"/>
        <v>484923306</v>
      </c>
      <c r="DS13" s="552">
        <f t="shared" si="9"/>
        <v>-484923306</v>
      </c>
      <c r="DT13" s="552">
        <f t="shared" si="10"/>
        <v>0</v>
      </c>
      <c r="DU13" s="552"/>
      <c r="DV13" s="552">
        <f t="shared" si="6"/>
        <v>0</v>
      </c>
      <c r="DW13" s="711"/>
    </row>
    <row r="14" spans="3:127" ht="18" customHeight="1" thickBot="1">
      <c r="D14" s="713"/>
      <c r="E14" s="714"/>
      <c r="F14" s="715"/>
      <c r="G14" s="716">
        <f>SUM(G7:G13)</f>
        <v>19715806289</v>
      </c>
      <c r="H14" s="716">
        <f t="shared" ref="H14:O14" si="11">SUM(H7:H13)</f>
        <v>15618813072</v>
      </c>
      <c r="I14" s="716">
        <f t="shared" si="11"/>
        <v>4096993217</v>
      </c>
      <c r="J14" s="716">
        <f t="shared" si="11"/>
        <v>-13470818114</v>
      </c>
      <c r="K14" s="716">
        <f t="shared" si="11"/>
        <v>0</v>
      </c>
      <c r="L14" s="716">
        <f t="shared" si="11"/>
        <v>-2107983</v>
      </c>
      <c r="M14" s="716">
        <f t="shared" si="11"/>
        <v>6242880192</v>
      </c>
      <c r="N14" s="716">
        <f t="shared" si="11"/>
        <v>0</v>
      </c>
      <c r="O14" s="716">
        <f t="shared" si="11"/>
        <v>-9375932880</v>
      </c>
      <c r="P14" s="717"/>
      <c r="R14" s="718"/>
      <c r="S14" s="718"/>
      <c r="T14" s="718"/>
      <c r="U14" s="718"/>
      <c r="V14" s="718"/>
      <c r="W14" s="718"/>
      <c r="X14" s="718"/>
      <c r="Y14" s="718"/>
      <c r="Z14" s="718"/>
      <c r="AA14" s="718"/>
      <c r="AC14" s="718"/>
      <c r="AD14" s="718"/>
      <c r="AE14" s="718"/>
      <c r="AF14" s="718"/>
      <c r="AG14" s="718"/>
      <c r="AH14" s="718"/>
      <c r="AI14" s="718"/>
      <c r="AJ14" s="718"/>
      <c r="AK14" s="718"/>
      <c r="AL14" s="718"/>
      <c r="AN14" s="719">
        <f>SUM(AN7:AN13)</f>
        <v>19695963489</v>
      </c>
      <c r="AO14" s="716">
        <f t="shared" ref="AO14:AW14" si="12">SUM(AO7:AO13)</f>
        <v>6242880192</v>
      </c>
      <c r="AP14" s="716">
        <f t="shared" si="12"/>
        <v>-4096993217</v>
      </c>
      <c r="AQ14" s="716">
        <f t="shared" si="12"/>
        <v>-1936461513.2483287</v>
      </c>
      <c r="AR14" s="716">
        <f t="shared" si="12"/>
        <v>0</v>
      </c>
      <c r="AS14" s="716">
        <f t="shared" si="12"/>
        <v>0</v>
      </c>
      <c r="AT14" s="716">
        <f t="shared" si="12"/>
        <v>209425461.75167131</v>
      </c>
      <c r="AU14" s="716">
        <f t="shared" si="12"/>
        <v>0</v>
      </c>
      <c r="AV14" s="716">
        <f t="shared" si="12"/>
        <v>-6033454730.2483292</v>
      </c>
      <c r="AW14" s="717">
        <f t="shared" si="12"/>
        <v>0</v>
      </c>
      <c r="AY14" s="718"/>
      <c r="AZ14" s="718"/>
      <c r="BA14" s="718"/>
      <c r="BB14" s="718"/>
      <c r="BC14" s="718"/>
      <c r="BD14" s="718"/>
      <c r="BE14" s="718"/>
      <c r="BF14" s="718"/>
      <c r="BG14" s="718"/>
      <c r="BH14" s="718"/>
      <c r="BJ14" s="718"/>
      <c r="BK14" s="718"/>
      <c r="BL14" s="718"/>
      <c r="BM14" s="718"/>
      <c r="BN14" s="718"/>
      <c r="BO14" s="718"/>
      <c r="BP14" s="718"/>
      <c r="BQ14" s="718"/>
      <c r="BR14" s="718"/>
      <c r="BS14" s="718"/>
      <c r="BU14" s="718"/>
      <c r="BV14" s="718"/>
      <c r="BW14" s="718"/>
      <c r="BX14" s="718"/>
      <c r="BY14" s="718"/>
      <c r="BZ14" s="718"/>
      <c r="CA14" s="718"/>
      <c r="CB14" s="718"/>
      <c r="CC14" s="718"/>
      <c r="CD14" s="718"/>
      <c r="CE14" s="718"/>
      <c r="CF14" s="718"/>
      <c r="CG14" s="718"/>
      <c r="CI14" s="719">
        <f t="shared" ref="CI14:CT14" si="13">SUM(CI7:CI13)</f>
        <v>20200729595</v>
      </c>
      <c r="CJ14" s="716">
        <f>SUM(CJ7:CJ13)</f>
        <v>4791341984.7516708</v>
      </c>
      <c r="CK14" s="716">
        <f t="shared" si="13"/>
        <v>-15409387610.248329</v>
      </c>
      <c r="CL14" s="716">
        <f t="shared" si="13"/>
        <v>0</v>
      </c>
      <c r="CM14" s="716">
        <f t="shared" si="13"/>
        <v>-484923306</v>
      </c>
      <c r="CN14" s="716">
        <f t="shared" si="13"/>
        <v>0</v>
      </c>
      <c r="CO14" s="716">
        <f t="shared" si="13"/>
        <v>0</v>
      </c>
      <c r="CP14" s="716">
        <f t="shared" si="13"/>
        <v>20200729595</v>
      </c>
      <c r="CQ14" s="716">
        <f>SUM(CQ7:CQ13)</f>
        <v>4306418678.7516708</v>
      </c>
      <c r="CR14" s="716">
        <f t="shared" si="13"/>
        <v>-15894310916.248329</v>
      </c>
      <c r="CS14" s="716"/>
      <c r="CT14" s="716">
        <f t="shared" si="13"/>
        <v>-484923306</v>
      </c>
      <c r="CU14" s="717"/>
      <c r="CV14" s="720"/>
      <c r="CW14" s="719">
        <f t="shared" ref="CW14:DI14" si="14">SUM(CW7:CW13)</f>
        <v>21665259712</v>
      </c>
      <c r="CX14" s="716">
        <f t="shared" si="14"/>
        <v>-15894310916.248329</v>
      </c>
      <c r="CY14" s="716">
        <f t="shared" si="14"/>
        <v>4306418678.7516708</v>
      </c>
      <c r="CZ14" s="716">
        <f t="shared" si="14"/>
        <v>0</v>
      </c>
      <c r="DA14" s="716">
        <f t="shared" si="14"/>
        <v>0</v>
      </c>
      <c r="DB14" s="716">
        <f t="shared" si="14"/>
        <v>1464530117</v>
      </c>
      <c r="DC14" s="716">
        <f t="shared" si="14"/>
        <v>0</v>
      </c>
      <c r="DD14" s="716">
        <f t="shared" si="14"/>
        <v>21665259712</v>
      </c>
      <c r="DE14" s="716">
        <f t="shared" si="14"/>
        <v>-15894310916.248329</v>
      </c>
      <c r="DF14" s="716">
        <f t="shared" si="14"/>
        <v>5770948795.7516708</v>
      </c>
      <c r="DG14" s="716">
        <f t="shared" si="14"/>
        <v>0</v>
      </c>
      <c r="DH14" s="716">
        <f t="shared" si="14"/>
        <v>1464530117</v>
      </c>
      <c r="DI14" s="717">
        <f t="shared" si="14"/>
        <v>0</v>
      </c>
      <c r="DK14" s="719">
        <f t="shared" ref="DK14:DV14" si="15">SUM(DK7:DK13)</f>
        <v>21665259712</v>
      </c>
      <c r="DL14" s="716">
        <f>SUM(DL7:DL13)</f>
        <v>-15894310916.248329</v>
      </c>
      <c r="DM14" s="716">
        <f t="shared" si="15"/>
        <v>5770948795.7516708</v>
      </c>
      <c r="DN14" s="716">
        <f t="shared" si="15"/>
        <v>0</v>
      </c>
      <c r="DO14" s="716">
        <f t="shared" si="15"/>
        <v>-19842800</v>
      </c>
      <c r="DP14" s="716">
        <f t="shared" si="15"/>
        <v>0</v>
      </c>
      <c r="DQ14" s="716">
        <f t="shared" si="15"/>
        <v>0</v>
      </c>
      <c r="DR14" s="716">
        <f t="shared" si="15"/>
        <v>21665259712</v>
      </c>
      <c r="DS14" s="716">
        <f>SUM(DS7:DS13)</f>
        <v>-15914153716.248329</v>
      </c>
      <c r="DT14" s="716">
        <f t="shared" si="15"/>
        <v>5751105995.7516708</v>
      </c>
      <c r="DU14" s="716"/>
      <c r="DV14" s="716">
        <f t="shared" si="15"/>
        <v>-19842800</v>
      </c>
      <c r="DW14" s="717"/>
    </row>
    <row r="16" spans="3:127" ht="18" customHeight="1" thickBot="1">
      <c r="D16" s="540" t="s">
        <v>475</v>
      </c>
      <c r="Q16" s="498">
        <v>11.308299999999999</v>
      </c>
    </row>
    <row r="17" spans="3:127" ht="18" customHeight="1" thickBot="1">
      <c r="D17" s="2160"/>
      <c r="E17" s="2161"/>
      <c r="Q17" s="498">
        <v>10.9626</v>
      </c>
      <c r="AC17" s="2171" t="s">
        <v>1702</v>
      </c>
      <c r="AD17" s="2171"/>
      <c r="AE17" s="2171"/>
      <c r="AF17" s="2171"/>
      <c r="AG17" s="2171"/>
      <c r="AH17" s="2171"/>
      <c r="AI17" s="2171"/>
      <c r="AJ17" s="2171"/>
      <c r="AK17" s="2171"/>
      <c r="AL17" s="2171"/>
      <c r="AN17" s="2172" t="s">
        <v>2330</v>
      </c>
      <c r="AO17" s="2173"/>
      <c r="AP17" s="2173"/>
      <c r="AQ17" s="2173"/>
      <c r="AR17" s="2173"/>
      <c r="AS17" s="2173"/>
      <c r="AT17" s="2173"/>
      <c r="AU17" s="2173"/>
      <c r="AV17" s="2173"/>
      <c r="AW17" s="2174"/>
      <c r="AY17" s="2170" t="s">
        <v>1863</v>
      </c>
      <c r="AZ17" s="2170"/>
      <c r="BA17" s="2170"/>
      <c r="BB17" s="2170"/>
      <c r="BC17" s="2170"/>
      <c r="BD17" s="2170"/>
      <c r="BE17" s="2170"/>
      <c r="BF17" s="2170"/>
      <c r="BG17" s="2170"/>
      <c r="BH17" s="2170"/>
      <c r="BJ17" s="2170" t="str">
        <f>+BJ5</f>
        <v>Change in FY2020 Q2</v>
      </c>
      <c r="BK17" s="2170"/>
      <c r="BL17" s="2170"/>
      <c r="BM17" s="2170"/>
      <c r="BN17" s="2170"/>
      <c r="BO17" s="2170"/>
      <c r="BP17" s="2170"/>
      <c r="BQ17" s="2170"/>
      <c r="BR17" s="2170"/>
      <c r="BS17" s="2170"/>
      <c r="BU17" s="2170" t="str">
        <f>+BU5</f>
        <v>Change in FY2020 Q3</v>
      </c>
      <c r="BV17" s="2170"/>
      <c r="BW17" s="2170"/>
      <c r="BX17" s="2170"/>
      <c r="BY17" s="2170"/>
      <c r="BZ17" s="2170"/>
      <c r="CA17" s="2170"/>
      <c r="CB17" s="2170"/>
      <c r="CC17" s="2170"/>
      <c r="CD17" s="2170"/>
      <c r="CE17" s="2170"/>
      <c r="CF17" s="2170"/>
      <c r="CG17" s="2170"/>
      <c r="CI17" s="2172" t="str">
        <f>+CI5</f>
        <v>Change in FY2020.Q4</v>
      </c>
      <c r="CJ17" s="2173"/>
      <c r="CK17" s="2173"/>
      <c r="CL17" s="2173"/>
      <c r="CM17" s="2173"/>
      <c r="CN17" s="2173"/>
      <c r="CO17" s="2173"/>
      <c r="CP17" s="2173"/>
      <c r="CQ17" s="2173"/>
      <c r="CR17" s="2173"/>
      <c r="CS17" s="2173"/>
      <c r="CT17" s="2173"/>
      <c r="CU17" s="2174"/>
      <c r="CV17" s="695"/>
      <c r="CW17" s="2178" t="s">
        <v>2395</v>
      </c>
      <c r="CX17" s="2179"/>
      <c r="CY17" s="2179"/>
      <c r="CZ17" s="2179"/>
      <c r="DA17" s="2179"/>
      <c r="DB17" s="2179"/>
      <c r="DC17" s="2179"/>
      <c r="DD17" s="2179"/>
      <c r="DE17" s="2179"/>
      <c r="DF17" s="2179"/>
      <c r="DG17" s="2179"/>
      <c r="DH17" s="2179"/>
      <c r="DI17" s="2180"/>
      <c r="DK17" s="2175" t="str">
        <f>+DK5</f>
        <v>Change in FY2022.Q4</v>
      </c>
      <c r="DL17" s="2176"/>
      <c r="DM17" s="2176"/>
      <c r="DN17" s="2176"/>
      <c r="DO17" s="2176"/>
      <c r="DP17" s="2176"/>
      <c r="DQ17" s="2176"/>
      <c r="DR17" s="2176"/>
      <c r="DS17" s="2176"/>
      <c r="DT17" s="2176"/>
      <c r="DU17" s="2176"/>
      <c r="DV17" s="2176"/>
      <c r="DW17" s="2177"/>
    </row>
    <row r="18" spans="3:127" s="519" customFormat="1" ht="18" customHeight="1">
      <c r="D18" s="696" t="s">
        <v>458</v>
      </c>
      <c r="E18" s="697" t="s">
        <v>459</v>
      </c>
      <c r="F18" s="698" t="s">
        <v>471</v>
      </c>
      <c r="G18" s="698" t="s">
        <v>466</v>
      </c>
      <c r="H18" s="698" t="s">
        <v>460</v>
      </c>
      <c r="I18" s="698" t="s">
        <v>461</v>
      </c>
      <c r="J18" s="698" t="s">
        <v>462</v>
      </c>
      <c r="K18" s="698" t="s">
        <v>463</v>
      </c>
      <c r="L18" s="698" t="s">
        <v>464</v>
      </c>
      <c r="M18" s="698" t="s">
        <v>2329</v>
      </c>
      <c r="N18" s="698" t="s">
        <v>483</v>
      </c>
      <c r="O18" s="698" t="s">
        <v>465</v>
      </c>
      <c r="P18" s="699" t="s">
        <v>477</v>
      </c>
      <c r="Q18" s="721"/>
      <c r="R18" s="701" t="s">
        <v>466</v>
      </c>
      <c r="S18" s="701" t="s">
        <v>460</v>
      </c>
      <c r="T18" s="701" t="s">
        <v>461</v>
      </c>
      <c r="U18" s="701" t="s">
        <v>462</v>
      </c>
      <c r="V18" s="701" t="s">
        <v>463</v>
      </c>
      <c r="W18" s="701" t="s">
        <v>464</v>
      </c>
      <c r="X18" s="701" t="s">
        <v>395</v>
      </c>
      <c r="Y18" s="701"/>
      <c r="Z18" s="701" t="s">
        <v>465</v>
      </c>
      <c r="AA18" s="701" t="s">
        <v>477</v>
      </c>
      <c r="AB18" s="700"/>
      <c r="AC18" s="701" t="s">
        <v>466</v>
      </c>
      <c r="AD18" s="701" t="s">
        <v>460</v>
      </c>
      <c r="AE18" s="701" t="s">
        <v>461</v>
      </c>
      <c r="AF18" s="701" t="s">
        <v>462</v>
      </c>
      <c r="AG18" s="701" t="s">
        <v>463</v>
      </c>
      <c r="AH18" s="701" t="s">
        <v>464</v>
      </c>
      <c r="AI18" s="701" t="str">
        <f>AI6</f>
        <v>2019 3Q</v>
      </c>
      <c r="AJ18" s="701"/>
      <c r="AK18" s="701" t="s">
        <v>465</v>
      </c>
      <c r="AL18" s="701" t="s">
        <v>477</v>
      </c>
      <c r="AN18" s="702" t="s">
        <v>466</v>
      </c>
      <c r="AO18" s="703" t="s">
        <v>460</v>
      </c>
      <c r="AP18" s="703" t="s">
        <v>461</v>
      </c>
      <c r="AQ18" s="703" t="s">
        <v>462</v>
      </c>
      <c r="AR18" s="703" t="s">
        <v>463</v>
      </c>
      <c r="AS18" s="703" t="s">
        <v>464</v>
      </c>
      <c r="AT18" s="703" t="str">
        <f>AT6</f>
        <v>2019 4Q</v>
      </c>
      <c r="AU18" s="703" t="s">
        <v>483</v>
      </c>
      <c r="AV18" s="703" t="s">
        <v>465</v>
      </c>
      <c r="AW18" s="704" t="s">
        <v>477</v>
      </c>
      <c r="AX18" s="495"/>
      <c r="AY18" s="701" t="s">
        <v>466</v>
      </c>
      <c r="AZ18" s="701" t="s">
        <v>460</v>
      </c>
      <c r="BA18" s="701" t="s">
        <v>461</v>
      </c>
      <c r="BB18" s="701" t="s">
        <v>462</v>
      </c>
      <c r="BC18" s="701" t="s">
        <v>463</v>
      </c>
      <c r="BD18" s="701" t="s">
        <v>464</v>
      </c>
      <c r="BE18" s="701" t="str">
        <f>BE6</f>
        <v>2019 4Q</v>
      </c>
      <c r="BF18" s="701"/>
      <c r="BG18" s="701" t="s">
        <v>465</v>
      </c>
      <c r="BH18" s="701" t="s">
        <v>477</v>
      </c>
      <c r="BJ18" s="701" t="s">
        <v>466</v>
      </c>
      <c r="BK18" s="701" t="s">
        <v>460</v>
      </c>
      <c r="BL18" s="701" t="s">
        <v>461</v>
      </c>
      <c r="BM18" s="701" t="s">
        <v>462</v>
      </c>
      <c r="BN18" s="701" t="s">
        <v>463</v>
      </c>
      <c r="BO18" s="701" t="s">
        <v>464</v>
      </c>
      <c r="BP18" s="701" t="str">
        <f>BP6</f>
        <v>2019 4Q</v>
      </c>
      <c r="BQ18" s="701"/>
      <c r="BR18" s="701" t="s">
        <v>465</v>
      </c>
      <c r="BS18" s="701" t="s">
        <v>477</v>
      </c>
      <c r="BU18" s="701" t="s">
        <v>466</v>
      </c>
      <c r="BV18" s="701" t="s">
        <v>460</v>
      </c>
      <c r="BW18" s="701" t="s">
        <v>1958</v>
      </c>
      <c r="BX18" s="701" t="s">
        <v>461</v>
      </c>
      <c r="BY18" s="701" t="s">
        <v>462</v>
      </c>
      <c r="BZ18" s="701" t="s">
        <v>463</v>
      </c>
      <c r="CA18" s="701" t="s">
        <v>464</v>
      </c>
      <c r="CB18" s="701" t="s">
        <v>1989</v>
      </c>
      <c r="CC18" s="701" t="s">
        <v>1988</v>
      </c>
      <c r="CD18" s="701" t="s">
        <v>1958</v>
      </c>
      <c r="CE18" s="701"/>
      <c r="CF18" s="701" t="s">
        <v>465</v>
      </c>
      <c r="CG18" s="701" t="s">
        <v>477</v>
      </c>
      <c r="CI18" s="702" t="s">
        <v>466</v>
      </c>
      <c r="CJ18" s="703" t="s">
        <v>460</v>
      </c>
      <c r="CK18" s="703" t="s">
        <v>1958</v>
      </c>
      <c r="CL18" s="703" t="s">
        <v>461</v>
      </c>
      <c r="CM18" s="703" t="s">
        <v>462</v>
      </c>
      <c r="CN18" s="703" t="s">
        <v>463</v>
      </c>
      <c r="CO18" s="703" t="s">
        <v>464</v>
      </c>
      <c r="CP18" s="703" t="s">
        <v>1989</v>
      </c>
      <c r="CQ18" s="703" t="s">
        <v>1988</v>
      </c>
      <c r="CR18" s="703" t="s">
        <v>1958</v>
      </c>
      <c r="CS18" s="703" t="s">
        <v>483</v>
      </c>
      <c r="CT18" s="703" t="s">
        <v>465</v>
      </c>
      <c r="CU18" s="704" t="s">
        <v>477</v>
      </c>
      <c r="CV18" s="705"/>
      <c r="CW18" s="702" t="s">
        <v>466</v>
      </c>
      <c r="CX18" s="703" t="s">
        <v>1958</v>
      </c>
      <c r="CY18" s="703" t="s">
        <v>2032</v>
      </c>
      <c r="CZ18" s="703" t="s">
        <v>461</v>
      </c>
      <c r="DA18" s="703" t="s">
        <v>462</v>
      </c>
      <c r="DB18" s="703" t="s">
        <v>463</v>
      </c>
      <c r="DC18" s="703" t="s">
        <v>464</v>
      </c>
      <c r="DD18" s="703" t="s">
        <v>1989</v>
      </c>
      <c r="DE18" s="703" t="s">
        <v>1958</v>
      </c>
      <c r="DF18" s="703" t="s">
        <v>1988</v>
      </c>
      <c r="DG18" s="703" t="s">
        <v>483</v>
      </c>
      <c r="DH18" s="703" t="s">
        <v>465</v>
      </c>
      <c r="DI18" s="704" t="s">
        <v>477</v>
      </c>
      <c r="DK18" s="706" t="s">
        <v>466</v>
      </c>
      <c r="DL18" s="707" t="s">
        <v>1958</v>
      </c>
      <c r="DM18" s="707" t="s">
        <v>2032</v>
      </c>
      <c r="DN18" s="707" t="s">
        <v>461</v>
      </c>
      <c r="DO18" s="707" t="s">
        <v>462</v>
      </c>
      <c r="DP18" s="707" t="s">
        <v>463</v>
      </c>
      <c r="DQ18" s="707" t="s">
        <v>464</v>
      </c>
      <c r="DR18" s="707" t="s">
        <v>1989</v>
      </c>
      <c r="DS18" s="707" t="s">
        <v>1958</v>
      </c>
      <c r="DT18" s="707" t="s">
        <v>1988</v>
      </c>
      <c r="DU18" s="707" t="s">
        <v>483</v>
      </c>
      <c r="DV18" s="707" t="s">
        <v>465</v>
      </c>
      <c r="DW18" s="708" t="s">
        <v>477</v>
      </c>
    </row>
    <row r="19" spans="3:127" s="519" customFormat="1" ht="18" customHeight="1">
      <c r="D19" s="702" t="s">
        <v>472</v>
      </c>
      <c r="E19" s="703" t="s">
        <v>455</v>
      </c>
      <c r="F19" s="703"/>
      <c r="G19" s="703"/>
      <c r="H19" s="703"/>
      <c r="I19" s="703"/>
      <c r="J19" s="703"/>
      <c r="K19" s="703"/>
      <c r="L19" s="703" t="s">
        <v>534</v>
      </c>
      <c r="M19" s="722">
        <v>10.1318</v>
      </c>
      <c r="N19" s="722"/>
      <c r="O19" s="703"/>
      <c r="P19" s="704"/>
      <c r="Q19" s="721"/>
      <c r="R19" s="701"/>
      <c r="S19" s="701"/>
      <c r="T19" s="701"/>
      <c r="U19" s="701"/>
      <c r="V19" s="701"/>
      <c r="W19" s="701" t="s">
        <v>534</v>
      </c>
      <c r="X19" s="723">
        <v>10.282400000000001</v>
      </c>
      <c r="Y19" s="723"/>
      <c r="Z19" s="701"/>
      <c r="AA19" s="701"/>
      <c r="AB19" s="700"/>
      <c r="AC19" s="701"/>
      <c r="AD19" s="701"/>
      <c r="AE19" s="701"/>
      <c r="AF19" s="701"/>
      <c r="AG19" s="701"/>
      <c r="AH19" s="701" t="s">
        <v>534</v>
      </c>
      <c r="AI19" s="723">
        <v>0</v>
      </c>
      <c r="AJ19" s="723"/>
      <c r="AK19" s="701"/>
      <c r="AL19" s="701"/>
      <c r="AN19" s="702"/>
      <c r="AO19" s="703"/>
      <c r="AP19" s="703"/>
      <c r="AQ19" s="703"/>
      <c r="AR19" s="703"/>
      <c r="AS19" s="703" t="s">
        <v>534</v>
      </c>
      <c r="AT19" s="722">
        <v>0</v>
      </c>
      <c r="AU19" s="722"/>
      <c r="AV19" s="703"/>
      <c r="AW19" s="704"/>
      <c r="AX19" s="495"/>
      <c r="AY19" s="701"/>
      <c r="AZ19" s="701"/>
      <c r="BA19" s="701"/>
      <c r="BB19" s="701"/>
      <c r="BC19" s="701"/>
      <c r="BD19" s="701" t="s">
        <v>534</v>
      </c>
      <c r="BE19" s="723">
        <v>0</v>
      </c>
      <c r="BF19" s="723"/>
      <c r="BG19" s="701"/>
      <c r="BH19" s="701"/>
      <c r="BJ19" s="701"/>
      <c r="BK19" s="701"/>
      <c r="BL19" s="701"/>
      <c r="BM19" s="701"/>
      <c r="BN19" s="701"/>
      <c r="BO19" s="701" t="s">
        <v>534</v>
      </c>
      <c r="BP19" s="723">
        <v>0</v>
      </c>
      <c r="BQ19" s="723"/>
      <c r="BR19" s="701"/>
      <c r="BS19" s="701"/>
      <c r="BU19" s="701"/>
      <c r="BV19" s="701"/>
      <c r="BW19" s="701"/>
      <c r="BX19" s="701"/>
      <c r="BY19" s="701"/>
      <c r="BZ19" s="701"/>
      <c r="CA19" s="701" t="s">
        <v>534</v>
      </c>
      <c r="CB19" s="701"/>
      <c r="CC19" s="723">
        <v>0</v>
      </c>
      <c r="CD19" s="723"/>
      <c r="CE19" s="723"/>
      <c r="CF19" s="701"/>
      <c r="CG19" s="701"/>
      <c r="CI19" s="702"/>
      <c r="CJ19" s="703"/>
      <c r="CK19" s="703"/>
      <c r="CL19" s="703"/>
      <c r="CM19" s="703"/>
      <c r="CN19" s="703"/>
      <c r="CO19" s="703" t="s">
        <v>534</v>
      </c>
      <c r="CP19" s="703"/>
      <c r="CQ19" s="722">
        <v>0</v>
      </c>
      <c r="CR19" s="722"/>
      <c r="CS19" s="722"/>
      <c r="CT19" s="703"/>
      <c r="CU19" s="704"/>
      <c r="CV19" s="705"/>
      <c r="CW19" s="702"/>
      <c r="CX19" s="703"/>
      <c r="CY19" s="703"/>
      <c r="CZ19" s="703"/>
      <c r="DA19" s="703"/>
      <c r="DB19" s="703"/>
      <c r="DC19" s="703" t="s">
        <v>534</v>
      </c>
      <c r="DD19" s="703"/>
      <c r="DE19" s="703"/>
      <c r="DF19" s="703"/>
      <c r="DG19" s="703"/>
      <c r="DH19" s="703"/>
      <c r="DI19" s="704"/>
      <c r="DK19" s="706"/>
      <c r="DL19" s="707"/>
      <c r="DM19" s="707"/>
      <c r="DN19" s="707"/>
      <c r="DO19" s="707"/>
      <c r="DP19" s="707"/>
      <c r="DQ19" s="707" t="s">
        <v>534</v>
      </c>
      <c r="DR19" s="707"/>
      <c r="DS19" s="724"/>
      <c r="DT19" s="724"/>
      <c r="DU19" s="724"/>
      <c r="DV19" s="707"/>
      <c r="DW19" s="708"/>
    </row>
    <row r="20" spans="3:127" ht="18" customHeight="1">
      <c r="C20" s="498" t="s">
        <v>1986</v>
      </c>
      <c r="D20" s="655" t="s">
        <v>15</v>
      </c>
      <c r="E20" s="572" t="s">
        <v>1983</v>
      </c>
      <c r="F20" s="709" t="s">
        <v>473</v>
      </c>
      <c r="G20" s="552">
        <v>21748156283</v>
      </c>
      <c r="H20" s="552">
        <v>21748156283</v>
      </c>
      <c r="I20" s="552"/>
      <c r="J20" s="552"/>
      <c r="K20" s="552"/>
      <c r="L20" s="552">
        <v>-207501911</v>
      </c>
      <c r="M20" s="552">
        <f>SUM(H20:L20)</f>
        <v>21540654372</v>
      </c>
      <c r="N20" s="552"/>
      <c r="O20" s="552">
        <f>M20-H20</f>
        <v>-207501911</v>
      </c>
      <c r="P20" s="711" t="s">
        <v>476</v>
      </c>
      <c r="Q20" s="725"/>
      <c r="R20" s="498">
        <v>21748156283</v>
      </c>
      <c r="S20" s="498">
        <f>M20</f>
        <v>21540654372</v>
      </c>
      <c r="W20" s="498">
        <v>320182253</v>
      </c>
      <c r="X20" s="498">
        <f>SUM(S20:W20)</f>
        <v>21860836625</v>
      </c>
      <c r="Z20" s="498">
        <f>X20-S20</f>
        <v>320182253</v>
      </c>
      <c r="AA20" s="565"/>
      <c r="AB20" s="565"/>
      <c r="AC20" s="498">
        <f>R20</f>
        <v>21748156283</v>
      </c>
      <c r="AD20" s="498">
        <f>M20</f>
        <v>21540654372</v>
      </c>
      <c r="AE20" s="498">
        <f t="shared" ref="AE20:AG25" si="16">T20</f>
        <v>0</v>
      </c>
      <c r="AF20" s="498">
        <f t="shared" si="16"/>
        <v>0</v>
      </c>
      <c r="AG20" s="498">
        <f t="shared" si="16"/>
        <v>0</v>
      </c>
      <c r="AH20" s="498">
        <v>2130721472</v>
      </c>
      <c r="AI20" s="498">
        <v>23671375844</v>
      </c>
      <c r="AK20" s="498">
        <f>AI20-AD20</f>
        <v>2130721472</v>
      </c>
      <c r="AL20" s="565"/>
      <c r="AN20" s="551">
        <f>AC20</f>
        <v>21748156283</v>
      </c>
      <c r="AO20" s="552">
        <f>M20</f>
        <v>21540654372</v>
      </c>
      <c r="AP20" s="552">
        <f>AE20</f>
        <v>0</v>
      </c>
      <c r="AQ20" s="552">
        <f>ROUND(AQ7*AP31,0)</f>
        <v>-20593687255</v>
      </c>
      <c r="AR20" s="552">
        <f>AG20</f>
        <v>0</v>
      </c>
      <c r="AS20" s="552">
        <v>1069187616</v>
      </c>
      <c r="AT20" s="552">
        <f>ROUND(AT7*AP31,0)</f>
        <v>2016154733</v>
      </c>
      <c r="AU20" s="552"/>
      <c r="AV20" s="552">
        <f>AT20-AO20</f>
        <v>-19524499639</v>
      </c>
      <c r="AW20" s="711" t="s">
        <v>1745</v>
      </c>
      <c r="AX20" s="540" t="b">
        <f>SUM(AD20:AH20)-AI20=0</f>
        <v>1</v>
      </c>
      <c r="AY20" s="498">
        <f>AC20</f>
        <v>21748156283</v>
      </c>
      <c r="AZ20" s="498">
        <f>+AT20</f>
        <v>2016154733</v>
      </c>
      <c r="BA20" s="498">
        <f>AE20</f>
        <v>0</v>
      </c>
      <c r="BB20" s="498">
        <f>ROUND(BB7*BA31,0)</f>
        <v>0</v>
      </c>
      <c r="BC20" s="498">
        <f>AG20</f>
        <v>0</v>
      </c>
      <c r="BD20" s="498">
        <f>+BE20-BC20-BB20-BA20-AZ20</f>
        <v>127702881</v>
      </c>
      <c r="BE20" s="498">
        <f>ROUND(BE7*BA31,0)</f>
        <v>2143857614</v>
      </c>
      <c r="BG20" s="498">
        <f>BE20-AZ20</f>
        <v>127702881</v>
      </c>
      <c r="BH20" s="565" t="s">
        <v>1745</v>
      </c>
      <c r="BI20" s="494" t="b">
        <f>SUM(AO20:AS20)-AT20=0</f>
        <v>1</v>
      </c>
      <c r="BJ20" s="498">
        <v>21748156283</v>
      </c>
      <c r="BK20" s="498">
        <v>2016154733</v>
      </c>
      <c r="BL20" s="498">
        <v>0</v>
      </c>
      <c r="BM20" s="498">
        <v>0</v>
      </c>
      <c r="BN20" s="498">
        <v>0</v>
      </c>
      <c r="BO20" s="498">
        <v>99682563</v>
      </c>
      <c r="BP20" s="498">
        <v>2115837296</v>
      </c>
      <c r="BR20" s="498">
        <v>99682563</v>
      </c>
      <c r="BS20" s="565" t="s">
        <v>1745</v>
      </c>
      <c r="BU20" s="498">
        <f>+BV20-BW20</f>
        <v>22609841988</v>
      </c>
      <c r="BV20" s="498">
        <f>ROUND(BV7*$BX$32,)</f>
        <v>2016154733</v>
      </c>
      <c r="BW20" s="498">
        <f>ROUND(BW7*$BX$32,)</f>
        <v>-20593687255</v>
      </c>
      <c r="BX20" s="498">
        <f>AP20</f>
        <v>0</v>
      </c>
      <c r="BY20" s="498">
        <f>ROUND(BY7*BX30,0)</f>
        <v>0</v>
      </c>
      <c r="BZ20" s="498">
        <f t="shared" ref="BZ20:BZ26" si="17">AR20</f>
        <v>0</v>
      </c>
      <c r="CA20" s="498">
        <f>+CC20-BZ20-BY20-BX20-BV20</f>
        <v>92118216</v>
      </c>
      <c r="CB20" s="498">
        <f>ROUND(CB7*$BX$31,)</f>
        <v>23642886853</v>
      </c>
      <c r="CC20" s="498">
        <f>CB20+CD20</f>
        <v>2108272949</v>
      </c>
      <c r="CD20" s="498">
        <f>ROUND(CD7*BX31,0)</f>
        <v>-21534613904</v>
      </c>
      <c r="CF20" s="498">
        <f>CC20-BV20</f>
        <v>92118216</v>
      </c>
      <c r="CG20" s="565" t="s">
        <v>1745</v>
      </c>
      <c r="CI20" s="551">
        <f t="shared" ref="CI20:CI26" si="18">BU20</f>
        <v>22609841988</v>
      </c>
      <c r="CJ20" s="552">
        <f t="shared" ref="CJ20:CJ26" si="19">BV20</f>
        <v>2016154733</v>
      </c>
      <c r="CK20" s="552">
        <f>ROUND(CK7*$CL$32,)</f>
        <v>-20593687255</v>
      </c>
      <c r="CL20" s="552"/>
      <c r="CM20" s="552">
        <v>0</v>
      </c>
      <c r="CN20" s="552"/>
      <c r="CO20" s="552">
        <f>+CQ20-CN20-CM20-CL20-CJ20</f>
        <v>-17460564</v>
      </c>
      <c r="CP20" s="668">
        <f>ROUND(CP7*$CL$31,)</f>
        <v>22414033319</v>
      </c>
      <c r="CQ20" s="668">
        <f>CP20+CR20</f>
        <v>1998694169</v>
      </c>
      <c r="CR20" s="668">
        <f>ROUND(CR7*CL31,0)</f>
        <v>-20415339150</v>
      </c>
      <c r="CS20" s="552"/>
      <c r="CT20" s="552">
        <f t="shared" ref="CT20:CT26" si="20">CQ20-CJ20</f>
        <v>-17460564</v>
      </c>
      <c r="CU20" s="711" t="s">
        <v>1745</v>
      </c>
      <c r="CV20" s="712"/>
      <c r="CW20" s="551">
        <v>22414033319</v>
      </c>
      <c r="CX20" s="552">
        <v>-20415339150</v>
      </c>
      <c r="CY20" s="552">
        <v>1998694169</v>
      </c>
      <c r="CZ20" s="552"/>
      <c r="DA20" s="552">
        <v>0</v>
      </c>
      <c r="DB20" s="552"/>
      <c r="DC20" s="552">
        <v>-45537754</v>
      </c>
      <c r="DD20" s="668">
        <v>21903357509</v>
      </c>
      <c r="DE20" s="668">
        <v>-19950201094</v>
      </c>
      <c r="DF20" s="552">
        <v>1953156415</v>
      </c>
      <c r="DG20" s="552"/>
      <c r="DH20" s="552">
        <v>-45537754</v>
      </c>
      <c r="DI20" s="711" t="s">
        <v>2397</v>
      </c>
      <c r="DK20" s="551">
        <f t="shared" ref="DK20:DK26" si="21">DD20</f>
        <v>21903357509</v>
      </c>
      <c r="DL20" s="552">
        <f t="shared" ref="DL20:DL26" si="22">DE20</f>
        <v>-19950201094</v>
      </c>
      <c r="DM20" s="552">
        <f>DF20</f>
        <v>1953156415</v>
      </c>
      <c r="DN20" s="552"/>
      <c r="DO20" s="552">
        <v>0</v>
      </c>
      <c r="DP20" s="552"/>
      <c r="DQ20" s="552">
        <f>+DT20-DP20-DO20-DN20-DM20</f>
        <v>-146092400</v>
      </c>
      <c r="DR20" s="668">
        <f>ROUND(DR7*DM31,)</f>
        <v>20265027867</v>
      </c>
      <c r="DS20" s="668">
        <f>ROUND(DS7*DM31,)</f>
        <v>-18457963852</v>
      </c>
      <c r="DT20" s="552">
        <f t="shared" ref="DT20:DT26" si="23">DR20+DS20</f>
        <v>1807064015</v>
      </c>
      <c r="DU20" s="552"/>
      <c r="DV20" s="552">
        <f t="shared" ref="DV20:DV26" si="24">DT20-DM20</f>
        <v>-146092400</v>
      </c>
      <c r="DW20" s="711" t="s">
        <v>2874</v>
      </c>
    </row>
    <row r="21" spans="3:127" ht="18" customHeight="1">
      <c r="C21" s="498" t="s">
        <v>1986</v>
      </c>
      <c r="D21" s="655" t="s">
        <v>15</v>
      </c>
      <c r="E21" s="572" t="s">
        <v>1984</v>
      </c>
      <c r="F21" s="709" t="s">
        <v>473</v>
      </c>
      <c r="G21" s="552">
        <v>19842800</v>
      </c>
      <c r="H21" s="552">
        <v>19842800</v>
      </c>
      <c r="I21" s="552"/>
      <c r="J21" s="552"/>
      <c r="K21" s="552"/>
      <c r="L21" s="552"/>
      <c r="M21" s="552">
        <f>SUM(H21:L21)</f>
        <v>19842800</v>
      </c>
      <c r="N21" s="552"/>
      <c r="O21" s="552">
        <f>M21-H21</f>
        <v>0</v>
      </c>
      <c r="P21" s="711"/>
      <c r="Q21" s="725"/>
      <c r="R21" s="498">
        <v>19842800</v>
      </c>
      <c r="S21" s="498">
        <f>M21</f>
        <v>19842800</v>
      </c>
      <c r="X21" s="498">
        <f>SUM(S21:W21)</f>
        <v>19842800</v>
      </c>
      <c r="Z21" s="498">
        <f>X21-S21</f>
        <v>0</v>
      </c>
      <c r="AA21" s="565"/>
      <c r="AB21" s="565"/>
      <c r="AC21" s="498">
        <f>R21</f>
        <v>19842800</v>
      </c>
      <c r="AD21" s="498">
        <f>S21</f>
        <v>19842800</v>
      </c>
      <c r="AE21" s="498">
        <f t="shared" si="16"/>
        <v>0</v>
      </c>
      <c r="AF21" s="498">
        <f t="shared" si="16"/>
        <v>0</v>
      </c>
      <c r="AG21" s="498">
        <f t="shared" si="16"/>
        <v>0</v>
      </c>
      <c r="AH21" s="498">
        <f>W21</f>
        <v>0</v>
      </c>
      <c r="AI21" s="498">
        <f>AI8</f>
        <v>19842800</v>
      </c>
      <c r="AK21" s="498">
        <f>AI21-AD21</f>
        <v>0</v>
      </c>
      <c r="AL21" s="565"/>
      <c r="AN21" s="551">
        <f>AC21</f>
        <v>19842800</v>
      </c>
      <c r="AO21" s="552">
        <f>AD21</f>
        <v>19842800</v>
      </c>
      <c r="AP21" s="552">
        <f>AE21</f>
        <v>0</v>
      </c>
      <c r="AQ21" s="552">
        <f>AF21</f>
        <v>0</v>
      </c>
      <c r="AR21" s="552">
        <f>AG21</f>
        <v>0</v>
      </c>
      <c r="AS21" s="552">
        <f>AH21</f>
        <v>0</v>
      </c>
      <c r="AT21" s="552">
        <f>AT8</f>
        <v>19842800</v>
      </c>
      <c r="AU21" s="552"/>
      <c r="AV21" s="552">
        <f>AT21-AO21</f>
        <v>0</v>
      </c>
      <c r="AW21" s="711"/>
      <c r="AX21" s="540" t="b">
        <f>SUM(AD21:AH21)=AI21</f>
        <v>1</v>
      </c>
      <c r="AY21" s="498">
        <f>AC21</f>
        <v>19842800</v>
      </c>
      <c r="AZ21" s="498">
        <f>+AT21</f>
        <v>19842800</v>
      </c>
      <c r="BA21" s="498">
        <f>AE21</f>
        <v>0</v>
      </c>
      <c r="BB21" s="498">
        <f>AF21</f>
        <v>0</v>
      </c>
      <c r="BC21" s="498">
        <f>AG21</f>
        <v>0</v>
      </c>
      <c r="BD21" s="498">
        <f>AH21</f>
        <v>0</v>
      </c>
      <c r="BE21" s="498">
        <f>BE8</f>
        <v>19842800</v>
      </c>
      <c r="BG21" s="498">
        <f>BE21-AZ21</f>
        <v>0</v>
      </c>
      <c r="BH21" s="565"/>
      <c r="BI21" s="494" t="b">
        <f>SUM(AO21:AS21)=AT21</f>
        <v>1</v>
      </c>
      <c r="BJ21" s="498">
        <v>19842800</v>
      </c>
      <c r="BK21" s="498">
        <v>19842800</v>
      </c>
      <c r="BL21" s="498">
        <v>0</v>
      </c>
      <c r="BM21" s="498">
        <v>0</v>
      </c>
      <c r="BN21" s="498">
        <v>0</v>
      </c>
      <c r="BO21" s="498">
        <v>0</v>
      </c>
      <c r="BP21" s="498">
        <v>19842800</v>
      </c>
      <c r="BR21" s="498">
        <v>0</v>
      </c>
      <c r="BS21" s="565"/>
      <c r="BU21" s="498">
        <f>+BV21-BW21</f>
        <v>19842800</v>
      </c>
      <c r="BV21" s="498">
        <f>+AT21</f>
        <v>19842800</v>
      </c>
      <c r="BW21" s="498">
        <f>+BW8</f>
        <v>0</v>
      </c>
      <c r="BX21" s="498">
        <f>AP21</f>
        <v>0</v>
      </c>
      <c r="BY21" s="498">
        <f>AQ21</f>
        <v>0</v>
      </c>
      <c r="BZ21" s="498">
        <f t="shared" si="17"/>
        <v>0</v>
      </c>
      <c r="CA21" s="498">
        <f>AS21</f>
        <v>0</v>
      </c>
      <c r="CB21" s="498">
        <f>+CB8</f>
        <v>19842800</v>
      </c>
      <c r="CC21" s="498">
        <f>SUM(BV21:CA21)-BW21</f>
        <v>19842800</v>
      </c>
      <c r="CD21" s="498">
        <f>+CD8</f>
        <v>0</v>
      </c>
      <c r="CF21" s="498">
        <f>CC21-BV21</f>
        <v>0</v>
      </c>
      <c r="CG21" s="565"/>
      <c r="CI21" s="551">
        <f t="shared" si="18"/>
        <v>19842800</v>
      </c>
      <c r="CJ21" s="552">
        <f t="shared" si="19"/>
        <v>19842800</v>
      </c>
      <c r="CK21" s="552">
        <f>+CK8</f>
        <v>0</v>
      </c>
      <c r="CL21" s="552"/>
      <c r="CM21" s="552">
        <v>0</v>
      </c>
      <c r="CN21" s="552"/>
      <c r="CO21" s="552">
        <f>BG21</f>
        <v>0</v>
      </c>
      <c r="CP21" s="668">
        <f t="shared" ref="CP21:CP26" si="25">+CP8</f>
        <v>19842800</v>
      </c>
      <c r="CQ21" s="668">
        <f t="shared" ref="CQ21:CQ26" si="26">SUM(CJ21:CO21)-CK21</f>
        <v>19842800</v>
      </c>
      <c r="CR21" s="668">
        <f t="shared" ref="CR21:CR26" si="27">+CR8</f>
        <v>0</v>
      </c>
      <c r="CS21" s="552"/>
      <c r="CT21" s="552">
        <f t="shared" si="20"/>
        <v>0</v>
      </c>
      <c r="CU21" s="711"/>
      <c r="CV21" s="712"/>
      <c r="CW21" s="551">
        <v>19842800</v>
      </c>
      <c r="CX21" s="552">
        <v>0</v>
      </c>
      <c r="CY21" s="552">
        <v>19842800</v>
      </c>
      <c r="CZ21" s="552"/>
      <c r="DA21" s="552">
        <v>0</v>
      </c>
      <c r="DB21" s="552"/>
      <c r="DC21" s="552">
        <v>0</v>
      </c>
      <c r="DD21" s="668">
        <v>19842800</v>
      </c>
      <c r="DE21" s="668">
        <v>0</v>
      </c>
      <c r="DF21" s="552">
        <v>19842800</v>
      </c>
      <c r="DG21" s="552"/>
      <c r="DH21" s="552">
        <v>0</v>
      </c>
      <c r="DI21" s="711"/>
      <c r="DK21" s="551">
        <f t="shared" si="21"/>
        <v>19842800</v>
      </c>
      <c r="DL21" s="552">
        <f t="shared" si="22"/>
        <v>0</v>
      </c>
      <c r="DM21" s="552">
        <f t="shared" ref="DM21:DM26" si="28">DF21</f>
        <v>19842800</v>
      </c>
      <c r="DN21" s="552"/>
      <c r="DO21" s="552">
        <v>-19842800</v>
      </c>
      <c r="DP21" s="552"/>
      <c r="DQ21" s="552">
        <v>0</v>
      </c>
      <c r="DR21" s="668">
        <f t="shared" ref="DR21:DR26" si="29">DK21</f>
        <v>19842800</v>
      </c>
      <c r="DS21" s="668">
        <f t="shared" ref="DS21:DS26" si="30">DL21+DO21</f>
        <v>-19842800</v>
      </c>
      <c r="DT21" s="552">
        <f t="shared" si="23"/>
        <v>0</v>
      </c>
      <c r="DU21" s="552"/>
      <c r="DV21" s="552">
        <f t="shared" si="24"/>
        <v>-19842800</v>
      </c>
      <c r="DW21" s="711"/>
    </row>
    <row r="22" spans="3:127" ht="18" customHeight="1">
      <c r="C22" s="498" t="s">
        <v>1986</v>
      </c>
      <c r="D22" s="655" t="s">
        <v>15</v>
      </c>
      <c r="E22" s="572" t="s">
        <v>1985</v>
      </c>
      <c r="F22" s="709" t="s">
        <v>473</v>
      </c>
      <c r="G22" s="552">
        <v>297103293</v>
      </c>
      <c r="H22" s="552">
        <v>297103293</v>
      </c>
      <c r="I22" s="552"/>
      <c r="J22" s="552">
        <v>-294995310</v>
      </c>
      <c r="K22" s="552"/>
      <c r="L22" s="552">
        <v>-2107983</v>
      </c>
      <c r="M22" s="552">
        <f>SUM(H22:L22)</f>
        <v>0</v>
      </c>
      <c r="N22" s="552"/>
      <c r="O22" s="552">
        <f>M22-H22</f>
        <v>-297103293</v>
      </c>
      <c r="P22" s="711" t="s">
        <v>480</v>
      </c>
      <c r="Q22" s="565"/>
      <c r="R22" s="498">
        <v>297103293</v>
      </c>
      <c r="S22" s="498">
        <f>M22</f>
        <v>0</v>
      </c>
      <c r="X22" s="498">
        <f>SUM(S22:W22)</f>
        <v>0</v>
      </c>
      <c r="Z22" s="498">
        <f>X22-S22</f>
        <v>0</v>
      </c>
      <c r="AA22" s="565"/>
      <c r="AB22" s="565"/>
      <c r="AC22" s="498">
        <f>R22</f>
        <v>297103293</v>
      </c>
      <c r="AD22" s="498">
        <f>S22</f>
        <v>0</v>
      </c>
      <c r="AE22" s="498">
        <f>T22</f>
        <v>0</v>
      </c>
      <c r="AF22" s="498">
        <f>U22</f>
        <v>0</v>
      </c>
      <c r="AG22" s="498">
        <f>V22</f>
        <v>0</v>
      </c>
      <c r="AH22" s="498">
        <f>W22</f>
        <v>0</v>
      </c>
      <c r="AI22" s="498">
        <f>SUM(AD22:AH22)</f>
        <v>0</v>
      </c>
      <c r="AK22" s="498">
        <f>AI22-AD22</f>
        <v>0</v>
      </c>
      <c r="AL22" s="565"/>
      <c r="AN22" s="551">
        <f>AC22</f>
        <v>297103293</v>
      </c>
      <c r="AO22" s="552">
        <f>AD22</f>
        <v>0</v>
      </c>
      <c r="AP22" s="552">
        <f>AE22</f>
        <v>0</v>
      </c>
      <c r="AQ22" s="552">
        <f>AF22</f>
        <v>0</v>
      </c>
      <c r="AR22" s="552">
        <f>AG22</f>
        <v>0</v>
      </c>
      <c r="AS22" s="552">
        <f>AH22</f>
        <v>0</v>
      </c>
      <c r="AT22" s="552">
        <f>SUM(AO22:AS22)</f>
        <v>0</v>
      </c>
      <c r="AU22" s="552"/>
      <c r="AV22" s="552">
        <f>AT22-AO22</f>
        <v>0</v>
      </c>
      <c r="AW22" s="711"/>
      <c r="AX22" s="540" t="b">
        <f>SUM(AD22:AH22)=AI22</f>
        <v>1</v>
      </c>
      <c r="AY22" s="498">
        <f>AC22</f>
        <v>297103293</v>
      </c>
      <c r="AZ22" s="498">
        <f>+AT22</f>
        <v>0</v>
      </c>
      <c r="BA22" s="498">
        <f>AE22</f>
        <v>0</v>
      </c>
      <c r="BB22" s="498">
        <f>AF22</f>
        <v>0</v>
      </c>
      <c r="BC22" s="498">
        <f>AG22</f>
        <v>0</v>
      </c>
      <c r="BD22" s="498">
        <f>AH22</f>
        <v>0</v>
      </c>
      <c r="BE22" s="498">
        <f>SUM(AZ22:BD22)</f>
        <v>0</v>
      </c>
      <c r="BG22" s="498">
        <f>BE22-AZ22</f>
        <v>0</v>
      </c>
      <c r="BH22" s="565"/>
      <c r="BI22" s="494" t="b">
        <f>SUM(AO22:AS22)=AT22</f>
        <v>1</v>
      </c>
      <c r="BJ22" s="498">
        <v>297103293</v>
      </c>
      <c r="BK22" s="498">
        <v>0</v>
      </c>
      <c r="BL22" s="498">
        <v>0</v>
      </c>
      <c r="BM22" s="498">
        <v>0</v>
      </c>
      <c r="BN22" s="498">
        <v>0</v>
      </c>
      <c r="BO22" s="498">
        <v>0</v>
      </c>
      <c r="BP22" s="498">
        <v>0</v>
      </c>
      <c r="BR22" s="498">
        <v>0</v>
      </c>
      <c r="BS22" s="565"/>
      <c r="BU22" s="498">
        <f>+BV22-BW22</f>
        <v>297103293</v>
      </c>
      <c r="BV22" s="498">
        <f>+AT22</f>
        <v>0</v>
      </c>
      <c r="BW22" s="498">
        <f>+BW9</f>
        <v>-297103293</v>
      </c>
      <c r="BX22" s="498">
        <f>AP22</f>
        <v>0</v>
      </c>
      <c r="BY22" s="498">
        <f>AQ22</f>
        <v>0</v>
      </c>
      <c r="BZ22" s="498">
        <f>AR22</f>
        <v>0</v>
      </c>
      <c r="CA22" s="498">
        <f>AS22</f>
        <v>0</v>
      </c>
      <c r="CB22" s="498">
        <f>+CB9</f>
        <v>297103293</v>
      </c>
      <c r="CC22" s="498">
        <f>SUM(BV22:CA22)-BW22</f>
        <v>0</v>
      </c>
      <c r="CD22" s="498">
        <f>+CD9</f>
        <v>-297103293</v>
      </c>
      <c r="CF22" s="498">
        <f>CC22-BV22</f>
        <v>0</v>
      </c>
      <c r="CG22" s="565"/>
      <c r="CI22" s="551">
        <f>BU22</f>
        <v>297103293</v>
      </c>
      <c r="CJ22" s="552">
        <f>BV22</f>
        <v>0</v>
      </c>
      <c r="CK22" s="552">
        <f>+CK9</f>
        <v>-297103293</v>
      </c>
      <c r="CL22" s="552"/>
      <c r="CM22" s="552">
        <v>0</v>
      </c>
      <c r="CN22" s="552"/>
      <c r="CO22" s="552">
        <f>BG22</f>
        <v>0</v>
      </c>
      <c r="CP22" s="668">
        <f t="shared" si="25"/>
        <v>297103293</v>
      </c>
      <c r="CQ22" s="668">
        <f t="shared" si="26"/>
        <v>0</v>
      </c>
      <c r="CR22" s="668">
        <f t="shared" si="27"/>
        <v>-297103293</v>
      </c>
      <c r="CS22" s="552"/>
      <c r="CT22" s="552">
        <f t="shared" si="20"/>
        <v>0</v>
      </c>
      <c r="CU22" s="711"/>
      <c r="CV22" s="712"/>
      <c r="CW22" s="551">
        <v>297103293</v>
      </c>
      <c r="CX22" s="552">
        <v>-297103293</v>
      </c>
      <c r="CY22" s="552">
        <v>0</v>
      </c>
      <c r="CZ22" s="552"/>
      <c r="DA22" s="552">
        <v>0</v>
      </c>
      <c r="DB22" s="552"/>
      <c r="DC22" s="552">
        <v>0</v>
      </c>
      <c r="DD22" s="668">
        <v>297103293</v>
      </c>
      <c r="DE22" s="668">
        <v>-297103293</v>
      </c>
      <c r="DF22" s="552">
        <v>0</v>
      </c>
      <c r="DG22" s="552"/>
      <c r="DH22" s="552">
        <v>0</v>
      </c>
      <c r="DI22" s="711"/>
      <c r="DK22" s="551">
        <f t="shared" si="21"/>
        <v>297103293</v>
      </c>
      <c r="DL22" s="552">
        <f t="shared" si="22"/>
        <v>-297103293</v>
      </c>
      <c r="DM22" s="552">
        <f t="shared" si="28"/>
        <v>0</v>
      </c>
      <c r="DN22" s="552"/>
      <c r="DO22" s="552">
        <v>0</v>
      </c>
      <c r="DP22" s="552"/>
      <c r="DQ22" s="552">
        <v>0</v>
      </c>
      <c r="DR22" s="668">
        <f t="shared" si="29"/>
        <v>297103293</v>
      </c>
      <c r="DS22" s="668">
        <f t="shared" si="30"/>
        <v>-297103293</v>
      </c>
      <c r="DT22" s="552">
        <f t="shared" si="23"/>
        <v>0</v>
      </c>
      <c r="DU22" s="552"/>
      <c r="DV22" s="552">
        <f t="shared" si="24"/>
        <v>0</v>
      </c>
      <c r="DW22" s="711"/>
    </row>
    <row r="23" spans="3:127" ht="18" customHeight="1">
      <c r="C23" s="498" t="s">
        <v>1986</v>
      </c>
      <c r="D23" s="655" t="s">
        <v>15</v>
      </c>
      <c r="E23" s="572" t="s">
        <v>2082</v>
      </c>
      <c r="F23" s="709" t="s">
        <v>473</v>
      </c>
      <c r="G23" s="552"/>
      <c r="H23" s="552"/>
      <c r="I23" s="552"/>
      <c r="J23" s="552"/>
      <c r="K23" s="552"/>
      <c r="L23" s="552"/>
      <c r="M23" s="552"/>
      <c r="N23" s="552"/>
      <c r="O23" s="552"/>
      <c r="P23" s="711"/>
      <c r="Q23" s="565"/>
      <c r="AA23" s="565"/>
      <c r="AB23" s="565"/>
      <c r="AL23" s="565"/>
      <c r="AN23" s="551"/>
      <c r="AO23" s="552"/>
      <c r="AP23" s="552"/>
      <c r="AQ23" s="552"/>
      <c r="AR23" s="552"/>
      <c r="AS23" s="552"/>
      <c r="AT23" s="552"/>
      <c r="AU23" s="552"/>
      <c r="AV23" s="552"/>
      <c r="AW23" s="711"/>
      <c r="AX23" s="540"/>
      <c r="BH23" s="565"/>
      <c r="BI23" s="494"/>
      <c r="BS23" s="565"/>
      <c r="CG23" s="565"/>
      <c r="CI23" s="551">
        <v>0</v>
      </c>
      <c r="CJ23" s="552">
        <v>0</v>
      </c>
      <c r="CK23" s="552">
        <v>0</v>
      </c>
      <c r="CL23" s="552"/>
      <c r="CM23" s="552">
        <v>0</v>
      </c>
      <c r="CN23" s="552"/>
      <c r="CO23" s="552">
        <v>0</v>
      </c>
      <c r="CP23" s="668">
        <f t="shared" si="25"/>
        <v>0</v>
      </c>
      <c r="CQ23" s="668">
        <f t="shared" si="26"/>
        <v>0</v>
      </c>
      <c r="CR23" s="668">
        <f t="shared" si="27"/>
        <v>0</v>
      </c>
      <c r="CS23" s="552"/>
      <c r="CT23" s="552">
        <f t="shared" si="20"/>
        <v>0</v>
      </c>
      <c r="CU23" s="711"/>
      <c r="CV23" s="712"/>
      <c r="CW23" s="551">
        <v>1464530117</v>
      </c>
      <c r="CX23" s="552"/>
      <c r="CY23" s="552">
        <v>0</v>
      </c>
      <c r="CZ23" s="552"/>
      <c r="DA23" s="552">
        <v>0</v>
      </c>
      <c r="DB23" s="552">
        <v>1464530117</v>
      </c>
      <c r="DC23" s="552">
        <v>0</v>
      </c>
      <c r="DD23" s="668">
        <v>1464530117</v>
      </c>
      <c r="DE23" s="668">
        <v>0</v>
      </c>
      <c r="DF23" s="552">
        <v>1464530117</v>
      </c>
      <c r="DG23" s="552"/>
      <c r="DH23" s="552">
        <v>1464530117</v>
      </c>
      <c r="DI23" s="711"/>
      <c r="DK23" s="551">
        <f t="shared" si="21"/>
        <v>1464530117</v>
      </c>
      <c r="DL23" s="552">
        <f t="shared" si="22"/>
        <v>0</v>
      </c>
      <c r="DM23" s="552">
        <f t="shared" si="28"/>
        <v>1464530117</v>
      </c>
      <c r="DN23" s="552"/>
      <c r="DO23" s="552">
        <v>0</v>
      </c>
      <c r="DP23" s="552"/>
      <c r="DQ23" s="552">
        <v>0</v>
      </c>
      <c r="DR23" s="668">
        <f t="shared" si="29"/>
        <v>1464530117</v>
      </c>
      <c r="DS23" s="668">
        <f t="shared" si="30"/>
        <v>0</v>
      </c>
      <c r="DT23" s="552">
        <f t="shared" si="23"/>
        <v>1464530117</v>
      </c>
      <c r="DU23" s="552"/>
      <c r="DV23" s="552">
        <f t="shared" si="24"/>
        <v>0</v>
      </c>
      <c r="DW23" s="711"/>
    </row>
    <row r="24" spans="3:127" ht="18" customHeight="1">
      <c r="C24" s="498" t="s">
        <v>1987</v>
      </c>
      <c r="D24" s="655" t="s">
        <v>15</v>
      </c>
      <c r="E24" s="572" t="s">
        <v>479</v>
      </c>
      <c r="F24" s="709" t="s">
        <v>473</v>
      </c>
      <c r="G24" s="552">
        <v>13175822804</v>
      </c>
      <c r="H24" s="552">
        <f>G24</f>
        <v>13175822804</v>
      </c>
      <c r="I24" s="552"/>
      <c r="J24" s="552">
        <v>-13175822804</v>
      </c>
      <c r="K24" s="552"/>
      <c r="L24" s="552"/>
      <c r="M24" s="552">
        <f>SUM(H24:L24)</f>
        <v>0</v>
      </c>
      <c r="N24" s="552"/>
      <c r="O24" s="552">
        <f>M24-H24</f>
        <v>-13175822804</v>
      </c>
      <c r="P24" s="711" t="s">
        <v>468</v>
      </c>
      <c r="Q24" s="725"/>
      <c r="R24" s="498">
        <v>13175822804</v>
      </c>
      <c r="S24" s="498">
        <f>M24</f>
        <v>0</v>
      </c>
      <c r="X24" s="498">
        <f>SUM(S24:W24)</f>
        <v>0</v>
      </c>
      <c r="Z24" s="498">
        <f>X24-S24</f>
        <v>0</v>
      </c>
      <c r="AA24" s="565"/>
      <c r="AB24" s="565"/>
      <c r="AC24" s="498">
        <f>R24</f>
        <v>13175822804</v>
      </c>
      <c r="AD24" s="498">
        <f>S24</f>
        <v>0</v>
      </c>
      <c r="AE24" s="498">
        <f t="shared" si="16"/>
        <v>0</v>
      </c>
      <c r="AF24" s="498">
        <f t="shared" si="16"/>
        <v>0</v>
      </c>
      <c r="AG24" s="498">
        <f t="shared" si="16"/>
        <v>0</v>
      </c>
      <c r="AH24" s="498">
        <f>W24</f>
        <v>0</v>
      </c>
      <c r="AI24" s="498">
        <f>SUM(AD24:AH24)</f>
        <v>0</v>
      </c>
      <c r="AK24" s="498">
        <f>AI24-AD24</f>
        <v>0</v>
      </c>
      <c r="AL24" s="565"/>
      <c r="AN24" s="551">
        <f t="shared" ref="AN24:AS25" si="31">AC24</f>
        <v>13175822804</v>
      </c>
      <c r="AO24" s="552">
        <f t="shared" si="31"/>
        <v>0</v>
      </c>
      <c r="AP24" s="552">
        <f t="shared" si="31"/>
        <v>0</v>
      </c>
      <c r="AQ24" s="552">
        <f t="shared" si="31"/>
        <v>0</v>
      </c>
      <c r="AR24" s="552">
        <f t="shared" si="31"/>
        <v>0</v>
      </c>
      <c r="AS24" s="552">
        <f t="shared" si="31"/>
        <v>0</v>
      </c>
      <c r="AT24" s="552">
        <f>SUM(AO24:AS24)</f>
        <v>0</v>
      </c>
      <c r="AU24" s="552"/>
      <c r="AV24" s="552">
        <f>AT24-AO24</f>
        <v>0</v>
      </c>
      <c r="AW24" s="711"/>
      <c r="AX24" s="540" t="b">
        <f>SUM(AD24:AH24)=AI24</f>
        <v>1</v>
      </c>
      <c r="AY24" s="498">
        <f>AC24</f>
        <v>13175822804</v>
      </c>
      <c r="AZ24" s="498">
        <f>+AT24</f>
        <v>0</v>
      </c>
      <c r="BA24" s="498">
        <f>AE24</f>
        <v>0</v>
      </c>
      <c r="BB24" s="498">
        <f>AF24</f>
        <v>0</v>
      </c>
      <c r="BC24" s="498">
        <f>AG24</f>
        <v>0</v>
      </c>
      <c r="BD24" s="498">
        <f>AH24</f>
        <v>0</v>
      </c>
      <c r="BE24" s="498">
        <f>SUM(AZ24:BD24)</f>
        <v>0</v>
      </c>
      <c r="BG24" s="498">
        <f>BE24-AZ24</f>
        <v>0</v>
      </c>
      <c r="BH24" s="565"/>
      <c r="BI24" s="494" t="b">
        <f>SUM(AO24:AS24)=AT24</f>
        <v>1</v>
      </c>
      <c r="BJ24" s="498">
        <v>13175822804</v>
      </c>
      <c r="BK24" s="498">
        <v>0</v>
      </c>
      <c r="BL24" s="498">
        <v>0</v>
      </c>
      <c r="BM24" s="498">
        <v>0</v>
      </c>
      <c r="BN24" s="498">
        <v>0</v>
      </c>
      <c r="BO24" s="498">
        <v>0</v>
      </c>
      <c r="BP24" s="498">
        <v>0</v>
      </c>
      <c r="BR24" s="498">
        <v>0</v>
      </c>
      <c r="BS24" s="565"/>
      <c r="BU24" s="498">
        <f>+BV24-BW24</f>
        <v>13175822804</v>
      </c>
      <c r="BV24" s="498">
        <f>+AT24</f>
        <v>0</v>
      </c>
      <c r="BW24" s="498">
        <f>+BW11</f>
        <v>-13175822804</v>
      </c>
      <c r="BX24" s="498">
        <f>AP24</f>
        <v>0</v>
      </c>
      <c r="BY24" s="498">
        <f>AQ24</f>
        <v>0</v>
      </c>
      <c r="BZ24" s="498">
        <f t="shared" si="17"/>
        <v>0</v>
      </c>
      <c r="CA24" s="498">
        <f>AS24</f>
        <v>0</v>
      </c>
      <c r="CB24" s="498">
        <f>+CB11</f>
        <v>13175822804</v>
      </c>
      <c r="CC24" s="498">
        <f>SUM(BV24:CA24)-BW24</f>
        <v>0</v>
      </c>
      <c r="CD24" s="498">
        <f>+CD11</f>
        <v>-13175822804</v>
      </c>
      <c r="CF24" s="498">
        <f>CC24-BV24</f>
        <v>0</v>
      </c>
      <c r="CG24" s="565"/>
      <c r="CI24" s="551">
        <f t="shared" si="18"/>
        <v>13175822804</v>
      </c>
      <c r="CJ24" s="552">
        <f t="shared" si="19"/>
        <v>0</v>
      </c>
      <c r="CK24" s="552">
        <f>+CK11</f>
        <v>-13175822804</v>
      </c>
      <c r="CL24" s="552"/>
      <c r="CM24" s="552">
        <v>0</v>
      </c>
      <c r="CN24" s="552"/>
      <c r="CO24" s="552">
        <f>BG24</f>
        <v>0</v>
      </c>
      <c r="CP24" s="668">
        <f t="shared" si="25"/>
        <v>13175822804</v>
      </c>
      <c r="CQ24" s="668">
        <f t="shared" si="26"/>
        <v>0</v>
      </c>
      <c r="CR24" s="668">
        <f t="shared" si="27"/>
        <v>-13175822804</v>
      </c>
      <c r="CS24" s="552"/>
      <c r="CT24" s="552">
        <f t="shared" si="20"/>
        <v>0</v>
      </c>
      <c r="CU24" s="711"/>
      <c r="CV24" s="712"/>
      <c r="CW24" s="551">
        <v>13175822804</v>
      </c>
      <c r="CX24" s="552">
        <v>-13175822804</v>
      </c>
      <c r="CY24" s="552">
        <v>0</v>
      </c>
      <c r="CZ24" s="552"/>
      <c r="DA24" s="552">
        <v>0</v>
      </c>
      <c r="DB24" s="552"/>
      <c r="DC24" s="552">
        <v>0</v>
      </c>
      <c r="DD24" s="668">
        <v>13175822804</v>
      </c>
      <c r="DE24" s="668">
        <v>-13175822804</v>
      </c>
      <c r="DF24" s="552">
        <v>0</v>
      </c>
      <c r="DG24" s="552"/>
      <c r="DH24" s="552">
        <v>0</v>
      </c>
      <c r="DI24" s="711"/>
      <c r="DK24" s="551">
        <f t="shared" si="21"/>
        <v>13175822804</v>
      </c>
      <c r="DL24" s="552">
        <f t="shared" si="22"/>
        <v>-13175822804</v>
      </c>
      <c r="DM24" s="552">
        <f t="shared" si="28"/>
        <v>0</v>
      </c>
      <c r="DN24" s="552"/>
      <c r="DO24" s="552">
        <v>0</v>
      </c>
      <c r="DP24" s="552"/>
      <c r="DQ24" s="552">
        <v>0</v>
      </c>
      <c r="DR24" s="668">
        <f t="shared" si="29"/>
        <v>13175822804</v>
      </c>
      <c r="DS24" s="668">
        <f t="shared" si="30"/>
        <v>-13175822804</v>
      </c>
      <c r="DT24" s="552">
        <f t="shared" si="23"/>
        <v>0</v>
      </c>
      <c r="DU24" s="552"/>
      <c r="DV24" s="552">
        <f t="shared" si="24"/>
        <v>0</v>
      </c>
      <c r="DW24" s="711"/>
    </row>
    <row r="25" spans="3:127" ht="18" customHeight="1">
      <c r="C25" s="498" t="s">
        <v>1987</v>
      </c>
      <c r="D25" s="655" t="s">
        <v>15</v>
      </c>
      <c r="E25" s="572" t="s">
        <v>216</v>
      </c>
      <c r="F25" s="709" t="s">
        <v>473</v>
      </c>
      <c r="G25" s="552">
        <v>4096993217</v>
      </c>
      <c r="H25" s="552">
        <v>0</v>
      </c>
      <c r="I25" s="552">
        <v>4096993217</v>
      </c>
      <c r="J25" s="552">
        <v>0</v>
      </c>
      <c r="K25" s="552"/>
      <c r="L25" s="552"/>
      <c r="M25" s="552">
        <f>SUM(H25:L25)</f>
        <v>4096993217</v>
      </c>
      <c r="N25" s="552"/>
      <c r="O25" s="552">
        <f>M25-H25</f>
        <v>4096993217</v>
      </c>
      <c r="P25" s="711" t="s">
        <v>469</v>
      </c>
      <c r="Q25" s="565"/>
      <c r="R25" s="498">
        <v>4096993217</v>
      </c>
      <c r="S25" s="498">
        <f>M25</f>
        <v>4096993217</v>
      </c>
      <c r="T25" s="498">
        <f>-S25</f>
        <v>-4096993217</v>
      </c>
      <c r="X25" s="498">
        <f>SUM(S25:W25)</f>
        <v>0</v>
      </c>
      <c r="Z25" s="498">
        <f>X25-S25</f>
        <v>-4096993217</v>
      </c>
      <c r="AA25" s="565" t="s">
        <v>1533</v>
      </c>
      <c r="AB25" s="565"/>
      <c r="AC25" s="498">
        <f>R25</f>
        <v>4096993217</v>
      </c>
      <c r="AD25" s="498">
        <f>S25</f>
        <v>4096993217</v>
      </c>
      <c r="AE25" s="498">
        <f t="shared" si="16"/>
        <v>-4096993217</v>
      </c>
      <c r="AF25" s="498">
        <f t="shared" si="16"/>
        <v>0</v>
      </c>
      <c r="AG25" s="498">
        <f t="shared" si="16"/>
        <v>0</v>
      </c>
      <c r="AH25" s="498">
        <f>W25</f>
        <v>0</v>
      </c>
      <c r="AI25" s="498">
        <f>SUM(AD25:AH25)</f>
        <v>0</v>
      </c>
      <c r="AK25" s="498">
        <f>AI25-AD25</f>
        <v>-4096993217</v>
      </c>
      <c r="AL25" s="565" t="s">
        <v>1533</v>
      </c>
      <c r="AN25" s="551">
        <f t="shared" si="31"/>
        <v>4096993217</v>
      </c>
      <c r="AO25" s="552">
        <f t="shared" si="31"/>
        <v>4096993217</v>
      </c>
      <c r="AP25" s="552">
        <f t="shared" si="31"/>
        <v>-4096993217</v>
      </c>
      <c r="AQ25" s="552">
        <f t="shared" si="31"/>
        <v>0</v>
      </c>
      <c r="AR25" s="552">
        <f t="shared" si="31"/>
        <v>0</v>
      </c>
      <c r="AS25" s="552">
        <f t="shared" si="31"/>
        <v>0</v>
      </c>
      <c r="AT25" s="552">
        <f>SUM(AO25:AS25)</f>
        <v>0</v>
      </c>
      <c r="AU25" s="552"/>
      <c r="AV25" s="552">
        <f>AT25-AO25</f>
        <v>-4096993217</v>
      </c>
      <c r="AW25" s="711" t="s">
        <v>1533</v>
      </c>
      <c r="AX25" s="540" t="b">
        <f>SUM(AD25:AH25)=AI25</f>
        <v>1</v>
      </c>
      <c r="AY25" s="498">
        <f>AC25</f>
        <v>4096993217</v>
      </c>
      <c r="AZ25" s="498">
        <f>+AT25</f>
        <v>0</v>
      </c>
      <c r="BB25" s="498">
        <f>AF25</f>
        <v>0</v>
      </c>
      <c r="BC25" s="498">
        <f>AG25</f>
        <v>0</v>
      </c>
      <c r="BD25" s="498">
        <f>AH25</f>
        <v>0</v>
      </c>
      <c r="BE25" s="498">
        <f>SUM(AZ25:BD25)</f>
        <v>0</v>
      </c>
      <c r="BG25" s="498">
        <f>BE25-AZ25</f>
        <v>0</v>
      </c>
      <c r="BH25" s="565" t="s">
        <v>1533</v>
      </c>
      <c r="BI25" s="494" t="b">
        <f>SUM(AO25:AS25)=AT25</f>
        <v>1</v>
      </c>
      <c r="BJ25" s="498">
        <v>4096993217</v>
      </c>
      <c r="BK25" s="498">
        <v>0</v>
      </c>
      <c r="BM25" s="498">
        <v>0</v>
      </c>
      <c r="BN25" s="498">
        <v>0</v>
      </c>
      <c r="BO25" s="498">
        <v>0</v>
      </c>
      <c r="BP25" s="498">
        <v>0</v>
      </c>
      <c r="BR25" s="498">
        <v>0</v>
      </c>
      <c r="BS25" s="565" t="s">
        <v>1533</v>
      </c>
      <c r="BU25" s="498">
        <f>+BV25-BW25</f>
        <v>4096993217</v>
      </c>
      <c r="BV25" s="498">
        <v>4096993217</v>
      </c>
      <c r="BW25" s="498">
        <f>+BW12</f>
        <v>0</v>
      </c>
      <c r="BY25" s="498">
        <f>AQ25</f>
        <v>0</v>
      </c>
      <c r="BZ25" s="498">
        <f t="shared" si="17"/>
        <v>0</v>
      </c>
      <c r="CA25" s="498">
        <f>AS25</f>
        <v>0</v>
      </c>
      <c r="CB25" s="498">
        <f>+CB12</f>
        <v>4096993217</v>
      </c>
      <c r="CC25" s="498">
        <f>SUM(BV25:CA25)-BW25</f>
        <v>4096993217</v>
      </c>
      <c r="CD25" s="498">
        <f>+CD12</f>
        <v>0</v>
      </c>
      <c r="CF25" s="498">
        <f>CC25-BV25</f>
        <v>0</v>
      </c>
      <c r="CG25" s="565" t="s">
        <v>1533</v>
      </c>
      <c r="CI25" s="551">
        <f t="shared" si="18"/>
        <v>4096993217</v>
      </c>
      <c r="CJ25" s="552">
        <f t="shared" si="19"/>
        <v>4096993217</v>
      </c>
      <c r="CK25" s="552">
        <f>+CK12</f>
        <v>0</v>
      </c>
      <c r="CL25" s="552"/>
      <c r="CM25" s="552">
        <v>0</v>
      </c>
      <c r="CN25" s="552"/>
      <c r="CO25" s="552">
        <f>BG25</f>
        <v>0</v>
      </c>
      <c r="CP25" s="668">
        <f t="shared" si="25"/>
        <v>4096993217</v>
      </c>
      <c r="CQ25" s="668">
        <f t="shared" si="26"/>
        <v>4096993217</v>
      </c>
      <c r="CR25" s="668">
        <f t="shared" si="27"/>
        <v>0</v>
      </c>
      <c r="CS25" s="552"/>
      <c r="CT25" s="552">
        <f t="shared" si="20"/>
        <v>0</v>
      </c>
      <c r="CU25" s="711" t="s">
        <v>1533</v>
      </c>
      <c r="CV25" s="712"/>
      <c r="CW25" s="551">
        <v>4096993217</v>
      </c>
      <c r="CX25" s="552">
        <v>0</v>
      </c>
      <c r="CY25" s="552">
        <v>4096993217</v>
      </c>
      <c r="CZ25" s="552"/>
      <c r="DA25" s="552">
        <v>0</v>
      </c>
      <c r="DB25" s="552"/>
      <c r="DC25" s="552">
        <v>0</v>
      </c>
      <c r="DD25" s="668">
        <v>4096993217</v>
      </c>
      <c r="DE25" s="668">
        <v>0</v>
      </c>
      <c r="DF25" s="552">
        <v>4096993217</v>
      </c>
      <c r="DG25" s="552"/>
      <c r="DH25" s="552">
        <v>0</v>
      </c>
      <c r="DI25" s="711"/>
      <c r="DK25" s="551">
        <f t="shared" si="21"/>
        <v>4096993217</v>
      </c>
      <c r="DL25" s="552">
        <f t="shared" si="22"/>
        <v>0</v>
      </c>
      <c r="DM25" s="552">
        <f t="shared" si="28"/>
        <v>4096993217</v>
      </c>
      <c r="DN25" s="552"/>
      <c r="DO25" s="552">
        <v>0</v>
      </c>
      <c r="DP25" s="552"/>
      <c r="DQ25" s="552">
        <v>0</v>
      </c>
      <c r="DR25" s="668">
        <f t="shared" si="29"/>
        <v>4096993217</v>
      </c>
      <c r="DS25" s="668">
        <f t="shared" si="30"/>
        <v>0</v>
      </c>
      <c r="DT25" s="552">
        <f t="shared" si="23"/>
        <v>4096993217</v>
      </c>
      <c r="DU25" s="552"/>
      <c r="DV25" s="552">
        <f t="shared" si="24"/>
        <v>0</v>
      </c>
      <c r="DW25" s="711"/>
    </row>
    <row r="26" spans="3:127" ht="18" customHeight="1">
      <c r="C26" s="498" t="s">
        <v>1987</v>
      </c>
      <c r="D26" s="655" t="s">
        <v>15</v>
      </c>
      <c r="E26" s="572" t="s">
        <v>2327</v>
      </c>
      <c r="F26" s="709"/>
      <c r="G26" s="552"/>
      <c r="H26" s="552"/>
      <c r="I26" s="552"/>
      <c r="J26" s="552"/>
      <c r="K26" s="552"/>
      <c r="L26" s="552"/>
      <c r="M26" s="552"/>
      <c r="N26" s="552"/>
      <c r="O26" s="552"/>
      <c r="P26" s="711"/>
      <c r="Q26" s="565"/>
      <c r="AA26" s="565"/>
      <c r="AB26" s="565"/>
      <c r="AL26" s="565"/>
      <c r="AN26" s="551"/>
      <c r="AO26" s="552"/>
      <c r="AP26" s="552"/>
      <c r="AQ26" s="552"/>
      <c r="AR26" s="552"/>
      <c r="AS26" s="552"/>
      <c r="AT26" s="552"/>
      <c r="AU26" s="552"/>
      <c r="AV26" s="552"/>
      <c r="AW26" s="711"/>
      <c r="AX26" s="540"/>
      <c r="BH26" s="565"/>
      <c r="BI26" s="494"/>
      <c r="BS26" s="565"/>
      <c r="BU26" s="498">
        <f>+BU13</f>
        <v>484923306</v>
      </c>
      <c r="BV26" s="498">
        <f>+BV13</f>
        <v>484923306</v>
      </c>
      <c r="BW26" s="498">
        <f>+BW13</f>
        <v>0</v>
      </c>
      <c r="BX26" s="498">
        <f>AP26</f>
        <v>0</v>
      </c>
      <c r="BY26" s="498">
        <f>AQ26</f>
        <v>0</v>
      </c>
      <c r="BZ26" s="498">
        <f t="shared" si="17"/>
        <v>0</v>
      </c>
      <c r="CA26" s="498">
        <f>AS26</f>
        <v>0</v>
      </c>
      <c r="CB26" s="498">
        <f>+CB13</f>
        <v>484923306</v>
      </c>
      <c r="CC26" s="498">
        <f>SUM(BV26:CA26)-BW26</f>
        <v>484923306</v>
      </c>
      <c r="CD26" s="498">
        <f>+CD13</f>
        <v>0</v>
      </c>
      <c r="CG26" s="565"/>
      <c r="CI26" s="551">
        <f t="shared" si="18"/>
        <v>484923306</v>
      </c>
      <c r="CJ26" s="552">
        <f t="shared" si="19"/>
        <v>484923306</v>
      </c>
      <c r="CK26" s="552">
        <f>+CK13</f>
        <v>0</v>
      </c>
      <c r="CL26" s="552"/>
      <c r="CM26" s="552">
        <v>-484923306</v>
      </c>
      <c r="CN26" s="552"/>
      <c r="CO26" s="552">
        <f>BG26</f>
        <v>0</v>
      </c>
      <c r="CP26" s="668">
        <f t="shared" si="25"/>
        <v>484923306</v>
      </c>
      <c r="CQ26" s="668">
        <f t="shared" si="26"/>
        <v>0</v>
      </c>
      <c r="CR26" s="668">
        <f t="shared" si="27"/>
        <v>-484923306</v>
      </c>
      <c r="CS26" s="552"/>
      <c r="CT26" s="552">
        <f t="shared" si="20"/>
        <v>-484923306</v>
      </c>
      <c r="CU26" s="711"/>
      <c r="CV26" s="712"/>
      <c r="CW26" s="551">
        <v>484923306</v>
      </c>
      <c r="CX26" s="552">
        <v>-484923306</v>
      </c>
      <c r="CY26" s="552">
        <v>0</v>
      </c>
      <c r="CZ26" s="552"/>
      <c r="DA26" s="552">
        <v>0</v>
      </c>
      <c r="DB26" s="552"/>
      <c r="DC26" s="552">
        <v>0</v>
      </c>
      <c r="DD26" s="552">
        <v>484923306</v>
      </c>
      <c r="DE26" s="552">
        <v>-484923306</v>
      </c>
      <c r="DF26" s="552">
        <v>0</v>
      </c>
      <c r="DG26" s="552"/>
      <c r="DH26" s="552">
        <v>0</v>
      </c>
      <c r="DI26" s="711"/>
      <c r="DK26" s="551">
        <f t="shared" si="21"/>
        <v>484923306</v>
      </c>
      <c r="DL26" s="552">
        <f t="shared" si="22"/>
        <v>-484923306</v>
      </c>
      <c r="DM26" s="552">
        <f t="shared" si="28"/>
        <v>0</v>
      </c>
      <c r="DN26" s="552"/>
      <c r="DO26" s="552">
        <v>0</v>
      </c>
      <c r="DP26" s="552"/>
      <c r="DQ26" s="552">
        <v>0</v>
      </c>
      <c r="DR26" s="552">
        <f t="shared" si="29"/>
        <v>484923306</v>
      </c>
      <c r="DS26" s="552">
        <f t="shared" si="30"/>
        <v>-484923306</v>
      </c>
      <c r="DT26" s="552">
        <f t="shared" si="23"/>
        <v>0</v>
      </c>
      <c r="DU26" s="552"/>
      <c r="DV26" s="552">
        <f t="shared" si="24"/>
        <v>0</v>
      </c>
      <c r="DW26" s="711"/>
    </row>
    <row r="27" spans="3:127" s="494" customFormat="1" ht="18" customHeight="1" thickBot="1">
      <c r="D27" s="726" t="s">
        <v>427</v>
      </c>
      <c r="E27" s="727"/>
      <c r="F27" s="728"/>
      <c r="G27" s="716">
        <f t="shared" ref="G27:O27" si="32">SUM(G20:G25)</f>
        <v>39337918397</v>
      </c>
      <c r="H27" s="716">
        <f t="shared" si="32"/>
        <v>35240925180</v>
      </c>
      <c r="I27" s="716">
        <f t="shared" si="32"/>
        <v>4096993217</v>
      </c>
      <c r="J27" s="716">
        <f t="shared" si="32"/>
        <v>-13470818114</v>
      </c>
      <c r="K27" s="716">
        <f t="shared" si="32"/>
        <v>0</v>
      </c>
      <c r="L27" s="716">
        <f t="shared" si="32"/>
        <v>-209609894</v>
      </c>
      <c r="M27" s="716">
        <f t="shared" si="32"/>
        <v>25657490389</v>
      </c>
      <c r="N27" s="716">
        <f t="shared" si="32"/>
        <v>0</v>
      </c>
      <c r="O27" s="716">
        <f t="shared" si="32"/>
        <v>-9583434791</v>
      </c>
      <c r="P27" s="717"/>
      <c r="R27" s="520">
        <f t="shared" ref="R27:X27" si="33">SUM(R20:R25)</f>
        <v>39337918397</v>
      </c>
      <c r="S27" s="520">
        <f t="shared" si="33"/>
        <v>25657490389</v>
      </c>
      <c r="T27" s="520">
        <f t="shared" si="33"/>
        <v>-4096993217</v>
      </c>
      <c r="U27" s="520">
        <f t="shared" si="33"/>
        <v>0</v>
      </c>
      <c r="V27" s="520">
        <f t="shared" si="33"/>
        <v>0</v>
      </c>
      <c r="W27" s="520">
        <f t="shared" si="33"/>
        <v>320182253</v>
      </c>
      <c r="X27" s="520">
        <f t="shared" si="33"/>
        <v>21880679425</v>
      </c>
      <c r="Y27" s="520"/>
      <c r="Z27" s="520"/>
      <c r="AA27" s="520"/>
      <c r="AC27" s="520">
        <f t="shared" ref="AC27:AI27" si="34">SUM(AC20:AC25)</f>
        <v>39337918397</v>
      </c>
      <c r="AD27" s="520">
        <f t="shared" si="34"/>
        <v>25657490389</v>
      </c>
      <c r="AE27" s="520">
        <f t="shared" si="34"/>
        <v>-4096993217</v>
      </c>
      <c r="AF27" s="520">
        <f t="shared" si="34"/>
        <v>0</v>
      </c>
      <c r="AG27" s="520">
        <f t="shared" si="34"/>
        <v>0</v>
      </c>
      <c r="AH27" s="520">
        <f t="shared" si="34"/>
        <v>2130721472</v>
      </c>
      <c r="AI27" s="520">
        <f t="shared" si="34"/>
        <v>23691218644</v>
      </c>
      <c r="AJ27" s="520"/>
      <c r="AK27" s="520"/>
      <c r="AL27" s="520"/>
      <c r="AN27" s="719">
        <f t="shared" ref="AN27:AV27" si="35">SUM(AN20:AN25)</f>
        <v>39337918397</v>
      </c>
      <c r="AO27" s="716">
        <f t="shared" si="35"/>
        <v>25657490389</v>
      </c>
      <c r="AP27" s="716">
        <f t="shared" si="35"/>
        <v>-4096993217</v>
      </c>
      <c r="AQ27" s="716">
        <f t="shared" si="35"/>
        <v>-20593687255</v>
      </c>
      <c r="AR27" s="716">
        <f t="shared" si="35"/>
        <v>0</v>
      </c>
      <c r="AS27" s="716">
        <f t="shared" si="35"/>
        <v>1069187616</v>
      </c>
      <c r="AT27" s="716">
        <f t="shared" si="35"/>
        <v>2035997533</v>
      </c>
      <c r="AU27" s="716"/>
      <c r="AV27" s="716">
        <f t="shared" si="35"/>
        <v>-23621492856</v>
      </c>
      <c r="AW27" s="717"/>
      <c r="AX27" s="540"/>
      <c r="AY27" s="520">
        <f t="shared" ref="AY27:BE27" si="36">SUM(AY20:AY25)</f>
        <v>39337918397</v>
      </c>
      <c r="AZ27" s="520">
        <f t="shared" si="36"/>
        <v>2035997533</v>
      </c>
      <c r="BA27" s="520">
        <f t="shared" si="36"/>
        <v>0</v>
      </c>
      <c r="BB27" s="520">
        <f t="shared" si="36"/>
        <v>0</v>
      </c>
      <c r="BC27" s="520">
        <f t="shared" si="36"/>
        <v>0</v>
      </c>
      <c r="BD27" s="520">
        <f t="shared" si="36"/>
        <v>127702881</v>
      </c>
      <c r="BE27" s="520">
        <f t="shared" si="36"/>
        <v>2163700414</v>
      </c>
      <c r="BF27" s="520"/>
      <c r="BG27" s="520"/>
      <c r="BH27" s="520"/>
      <c r="BJ27" s="520">
        <v>39337918397</v>
      </c>
      <c r="BK27" s="520">
        <v>2035997533</v>
      </c>
      <c r="BL27" s="520">
        <v>0</v>
      </c>
      <c r="BM27" s="520">
        <v>0</v>
      </c>
      <c r="BN27" s="520">
        <v>0</v>
      </c>
      <c r="BO27" s="520">
        <v>99682563</v>
      </c>
      <c r="BP27" s="520">
        <v>2135680096</v>
      </c>
      <c r="BQ27" s="520"/>
      <c r="BR27" s="520"/>
      <c r="BS27" s="520"/>
      <c r="BU27" s="520">
        <f t="shared" ref="BU27:CD27" si="37">SUM(BU20:BU26)</f>
        <v>40684527408</v>
      </c>
      <c r="BV27" s="520">
        <f t="shared" si="37"/>
        <v>6617914056</v>
      </c>
      <c r="BW27" s="520">
        <f t="shared" si="37"/>
        <v>-34066613352</v>
      </c>
      <c r="BX27" s="520">
        <f t="shared" si="37"/>
        <v>0</v>
      </c>
      <c r="BY27" s="520">
        <f t="shared" si="37"/>
        <v>0</v>
      </c>
      <c r="BZ27" s="520">
        <f t="shared" si="37"/>
        <v>0</v>
      </c>
      <c r="CA27" s="520">
        <f t="shared" si="37"/>
        <v>92118216</v>
      </c>
      <c r="CB27" s="520">
        <f t="shared" si="37"/>
        <v>41717572273</v>
      </c>
      <c r="CC27" s="520">
        <f t="shared" si="37"/>
        <v>6710032272</v>
      </c>
      <c r="CD27" s="520">
        <f t="shared" si="37"/>
        <v>-35007540001</v>
      </c>
      <c r="CE27" s="520"/>
      <c r="CF27" s="520"/>
      <c r="CG27" s="520"/>
      <c r="CI27" s="719">
        <f t="shared" ref="CI27:CT27" si="38">SUM(CI20:CI26)</f>
        <v>40684527408</v>
      </c>
      <c r="CJ27" s="716">
        <f t="shared" si="38"/>
        <v>6617914056</v>
      </c>
      <c r="CK27" s="716">
        <f t="shared" si="38"/>
        <v>-34066613352</v>
      </c>
      <c r="CL27" s="716">
        <f t="shared" si="38"/>
        <v>0</v>
      </c>
      <c r="CM27" s="716">
        <f t="shared" si="38"/>
        <v>-484923306</v>
      </c>
      <c r="CN27" s="716">
        <f t="shared" si="38"/>
        <v>0</v>
      </c>
      <c r="CO27" s="716">
        <f t="shared" si="38"/>
        <v>-17460564</v>
      </c>
      <c r="CP27" s="716">
        <f t="shared" si="38"/>
        <v>40488718739</v>
      </c>
      <c r="CQ27" s="716">
        <f t="shared" si="38"/>
        <v>6115530186</v>
      </c>
      <c r="CR27" s="716">
        <f t="shared" si="38"/>
        <v>-34373188553</v>
      </c>
      <c r="CS27" s="716"/>
      <c r="CT27" s="716">
        <f t="shared" si="38"/>
        <v>-502383870</v>
      </c>
      <c r="CU27" s="717"/>
      <c r="CV27" s="720"/>
      <c r="CW27" s="719">
        <v>41953248856</v>
      </c>
      <c r="CX27" s="716">
        <v>-34373188553</v>
      </c>
      <c r="CY27" s="716">
        <v>6115530186</v>
      </c>
      <c r="CZ27" s="716">
        <v>0</v>
      </c>
      <c r="DA27" s="716">
        <v>0</v>
      </c>
      <c r="DB27" s="716">
        <v>1464530117</v>
      </c>
      <c r="DC27" s="716">
        <v>-45537754</v>
      </c>
      <c r="DD27" s="716">
        <v>41442573046</v>
      </c>
      <c r="DE27" s="716">
        <v>-33908050497</v>
      </c>
      <c r="DF27" s="716">
        <v>7534522549</v>
      </c>
      <c r="DG27" s="716"/>
      <c r="DH27" s="716">
        <v>1418992363</v>
      </c>
      <c r="DI27" s="717"/>
      <c r="DK27" s="719">
        <f t="shared" ref="DK27:DV27" si="39">SUM(DK20:DK26)</f>
        <v>41442573046</v>
      </c>
      <c r="DL27" s="716">
        <f>SUM(DL20:DL26)</f>
        <v>-33908050497</v>
      </c>
      <c r="DM27" s="716">
        <f t="shared" si="39"/>
        <v>7534522549</v>
      </c>
      <c r="DN27" s="716">
        <f t="shared" si="39"/>
        <v>0</v>
      </c>
      <c r="DO27" s="716">
        <f t="shared" si="39"/>
        <v>-19842800</v>
      </c>
      <c r="DP27" s="716">
        <f t="shared" si="39"/>
        <v>0</v>
      </c>
      <c r="DQ27" s="716">
        <f t="shared" si="39"/>
        <v>-146092400</v>
      </c>
      <c r="DR27" s="716">
        <f t="shared" si="39"/>
        <v>39804243404</v>
      </c>
      <c r="DS27" s="716">
        <f>SUM(DS20:DS26)</f>
        <v>-32435656055</v>
      </c>
      <c r="DT27" s="716">
        <f t="shared" si="39"/>
        <v>7368587349</v>
      </c>
      <c r="DU27" s="716"/>
      <c r="DV27" s="716">
        <f t="shared" si="39"/>
        <v>-165935200</v>
      </c>
      <c r="DW27" s="717"/>
    </row>
    <row r="28" spans="3:127" s="494" customFormat="1" ht="18" customHeight="1">
      <c r="M28" s="729"/>
      <c r="X28" s="729"/>
      <c r="AI28" s="729"/>
      <c r="AT28" s="729"/>
      <c r="AX28" s="540"/>
      <c r="BE28" s="729"/>
      <c r="BP28" s="729"/>
      <c r="CC28" s="729"/>
      <c r="CD28" s="729"/>
      <c r="CI28" s="540"/>
      <c r="CJ28" s="540"/>
      <c r="CK28" s="540"/>
      <c r="CL28" s="540"/>
      <c r="CM28" s="540"/>
      <c r="CN28" s="540"/>
      <c r="CO28" s="540"/>
      <c r="CP28" s="540" t="b">
        <f>CP27=T_BS!AN134</f>
        <v>1</v>
      </c>
      <c r="CQ28" s="730"/>
      <c r="CR28" s="731" t="b">
        <f>CR27=T_BS!AN135</f>
        <v>1</v>
      </c>
      <c r="CS28" s="540"/>
      <c r="CT28" s="540"/>
      <c r="CU28" s="540"/>
      <c r="CV28" s="732"/>
      <c r="CW28" s="540"/>
      <c r="CX28" s="495"/>
      <c r="CY28" s="540" t="b">
        <v>1</v>
      </c>
      <c r="CZ28" s="540"/>
      <c r="DA28" s="540"/>
      <c r="DB28" s="540"/>
      <c r="DC28" s="540"/>
      <c r="DD28" s="540" t="b">
        <v>1</v>
      </c>
      <c r="DE28" s="731" t="b">
        <v>1</v>
      </c>
      <c r="DF28" s="731"/>
      <c r="DG28" s="540"/>
      <c r="DH28" s="540"/>
      <c r="DI28" s="540"/>
      <c r="DK28" s="540" t="b">
        <f>DK27=DD27</f>
        <v>1</v>
      </c>
      <c r="DL28" s="540" t="b">
        <f>DL27=DE27</f>
        <v>1</v>
      </c>
      <c r="DM28" s="540" t="b">
        <f>DM27=DF27</f>
        <v>1</v>
      </c>
      <c r="DN28" s="540"/>
      <c r="DO28" s="540"/>
      <c r="DP28" s="540"/>
      <c r="DQ28" s="540"/>
      <c r="DR28" s="540" t="b">
        <f>T_BS!$X134=DR27</f>
        <v>1</v>
      </c>
      <c r="DS28" s="731" t="b">
        <f>DS27=T_BS!$X135</f>
        <v>1</v>
      </c>
      <c r="DT28" s="731" t="b">
        <f>DT27=T_BS!X134+T_BS!X135</f>
        <v>1</v>
      </c>
      <c r="DU28" s="540"/>
      <c r="DV28" s="540"/>
      <c r="DW28" s="540"/>
    </row>
    <row r="29" spans="3:127" s="494" customFormat="1" ht="18" customHeight="1">
      <c r="M29" s="729"/>
      <c r="X29" s="729"/>
      <c r="AI29" s="729"/>
      <c r="AT29" s="729"/>
      <c r="AX29" s="540"/>
      <c r="BE29" s="729"/>
      <c r="BP29" s="729"/>
      <c r="CC29" s="729"/>
      <c r="CD29" s="729"/>
      <c r="CQ29" s="733"/>
      <c r="CR29" s="729"/>
      <c r="CV29" s="558"/>
      <c r="CX29" s="519"/>
      <c r="DE29" s="729"/>
      <c r="DF29" s="729"/>
      <c r="DL29" s="519"/>
      <c r="DS29" s="729"/>
      <c r="DT29" s="729"/>
    </row>
    <row r="30" spans="3:127" ht="18" customHeight="1">
      <c r="AD30" s="498">
        <v>2447102013.5100002</v>
      </c>
      <c r="AH30" s="734" t="s">
        <v>1627</v>
      </c>
      <c r="AI30" s="735">
        <v>4096993217</v>
      </c>
      <c r="AO30" s="498" t="s">
        <v>456</v>
      </c>
      <c r="AP30" s="736">
        <v>10.6976</v>
      </c>
      <c r="AS30" s="734" t="s">
        <v>1627</v>
      </c>
      <c r="AT30" s="735">
        <v>4096993217</v>
      </c>
      <c r="AZ30" s="498" t="s">
        <v>456</v>
      </c>
      <c r="BA30" s="736">
        <v>10.9626</v>
      </c>
      <c r="BD30" s="734" t="s">
        <v>1627</v>
      </c>
      <c r="BE30" s="735">
        <v>4096993217</v>
      </c>
      <c r="BK30" s="498" t="s">
        <v>456</v>
      </c>
      <c r="BL30" s="736">
        <v>11.132899999999999</v>
      </c>
      <c r="BO30" s="734" t="s">
        <v>1627</v>
      </c>
      <c r="BP30" s="735">
        <v>4096993217</v>
      </c>
      <c r="BW30" s="498" t="s">
        <v>456</v>
      </c>
      <c r="BX30" s="737">
        <f>'5.1'!S18</f>
        <v>11.167199999999999</v>
      </c>
      <c r="CA30" s="738" t="s">
        <v>1627</v>
      </c>
      <c r="CB30" s="739">
        <f>CC25</f>
        <v>4096993217</v>
      </c>
      <c r="CC30" s="735"/>
      <c r="CK30" s="740" t="s">
        <v>456</v>
      </c>
      <c r="CL30" s="741">
        <f>'5.1'!T18</f>
        <v>11.050700000000001</v>
      </c>
      <c r="CO30" s="742" t="s">
        <v>1627</v>
      </c>
      <c r="CP30" s="739">
        <f>CQ25</f>
        <v>4096993217</v>
      </c>
      <c r="CQ30" s="743"/>
      <c r="CX30" s="744" t="s">
        <v>456</v>
      </c>
      <c r="CY30" s="745">
        <v>10.4145</v>
      </c>
      <c r="DC30" s="738" t="s">
        <v>1627</v>
      </c>
      <c r="DD30" s="739">
        <v>4096993217</v>
      </c>
      <c r="DE30" s="575"/>
      <c r="DF30" s="743"/>
      <c r="DG30" s="575"/>
      <c r="DL30" s="740" t="s">
        <v>456</v>
      </c>
      <c r="DM30" s="741">
        <f>'4.0'!AB7</f>
        <v>9.8344000000000005</v>
      </c>
      <c r="DQ30" s="738" t="s">
        <v>1627</v>
      </c>
      <c r="DR30" s="739">
        <f>DT25</f>
        <v>4096993217</v>
      </c>
      <c r="DS30" s="575"/>
      <c r="DT30" s="743"/>
      <c r="DU30" s="575"/>
    </row>
    <row r="31" spans="3:127" ht="18" customHeight="1">
      <c r="AH31" s="734" t="s">
        <v>1628</v>
      </c>
      <c r="AI31" s="735">
        <v>484923306</v>
      </c>
      <c r="AO31" s="498" t="s">
        <v>455</v>
      </c>
      <c r="AP31" s="746">
        <v>10.6347</v>
      </c>
      <c r="AS31" s="734" t="s">
        <v>1628</v>
      </c>
      <c r="AT31" s="735">
        <v>484923306</v>
      </c>
      <c r="AZ31" s="498" t="s">
        <v>455</v>
      </c>
      <c r="BA31" s="746">
        <v>11.308299999999999</v>
      </c>
      <c r="BD31" s="734" t="s">
        <v>1628</v>
      </c>
      <c r="BE31" s="735">
        <v>484923306</v>
      </c>
      <c r="BK31" s="498" t="s">
        <v>455</v>
      </c>
      <c r="BL31" s="746">
        <v>11.160500000000001</v>
      </c>
      <c r="BO31" s="734" t="s">
        <v>1628</v>
      </c>
      <c r="BP31" s="735">
        <v>484923306</v>
      </c>
      <c r="BW31" s="498" t="s">
        <v>455</v>
      </c>
      <c r="BX31" s="747">
        <f>'5.1'!S17</f>
        <v>11.1206</v>
      </c>
      <c r="CA31" s="738" t="s">
        <v>1628</v>
      </c>
      <c r="CB31" s="739">
        <f>CC26</f>
        <v>484923306</v>
      </c>
      <c r="CC31" s="735"/>
      <c r="CK31" s="740" t="s">
        <v>455</v>
      </c>
      <c r="CL31" s="748">
        <f>'5.1'!T17</f>
        <v>10.5426</v>
      </c>
      <c r="CO31" s="742" t="s">
        <v>1628</v>
      </c>
      <c r="CP31" s="739">
        <f>CQ26</f>
        <v>0</v>
      </c>
      <c r="CQ31" s="743"/>
      <c r="CX31" s="744" t="s">
        <v>455</v>
      </c>
      <c r="CY31" s="749">
        <v>10.3024</v>
      </c>
      <c r="DC31" s="738" t="s">
        <v>1628</v>
      </c>
      <c r="DD31" s="739">
        <v>0</v>
      </c>
      <c r="DE31" s="575"/>
      <c r="DF31" s="743"/>
      <c r="DG31" s="575"/>
      <c r="DL31" s="740" t="s">
        <v>455</v>
      </c>
      <c r="DM31" s="748">
        <f>'4.0'!AB6</f>
        <v>9.5318000000000005</v>
      </c>
      <c r="DQ31" s="738" t="s">
        <v>1628</v>
      </c>
      <c r="DR31" s="739">
        <f>DT26</f>
        <v>0</v>
      </c>
      <c r="DS31" s="575"/>
      <c r="DT31" s="743"/>
      <c r="DU31" s="575"/>
    </row>
    <row r="32" spans="3:127" ht="18" customHeight="1">
      <c r="AH32" s="734" t="s">
        <v>494</v>
      </c>
      <c r="AI32" s="735">
        <f>SUM(AI30:AI31,AI27)</f>
        <v>28273135167</v>
      </c>
      <c r="AS32" s="734" t="s">
        <v>494</v>
      </c>
      <c r="AT32" s="735">
        <f>SUM(AT30:AT31,AT27)</f>
        <v>6617914056</v>
      </c>
      <c r="BD32" s="734" t="s">
        <v>494</v>
      </c>
      <c r="BE32" s="735">
        <f>SUM(BE30:BE31,BE27)</f>
        <v>6745616937</v>
      </c>
      <c r="BO32" s="734" t="s">
        <v>494</v>
      </c>
      <c r="BP32" s="735">
        <v>6717596619</v>
      </c>
      <c r="BU32" s="498">
        <v>17757739327</v>
      </c>
      <c r="BW32" s="498" t="s">
        <v>1959</v>
      </c>
      <c r="BX32" s="746">
        <v>10.6347</v>
      </c>
      <c r="CA32" s="750" t="s">
        <v>1982</v>
      </c>
      <c r="CB32" s="750">
        <f>CC20+CC21</f>
        <v>2128115749</v>
      </c>
      <c r="CC32" s="735"/>
      <c r="CK32" s="740" t="s">
        <v>1959</v>
      </c>
      <c r="CL32" s="748">
        <v>10.6347</v>
      </c>
      <c r="CO32" s="742" t="s">
        <v>1982</v>
      </c>
      <c r="CP32" s="750">
        <f>CQ20+CQ21+CQ22</f>
        <v>2018536969</v>
      </c>
      <c r="CQ32" s="743"/>
      <c r="CX32" s="744" t="s">
        <v>1959</v>
      </c>
      <c r="CY32" s="749">
        <v>10.542599995868979</v>
      </c>
      <c r="DC32" s="750" t="s">
        <v>1982</v>
      </c>
      <c r="DD32" s="750">
        <v>3437529332</v>
      </c>
      <c r="DE32" s="575"/>
      <c r="DF32" s="743"/>
      <c r="DG32" s="575"/>
      <c r="DL32" s="740" t="s">
        <v>1959</v>
      </c>
      <c r="DM32" s="748">
        <f>DM20/DM7</f>
        <v>10.302400003004397</v>
      </c>
      <c r="DQ32" s="750" t="s">
        <v>2875</v>
      </c>
      <c r="DR32" s="750">
        <f>DT20+DT21+DT22+DT23</f>
        <v>3271594132</v>
      </c>
      <c r="DS32" s="575"/>
      <c r="DT32" s="743"/>
      <c r="DU32" s="575"/>
    </row>
    <row r="33" spans="34:125" ht="18" customHeight="1" thickBot="1">
      <c r="AH33" s="751" t="s">
        <v>1629</v>
      </c>
      <c r="AI33" s="752"/>
      <c r="AS33" s="751" t="s">
        <v>1629</v>
      </c>
      <c r="AT33" s="752"/>
      <c r="BD33" s="751" t="s">
        <v>1629</v>
      </c>
      <c r="BE33" s="752"/>
      <c r="BO33" s="751" t="s">
        <v>1629</v>
      </c>
      <c r="BP33" s="752" t="b">
        <v>1</v>
      </c>
      <c r="BU33" s="498">
        <v>-13175822804</v>
      </c>
      <c r="BX33" s="746">
        <v>11.160500000000001</v>
      </c>
      <c r="CA33" s="734" t="s">
        <v>494</v>
      </c>
      <c r="CB33" s="735">
        <f>SUM(CB30:CB32)</f>
        <v>6710032272</v>
      </c>
      <c r="CC33" s="753"/>
      <c r="CL33" s="746"/>
      <c r="CO33" s="754" t="s">
        <v>494</v>
      </c>
      <c r="CP33" s="735">
        <f>SUM(CP30:CP32)</f>
        <v>6115530186</v>
      </c>
      <c r="CQ33" s="755"/>
      <c r="CZ33" s="746"/>
      <c r="DC33" s="734" t="s">
        <v>494</v>
      </c>
      <c r="DD33" s="735">
        <v>7534522549</v>
      </c>
      <c r="DE33" s="575"/>
      <c r="DF33" s="755"/>
      <c r="DG33" s="575"/>
      <c r="DN33" s="746"/>
      <c r="DQ33" s="734" t="s">
        <v>494</v>
      </c>
      <c r="DR33" s="735">
        <f>SUM(DR30:DR32)</f>
        <v>7368587349</v>
      </c>
      <c r="DS33" s="575"/>
      <c r="DT33" s="755"/>
      <c r="DU33" s="575"/>
    </row>
    <row r="34" spans="34:125" ht="18" customHeight="1" thickTop="1" thickBot="1">
      <c r="CA34" s="751" t="s">
        <v>1629</v>
      </c>
      <c r="CB34" s="752"/>
      <c r="CO34" s="756" t="s">
        <v>1629</v>
      </c>
      <c r="CP34" s="752" t="b">
        <f>(T_BS!$AN134+T_BS!$AN135)=CP33</f>
        <v>1</v>
      </c>
      <c r="CQ34" s="575"/>
      <c r="DC34" s="751" t="s">
        <v>1629</v>
      </c>
      <c r="DD34" s="752" t="b">
        <v>1</v>
      </c>
      <c r="DE34" s="575"/>
      <c r="DF34" s="575"/>
      <c r="DG34" s="575"/>
      <c r="DQ34" s="751" t="s">
        <v>1629</v>
      </c>
      <c r="DR34" s="752" t="b">
        <f>(T_BS!$X134+T_BS!$X135)=DR33</f>
        <v>1</v>
      </c>
      <c r="DS34" s="575"/>
      <c r="DT34" s="575"/>
      <c r="DU34" s="575"/>
    </row>
    <row r="35" spans="34:125" ht="18" customHeight="1" thickTop="1">
      <c r="DS35" s="575"/>
      <c r="DT35" s="575"/>
      <c r="DU35" s="575"/>
    </row>
    <row r="36" spans="34:125" ht="18" customHeight="1">
      <c r="AT36" s="498">
        <v>5485464260</v>
      </c>
      <c r="BM36" s="498" t="s">
        <v>460</v>
      </c>
      <c r="BN36" s="498" t="s">
        <v>1960</v>
      </c>
      <c r="BO36" s="498" t="s">
        <v>1961</v>
      </c>
      <c r="BP36" s="498" t="s">
        <v>557</v>
      </c>
      <c r="BY36" s="498" t="s">
        <v>1804</v>
      </c>
      <c r="BZ36" s="498" t="s">
        <v>1962</v>
      </c>
      <c r="CA36" s="498" t="s">
        <v>1963</v>
      </c>
      <c r="CB36" s="498" t="s">
        <v>1964</v>
      </c>
      <c r="CC36" s="498" t="s">
        <v>1965</v>
      </c>
    </row>
    <row r="37" spans="34:125" ht="18" customHeight="1">
      <c r="BL37" s="498" t="s">
        <v>129</v>
      </c>
      <c r="BM37" s="498">
        <v>21748156283</v>
      </c>
      <c r="BN37" s="498">
        <v>-20593687255</v>
      </c>
      <c r="BO37" s="498">
        <v>-961368268</v>
      </c>
      <c r="BP37" s="498">
        <v>2115837296</v>
      </c>
      <c r="BU37" s="498">
        <f>+CB7*$BX$33+CB21+CB24+CB25+CB22+CB26</f>
        <v>41802401435.087502</v>
      </c>
      <c r="BV37" s="498">
        <f>+CC7*$BX$33+CC21+CC24+CC25+CC22+CC26</f>
        <v>6717596619.4795284</v>
      </c>
      <c r="BW37" s="498">
        <f>+CD7*$BX$33+CD21+CD24+CD25+CD22+CD26</f>
        <v>-35084804815.607971</v>
      </c>
      <c r="BX37" s="498" t="s">
        <v>1803</v>
      </c>
      <c r="BY37" s="498">
        <f>+G20</f>
        <v>21748156283</v>
      </c>
      <c r="BZ37" s="498">
        <f>+BU20</f>
        <v>22609841988</v>
      </c>
      <c r="CA37" s="498">
        <f>+CD20</f>
        <v>-21534613904</v>
      </c>
      <c r="CB37" s="498">
        <f>BZ37+CA37-CC37</f>
        <v>-1033044865</v>
      </c>
      <c r="CC37" s="498">
        <f>+CC20</f>
        <v>2108272949</v>
      </c>
    </row>
    <row r="38" spans="34:125" ht="18" customHeight="1">
      <c r="BL38" s="498" t="s">
        <v>1966</v>
      </c>
      <c r="BM38" s="498">
        <v>6676985115</v>
      </c>
      <c r="BN38" s="498">
        <v>-1912539733</v>
      </c>
      <c r="BO38" s="498">
        <v>-456283061</v>
      </c>
      <c r="BP38" s="498">
        <v>5220728443</v>
      </c>
      <c r="BV38" s="498">
        <f>+BU37+BW37-BV37</f>
        <v>0</v>
      </c>
      <c r="BX38" s="498" t="s">
        <v>1967</v>
      </c>
      <c r="BY38" s="498">
        <v>6676985115</v>
      </c>
      <c r="BZ38" s="498">
        <v>5320226579</v>
      </c>
      <c r="CA38" s="498">
        <v>-2095087333</v>
      </c>
      <c r="CB38" s="498">
        <f>BZ38+CA38-CC38</f>
        <v>-2095087333</v>
      </c>
      <c r="CC38" s="498">
        <v>5320226579</v>
      </c>
    </row>
    <row r="39" spans="34:125" ht="18" customHeight="1">
      <c r="BL39" s="498" t="s">
        <v>1968</v>
      </c>
      <c r="BM39" s="498">
        <v>-2324258519</v>
      </c>
      <c r="BN39" s="498">
        <v>665755050</v>
      </c>
      <c r="BO39" s="498">
        <v>158832140</v>
      </c>
      <c r="BP39" s="498">
        <v>-1817335609</v>
      </c>
      <c r="BX39" s="498" t="s">
        <v>1969</v>
      </c>
      <c r="BY39" s="498">
        <v>-2324258519</v>
      </c>
      <c r="BZ39" s="498">
        <v>-1787367279</v>
      </c>
      <c r="CA39" s="498">
        <v>729299866</v>
      </c>
      <c r="CB39" s="498">
        <f>BZ39+CA39-CC39</f>
        <v>729299866</v>
      </c>
      <c r="CC39" s="498">
        <v>-1787367279</v>
      </c>
    </row>
    <row r="40" spans="34:125" ht="18" customHeight="1">
      <c r="BL40" s="498" t="s">
        <v>1699</v>
      </c>
      <c r="BM40" s="498">
        <v>3899117116</v>
      </c>
      <c r="BX40" s="498" t="s">
        <v>1811</v>
      </c>
      <c r="BY40" s="498">
        <f>BY41-BY39-BY38-BY37</f>
        <v>3899117116</v>
      </c>
    </row>
    <row r="41" spans="34:125" ht="18" customHeight="1">
      <c r="BL41" s="498" t="s">
        <v>1970</v>
      </c>
      <c r="BM41" s="498">
        <v>29999999995</v>
      </c>
      <c r="BX41" s="498" t="s">
        <v>1971</v>
      </c>
      <c r="BY41" s="498">
        <v>29999999995</v>
      </c>
    </row>
    <row r="42" spans="34:125" ht="18" customHeight="1">
      <c r="BQ42" s="2162" t="s">
        <v>1972</v>
      </c>
      <c r="BR42" s="2163"/>
      <c r="BS42" s="2163"/>
      <c r="BT42" s="2163"/>
      <c r="BU42" s="2163"/>
      <c r="BV42" s="2164"/>
    </row>
    <row r="43" spans="34:125" ht="18" customHeight="1">
      <c r="BM43" s="498">
        <v>21748156283</v>
      </c>
      <c r="BN43" s="498">
        <v>29999999995</v>
      </c>
      <c r="BQ43" s="2165" t="s">
        <v>1973</v>
      </c>
      <c r="BR43" s="2167" t="s">
        <v>1974</v>
      </c>
      <c r="BS43" s="2168"/>
      <c r="BT43" s="2168"/>
      <c r="BU43" s="2169"/>
      <c r="BV43" s="757" t="s">
        <v>1975</v>
      </c>
      <c r="BY43" s="498">
        <f>+BY37</f>
        <v>21748156283</v>
      </c>
      <c r="BZ43" s="498">
        <f>BY41</f>
        <v>29999999995</v>
      </c>
    </row>
    <row r="44" spans="34:125" ht="18" customHeight="1">
      <c r="BM44" s="498">
        <v>6676985115</v>
      </c>
      <c r="BN44" s="498">
        <v>2324258519</v>
      </c>
      <c r="BQ44" s="2166"/>
      <c r="BR44" s="758" t="s">
        <v>1976</v>
      </c>
      <c r="BS44" s="758" t="s">
        <v>1977</v>
      </c>
      <c r="BT44" s="758" t="s">
        <v>1978</v>
      </c>
      <c r="BU44" s="758" t="s">
        <v>1979</v>
      </c>
      <c r="BV44" s="757" t="s">
        <v>1979</v>
      </c>
      <c r="BY44" s="498">
        <f>+BY38</f>
        <v>6676985115</v>
      </c>
      <c r="BZ44" s="498">
        <f>-BY39</f>
        <v>2324258519</v>
      </c>
    </row>
    <row r="45" spans="34:125" ht="18" customHeight="1">
      <c r="BM45" s="498">
        <v>3899117116</v>
      </c>
      <c r="BQ45" s="759" t="s">
        <v>110</v>
      </c>
      <c r="BR45" s="760">
        <v>12030230</v>
      </c>
      <c r="BS45" s="760">
        <v>-8647632</v>
      </c>
      <c r="BT45" s="760">
        <v>-2107185</v>
      </c>
      <c r="BU45" s="760">
        <v>1275413</v>
      </c>
      <c r="BV45" s="761">
        <v>1265448</v>
      </c>
      <c r="BY45" s="498">
        <f>BZ44+BZ43-BY43-BY44</f>
        <v>3899117116</v>
      </c>
    </row>
    <row r="46" spans="34:125" ht="18" customHeight="1">
      <c r="BM46" s="498">
        <v>32324258514</v>
      </c>
      <c r="BN46" s="498">
        <v>32324258514</v>
      </c>
      <c r="BQ46" s="759" t="s">
        <v>649</v>
      </c>
      <c r="BR46" s="760">
        <v>1414634</v>
      </c>
      <c r="BS46" s="760">
        <v>-715719</v>
      </c>
      <c r="BT46" s="762" t="s">
        <v>611</v>
      </c>
      <c r="BU46" s="760">
        <v>698915</v>
      </c>
      <c r="BV46" s="761">
        <v>652261</v>
      </c>
      <c r="BY46" s="498">
        <f>+BY43+BY44+BY45</f>
        <v>32324258514</v>
      </c>
      <c r="BZ46" s="498">
        <f>+BZ43+BZ44</f>
        <v>32324258514</v>
      </c>
    </row>
    <row r="47" spans="34:125" ht="18" customHeight="1">
      <c r="BQ47" s="759" t="s">
        <v>123</v>
      </c>
      <c r="BR47" s="760">
        <v>18523148</v>
      </c>
      <c r="BS47" s="760">
        <v>-9159477</v>
      </c>
      <c r="BT47" s="760">
        <v>-5553041</v>
      </c>
      <c r="BU47" s="760">
        <v>3810630</v>
      </c>
      <c r="BV47" s="761">
        <v>4044415</v>
      </c>
    </row>
    <row r="48" spans="34:125" ht="18" customHeight="1">
      <c r="BL48" s="498" t="s">
        <v>1970</v>
      </c>
      <c r="BM48" s="498">
        <v>29999999995</v>
      </c>
      <c r="BQ48" s="759" t="s">
        <v>1923</v>
      </c>
      <c r="BR48" s="760">
        <v>462235</v>
      </c>
      <c r="BS48" s="762" t="s">
        <v>611</v>
      </c>
      <c r="BT48" s="762" t="s">
        <v>611</v>
      </c>
      <c r="BU48" s="760">
        <v>462235</v>
      </c>
      <c r="BV48" s="763" t="s">
        <v>611</v>
      </c>
      <c r="BX48" s="498" t="str">
        <f>BX41</f>
        <v>인수대가</v>
      </c>
      <c r="BY48" s="498">
        <f>BY41</f>
        <v>29999999995</v>
      </c>
    </row>
    <row r="49" spans="64:77" ht="18" customHeight="1">
      <c r="BL49" s="498" t="s">
        <v>1745</v>
      </c>
      <c r="BM49" s="498">
        <v>-24071000000</v>
      </c>
      <c r="BQ49" s="764" t="s">
        <v>650</v>
      </c>
      <c r="BR49" s="760">
        <v>25615738</v>
      </c>
      <c r="BS49" s="760">
        <v>-13459163</v>
      </c>
      <c r="BT49" s="762" t="s">
        <v>611</v>
      </c>
      <c r="BU49" s="760">
        <v>12156575</v>
      </c>
      <c r="BV49" s="761">
        <v>14018587</v>
      </c>
      <c r="BX49" s="498" t="s">
        <v>1980</v>
      </c>
      <c r="BY49" s="498">
        <v>-24071000000</v>
      </c>
    </row>
    <row r="50" spans="64:77" ht="18" customHeight="1">
      <c r="BM50" s="498">
        <v>5928999995</v>
      </c>
      <c r="BQ50" s="764" t="s">
        <v>129</v>
      </c>
      <c r="BR50" s="765">
        <v>41802401</v>
      </c>
      <c r="BS50" s="766" t="s">
        <v>611</v>
      </c>
      <c r="BT50" s="765">
        <v>-35084805</v>
      </c>
      <c r="BU50" s="760">
        <f>+BR50+BT50</f>
        <v>6717596</v>
      </c>
      <c r="BV50" s="761">
        <v>6617914</v>
      </c>
      <c r="BY50" s="498">
        <f>+BY48+BY49</f>
        <v>5928999995</v>
      </c>
    </row>
    <row r="51" spans="64:77" ht="18" customHeight="1">
      <c r="BQ51" s="767" t="s">
        <v>1981</v>
      </c>
      <c r="BR51" s="768">
        <f>SUM(BR45:BR50)</f>
        <v>99848386</v>
      </c>
      <c r="BS51" s="768">
        <f>SUM(BS45:BS50)</f>
        <v>-31981991</v>
      </c>
      <c r="BT51" s="768">
        <f>SUM(BT45:BT50)</f>
        <v>-42745031</v>
      </c>
      <c r="BU51" s="768">
        <f>SUM(BU45:BU50)</f>
        <v>25121364</v>
      </c>
      <c r="BV51" s="769">
        <v>26598625</v>
      </c>
    </row>
  </sheetData>
  <mergeCells count="21">
    <mergeCell ref="DK5:DW5"/>
    <mergeCell ref="DK17:DW17"/>
    <mergeCell ref="BU17:CG17"/>
    <mergeCell ref="CI5:CU5"/>
    <mergeCell ref="CI17:CU17"/>
    <mergeCell ref="CW5:DI5"/>
    <mergeCell ref="CW17:DI17"/>
    <mergeCell ref="D5:E5"/>
    <mergeCell ref="D17:E17"/>
    <mergeCell ref="BQ42:BV42"/>
    <mergeCell ref="BQ43:BQ44"/>
    <mergeCell ref="BR43:BU43"/>
    <mergeCell ref="BU5:CG5"/>
    <mergeCell ref="AC5:AL5"/>
    <mergeCell ref="AN5:AW5"/>
    <mergeCell ref="BJ5:BS5"/>
    <mergeCell ref="AY5:BH5"/>
    <mergeCell ref="AC17:AL17"/>
    <mergeCell ref="AN17:AW17"/>
    <mergeCell ref="AY17:BH17"/>
    <mergeCell ref="BJ17:BS17"/>
  </mergeCells>
  <phoneticPr fontId="22" type="noConversion"/>
  <pageMargins left="0.7" right="0.7" top="0.75" bottom="0.75" header="0.3" footer="0.3"/>
  <pageSetup orientation="portrait" r:id="rId1"/>
  <ignoredErrors>
    <ignoredError sqref="M30:P31 M7:P13 M15:P17 P14 M28:P28 P27 M19:P26 O18:P18" formulaRange="1"/>
    <ignoredError sqref="DN11 DN20 DK18:DT18 DV18:DW18 CP12:CQ13 CQ30:CR32 CQ21:CR21 CQ28 DU10:DV10 DK15:DW17 DN12 DU12:DV12 DU21:DV23 DK19:DS19 DU19:DW19 DN13 CP15:CQ15 CR24:CR27 CQ24:CQ27 CQ22 DN21 DN22 DP20 DP21 DP22 DP11 DP12 DP13 DN10 DU11:DV11 DU13 DN23 DU20:DV20" formula="1"/>
    <ignoredError sqref="CQ23" formula="1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9"/>
  <dimension ref="D4:AJ23"/>
  <sheetViews>
    <sheetView showGridLines="0" zoomScaleNormal="100" workbookViewId="0">
      <selection activeCell="AH25" sqref="AH25"/>
    </sheetView>
  </sheetViews>
  <sheetFormatPr defaultColWidth="8.75" defaultRowHeight="18" customHeight="1" outlineLevelCol="1"/>
  <cols>
    <col min="1" max="3" width="2.375" style="5" customWidth="1"/>
    <col min="4" max="4" width="15.375" style="5" customWidth="1"/>
    <col min="5" max="5" width="16" style="5" bestFit="1" customWidth="1"/>
    <col min="6" max="6" width="14.75" style="5" customWidth="1" outlineLevel="1"/>
    <col min="7" max="16" width="14.75" style="5" hidden="1" customWidth="1" outlineLevel="1"/>
    <col min="17" max="26" width="14.75" style="5" hidden="1" customWidth="1"/>
    <col min="27" max="36" width="14.75" style="5" customWidth="1"/>
    <col min="37" max="16384" width="8.75" style="5"/>
  </cols>
  <sheetData>
    <row r="4" spans="4:36" ht="18" customHeight="1" thickBot="1">
      <c r="D4" s="25" t="s">
        <v>474</v>
      </c>
    </row>
    <row r="5" spans="4:36" s="8" customFormat="1" ht="18" customHeight="1">
      <c r="D5" s="75" t="s">
        <v>458</v>
      </c>
      <c r="E5" s="76" t="s">
        <v>459</v>
      </c>
      <c r="F5" s="76" t="s">
        <v>471</v>
      </c>
      <c r="G5" s="76" t="s">
        <v>466</v>
      </c>
      <c r="H5" s="76" t="s">
        <v>460</v>
      </c>
      <c r="I5" s="76" t="s">
        <v>461</v>
      </c>
      <c r="J5" s="76" t="s">
        <v>462</v>
      </c>
      <c r="K5" s="76" t="s">
        <v>463</v>
      </c>
      <c r="L5" s="76" t="s">
        <v>464</v>
      </c>
      <c r="M5" s="76" t="s">
        <v>394</v>
      </c>
      <c r="N5" s="76" t="s">
        <v>483</v>
      </c>
      <c r="O5" s="76" t="s">
        <v>465</v>
      </c>
      <c r="P5" s="77" t="s">
        <v>477</v>
      </c>
      <c r="Q5" s="76" t="s">
        <v>466</v>
      </c>
      <c r="R5" s="76" t="s">
        <v>460</v>
      </c>
      <c r="S5" s="76" t="s">
        <v>461</v>
      </c>
      <c r="T5" s="76" t="s">
        <v>462</v>
      </c>
      <c r="U5" s="76" t="s">
        <v>463</v>
      </c>
      <c r="V5" s="76" t="s">
        <v>464</v>
      </c>
      <c r="W5" s="76" t="s">
        <v>395</v>
      </c>
      <c r="X5" s="76" t="s">
        <v>483</v>
      </c>
      <c r="Y5" s="76" t="s">
        <v>465</v>
      </c>
      <c r="Z5" s="77" t="s">
        <v>477</v>
      </c>
      <c r="AA5" s="76" t="s">
        <v>466</v>
      </c>
      <c r="AB5" s="76" t="s">
        <v>460</v>
      </c>
      <c r="AC5" s="76" t="s">
        <v>461</v>
      </c>
      <c r="AD5" s="76" t="s">
        <v>462</v>
      </c>
      <c r="AE5" s="76" t="s">
        <v>463</v>
      </c>
      <c r="AF5" s="76" t="s">
        <v>464</v>
      </c>
      <c r="AG5" s="76" t="s">
        <v>395</v>
      </c>
      <c r="AH5" s="76" t="s">
        <v>483</v>
      </c>
      <c r="AI5" s="76" t="s">
        <v>465</v>
      </c>
      <c r="AJ5" s="77" t="s">
        <v>477</v>
      </c>
    </row>
    <row r="6" spans="4:36" ht="18" customHeight="1">
      <c r="D6" s="36" t="s">
        <v>15</v>
      </c>
      <c r="E6" s="34" t="s">
        <v>428</v>
      </c>
      <c r="F6" s="38" t="s">
        <v>472</v>
      </c>
      <c r="G6" s="34">
        <v>2126044175</v>
      </c>
      <c r="H6" s="34">
        <v>2126044175</v>
      </c>
      <c r="I6" s="34">
        <v>0</v>
      </c>
      <c r="J6" s="34">
        <v>0</v>
      </c>
      <c r="K6" s="34">
        <v>0</v>
      </c>
      <c r="L6" s="34">
        <v>0</v>
      </c>
      <c r="M6" s="34">
        <f>SUM(H6:L6)</f>
        <v>2126044175</v>
      </c>
      <c r="N6" s="34">
        <v>0</v>
      </c>
      <c r="O6" s="34">
        <f>M6-H6</f>
        <v>0</v>
      </c>
      <c r="P6" s="35"/>
      <c r="Q6" s="34">
        <v>2126044175</v>
      </c>
      <c r="R6" s="34">
        <f>M6</f>
        <v>2126044175</v>
      </c>
      <c r="S6" s="34"/>
      <c r="T6" s="34"/>
      <c r="U6" s="34"/>
      <c r="V6" s="34"/>
      <c r="W6" s="34">
        <f>SUM(R6:V6)</f>
        <v>2126044175</v>
      </c>
      <c r="X6" s="34">
        <v>0</v>
      </c>
      <c r="Y6" s="34">
        <f>W6-R6</f>
        <v>0</v>
      </c>
      <c r="Z6" s="35"/>
      <c r="AA6" s="34">
        <v>2126044175</v>
      </c>
      <c r="AB6" s="34">
        <f>W6</f>
        <v>2126044175</v>
      </c>
      <c r="AC6" s="34"/>
      <c r="AD6" s="34"/>
      <c r="AE6" s="34"/>
      <c r="AF6" s="34"/>
      <c r="AG6" s="34">
        <f>SUM(AB6:AF6)</f>
        <v>2126044175</v>
      </c>
      <c r="AH6" s="34">
        <v>0</v>
      </c>
      <c r="AI6" s="34">
        <f>AG6-AB6</f>
        <v>0</v>
      </c>
      <c r="AJ6" s="35"/>
    </row>
    <row r="7" spans="4:36" ht="18" customHeight="1">
      <c r="D7" s="36" t="s">
        <v>15</v>
      </c>
      <c r="E7" s="34" t="s">
        <v>467</v>
      </c>
      <c r="F7" s="38" t="s">
        <v>473</v>
      </c>
      <c r="G7" s="34">
        <f>'1.0'!F7</f>
        <v>19842800</v>
      </c>
      <c r="H7" s="34">
        <v>19842800</v>
      </c>
      <c r="I7" s="34">
        <v>0</v>
      </c>
      <c r="J7" s="34">
        <v>0</v>
      </c>
      <c r="K7" s="34">
        <v>0</v>
      </c>
      <c r="L7" s="34">
        <v>0</v>
      </c>
      <c r="M7" s="34">
        <f>SUM(H7:L7)</f>
        <v>19842800</v>
      </c>
      <c r="N7" s="34">
        <v>0</v>
      </c>
      <c r="O7" s="34">
        <f>M7-H7</f>
        <v>0</v>
      </c>
      <c r="P7" s="35"/>
      <c r="Q7" s="34">
        <f>'1.0'!AB7</f>
        <v>0</v>
      </c>
      <c r="R7" s="34">
        <f>M7</f>
        <v>19842800</v>
      </c>
      <c r="S7" s="34"/>
      <c r="T7" s="34"/>
      <c r="U7" s="34"/>
      <c r="V7" s="34"/>
      <c r="W7" s="34">
        <f>SUM(R7:V7)</f>
        <v>19842800</v>
      </c>
      <c r="X7" s="34">
        <v>0</v>
      </c>
      <c r="Y7" s="34">
        <f>W7-R7</f>
        <v>0</v>
      </c>
      <c r="Z7" s="35"/>
      <c r="AA7" s="34">
        <f>'1.0'!AL7</f>
        <v>0</v>
      </c>
      <c r="AB7" s="34">
        <f>W7</f>
        <v>19842800</v>
      </c>
      <c r="AC7" s="34"/>
      <c r="AD7" s="34"/>
      <c r="AE7" s="34"/>
      <c r="AF7" s="34"/>
      <c r="AG7" s="34">
        <f>SUM(AB7:AF7)</f>
        <v>19842800</v>
      </c>
      <c r="AH7" s="34">
        <v>0</v>
      </c>
      <c r="AI7" s="34">
        <f>AG7-AB7</f>
        <v>0</v>
      </c>
      <c r="AJ7" s="35"/>
    </row>
    <row r="8" spans="4:36" ht="18" customHeight="1">
      <c r="D8" s="36" t="s">
        <v>15</v>
      </c>
      <c r="E8" s="34" t="s">
        <v>479</v>
      </c>
      <c r="F8" s="38" t="s">
        <v>473</v>
      </c>
      <c r="G8" s="34">
        <v>13175822804</v>
      </c>
      <c r="H8" s="34">
        <v>13175822804</v>
      </c>
      <c r="I8" s="34">
        <v>0</v>
      </c>
      <c r="J8" s="34">
        <v>-13175822804</v>
      </c>
      <c r="K8" s="34"/>
      <c r="L8" s="34"/>
      <c r="M8" s="34">
        <f>SUM(H8:L8)</f>
        <v>0</v>
      </c>
      <c r="N8" s="34">
        <v>0</v>
      </c>
      <c r="O8" s="34">
        <f>M8-H8</f>
        <v>-13175822804</v>
      </c>
      <c r="P8" s="78" t="s">
        <v>468</v>
      </c>
      <c r="Q8" s="34">
        <v>13175822804</v>
      </c>
      <c r="R8" s="34">
        <f>M8</f>
        <v>0</v>
      </c>
      <c r="S8" s="34"/>
      <c r="T8" s="34"/>
      <c r="U8" s="34"/>
      <c r="V8" s="34"/>
      <c r="W8" s="34">
        <f>SUM(R8:V8)</f>
        <v>0</v>
      </c>
      <c r="X8" s="34">
        <v>0</v>
      </c>
      <c r="Y8" s="34">
        <f>W8-R8</f>
        <v>0</v>
      </c>
      <c r="Z8" s="78"/>
      <c r="AA8" s="34">
        <v>13175822804</v>
      </c>
      <c r="AB8" s="34">
        <f>W8</f>
        <v>0</v>
      </c>
      <c r="AC8" s="34"/>
      <c r="AD8" s="34"/>
      <c r="AE8" s="34"/>
      <c r="AF8" s="34"/>
      <c r="AG8" s="34">
        <f>SUM(AB8:AF8)</f>
        <v>0</v>
      </c>
      <c r="AH8" s="34">
        <v>0</v>
      </c>
      <c r="AI8" s="34">
        <f>AG8-AB8</f>
        <v>0</v>
      </c>
      <c r="AJ8" s="78"/>
    </row>
    <row r="9" spans="4:36" ht="18" customHeight="1">
      <c r="D9" s="36" t="s">
        <v>15</v>
      </c>
      <c r="E9" s="34" t="s">
        <v>216</v>
      </c>
      <c r="F9" s="38" t="s">
        <v>473</v>
      </c>
      <c r="G9" s="34">
        <v>4096993217</v>
      </c>
      <c r="H9" s="34">
        <v>0</v>
      </c>
      <c r="I9" s="34">
        <v>4096993217</v>
      </c>
      <c r="J9" s="34"/>
      <c r="K9" s="34"/>
      <c r="L9" s="34"/>
      <c r="M9" s="34">
        <f>SUM(H9:L9)</f>
        <v>4096993217</v>
      </c>
      <c r="N9" s="34"/>
      <c r="O9" s="34">
        <f>M9-H9</f>
        <v>4096993217</v>
      </c>
      <c r="P9" s="78" t="s">
        <v>469</v>
      </c>
      <c r="Q9" s="34">
        <v>4096993217</v>
      </c>
      <c r="R9" s="34">
        <f>M9</f>
        <v>4096993217</v>
      </c>
      <c r="S9" s="34">
        <v>-4096993217</v>
      </c>
      <c r="T9" s="34"/>
      <c r="U9" s="34"/>
      <c r="V9" s="34"/>
      <c r="W9" s="34">
        <f>SUM(R9:V9)</f>
        <v>0</v>
      </c>
      <c r="X9" s="34"/>
      <c r="Y9" s="34">
        <f>W9-R9</f>
        <v>-4096993217</v>
      </c>
      <c r="Z9" s="78" t="s">
        <v>1533</v>
      </c>
      <c r="AA9" s="34">
        <v>4096993217</v>
      </c>
      <c r="AB9" s="34">
        <f>W9</f>
        <v>0</v>
      </c>
      <c r="AC9" s="34">
        <v>-4096993217</v>
      </c>
      <c r="AD9" s="34"/>
      <c r="AE9" s="34"/>
      <c r="AF9" s="34"/>
      <c r="AG9" s="34">
        <f>SUM(AB9:AF9)</f>
        <v>-4096993217</v>
      </c>
      <c r="AH9" s="34"/>
      <c r="AI9" s="34">
        <f>AG9-AB9</f>
        <v>-4096993217</v>
      </c>
      <c r="AJ9" s="78" t="s">
        <v>1533</v>
      </c>
    </row>
    <row r="10" spans="4:36" ht="18" customHeight="1" thickBot="1">
      <c r="D10" s="79" t="s">
        <v>15</v>
      </c>
      <c r="E10" s="80" t="s">
        <v>470</v>
      </c>
      <c r="F10" s="81" t="s">
        <v>473</v>
      </c>
      <c r="G10" s="80">
        <v>297103293</v>
      </c>
      <c r="H10" s="80">
        <v>297103293</v>
      </c>
      <c r="I10" s="80"/>
      <c r="J10" s="80">
        <v>-294995310</v>
      </c>
      <c r="K10" s="80"/>
      <c r="L10" s="80">
        <v>-2107983</v>
      </c>
      <c r="M10" s="80">
        <f>SUM(H10:L10)</f>
        <v>0</v>
      </c>
      <c r="N10" s="80"/>
      <c r="O10" s="80">
        <f>M10-H10</f>
        <v>-297103293</v>
      </c>
      <c r="P10" s="82"/>
      <c r="Q10" s="80">
        <v>297103293</v>
      </c>
      <c r="R10" s="34">
        <f>M10</f>
        <v>0</v>
      </c>
      <c r="S10" s="80"/>
      <c r="T10" s="80"/>
      <c r="U10" s="80"/>
      <c r="V10" s="80"/>
      <c r="W10" s="34">
        <f>SUM(R10:V10)</f>
        <v>0</v>
      </c>
      <c r="X10" s="80"/>
      <c r="Y10" s="80">
        <f>W10-R10</f>
        <v>0</v>
      </c>
      <c r="Z10" s="82"/>
      <c r="AA10" s="80">
        <v>297103293</v>
      </c>
      <c r="AB10" s="34">
        <f>W10</f>
        <v>0</v>
      </c>
      <c r="AC10" s="80"/>
      <c r="AD10" s="80"/>
      <c r="AE10" s="80"/>
      <c r="AF10" s="80"/>
      <c r="AG10" s="34">
        <f>SUM(AB10:AF10)</f>
        <v>0</v>
      </c>
      <c r="AH10" s="80"/>
      <c r="AI10" s="80">
        <f>AG10-AB10</f>
        <v>0</v>
      </c>
      <c r="AJ10" s="82"/>
    </row>
    <row r="11" spans="4:36" ht="18" customHeight="1" thickBot="1">
      <c r="D11" s="83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5"/>
      <c r="Q11" s="84"/>
      <c r="R11" s="84"/>
      <c r="S11" s="84"/>
      <c r="T11" s="84"/>
      <c r="U11" s="84"/>
      <c r="V11" s="84"/>
      <c r="W11" s="84"/>
      <c r="X11" s="84"/>
      <c r="Y11" s="84"/>
      <c r="Z11" s="85"/>
      <c r="AA11" s="84"/>
      <c r="AB11" s="84"/>
      <c r="AC11" s="84"/>
      <c r="AD11" s="84"/>
      <c r="AE11" s="84"/>
      <c r="AF11" s="84"/>
      <c r="AG11" s="84"/>
      <c r="AH11" s="84"/>
      <c r="AI11" s="84"/>
      <c r="AJ11" s="85"/>
    </row>
    <row r="13" spans="4:36" ht="18" customHeight="1" thickBot="1">
      <c r="D13" s="25" t="s">
        <v>475</v>
      </c>
    </row>
    <row r="14" spans="4:36" s="8" customFormat="1" ht="18" customHeight="1">
      <c r="D14" s="75" t="s">
        <v>458</v>
      </c>
      <c r="E14" s="76" t="s">
        <v>459</v>
      </c>
      <c r="F14" s="76" t="s">
        <v>471</v>
      </c>
      <c r="G14" s="76" t="s">
        <v>466</v>
      </c>
      <c r="H14" s="76" t="s">
        <v>460</v>
      </c>
      <c r="I14" s="76" t="s">
        <v>461</v>
      </c>
      <c r="J14" s="76" t="s">
        <v>462</v>
      </c>
      <c r="K14" s="76" t="s">
        <v>463</v>
      </c>
      <c r="L14" s="76" t="s">
        <v>464</v>
      </c>
      <c r="M14" s="76" t="s">
        <v>394</v>
      </c>
      <c r="N14" s="76"/>
      <c r="O14" s="76" t="s">
        <v>465</v>
      </c>
      <c r="P14" s="77" t="s">
        <v>477</v>
      </c>
      <c r="Q14" s="76" t="s">
        <v>466</v>
      </c>
      <c r="R14" s="76" t="s">
        <v>460</v>
      </c>
      <c r="S14" s="76" t="s">
        <v>461</v>
      </c>
      <c r="T14" s="76" t="s">
        <v>462</v>
      </c>
      <c r="U14" s="76" t="s">
        <v>463</v>
      </c>
      <c r="V14" s="76" t="s">
        <v>464</v>
      </c>
      <c r="W14" s="76" t="s">
        <v>395</v>
      </c>
      <c r="X14" s="76"/>
      <c r="Y14" s="76" t="s">
        <v>465</v>
      </c>
      <c r="Z14" s="77" t="s">
        <v>477</v>
      </c>
      <c r="AA14" s="76" t="s">
        <v>466</v>
      </c>
      <c r="AB14" s="76" t="s">
        <v>460</v>
      </c>
      <c r="AC14" s="76" t="s">
        <v>461</v>
      </c>
      <c r="AD14" s="76" t="s">
        <v>462</v>
      </c>
      <c r="AE14" s="76" t="s">
        <v>463</v>
      </c>
      <c r="AF14" s="76" t="s">
        <v>464</v>
      </c>
      <c r="AG14" s="76" t="s">
        <v>396</v>
      </c>
      <c r="AH14" s="76"/>
      <c r="AI14" s="76" t="s">
        <v>465</v>
      </c>
      <c r="AJ14" s="77" t="s">
        <v>477</v>
      </c>
    </row>
    <row r="15" spans="4:36" s="8" customFormat="1" ht="18" customHeight="1">
      <c r="D15" s="86" t="s">
        <v>472</v>
      </c>
      <c r="E15" s="87" t="s">
        <v>455</v>
      </c>
      <c r="F15" s="87"/>
      <c r="G15" s="87"/>
      <c r="H15" s="87"/>
      <c r="I15" s="87"/>
      <c r="J15" s="87"/>
      <c r="K15" s="87"/>
      <c r="L15" s="87" t="s">
        <v>534</v>
      </c>
      <c r="M15" s="88">
        <f>'5.1'!L17</f>
        <v>10.1318</v>
      </c>
      <c r="N15" s="88"/>
      <c r="O15" s="87"/>
      <c r="P15" s="89"/>
      <c r="Q15" s="87"/>
      <c r="R15" s="87"/>
      <c r="S15" s="87"/>
      <c r="T15" s="87"/>
      <c r="U15" s="87"/>
      <c r="V15" s="87" t="s">
        <v>534</v>
      </c>
      <c r="W15" s="88">
        <f>'5.1'!M17</f>
        <v>10.282400000000001</v>
      </c>
      <c r="X15" s="88"/>
      <c r="Y15" s="87"/>
      <c r="Z15" s="89"/>
      <c r="AA15" s="87"/>
      <c r="AB15" s="87"/>
      <c r="AC15" s="87"/>
      <c r="AD15" s="87"/>
      <c r="AE15" s="87"/>
      <c r="AF15" s="87" t="s">
        <v>534</v>
      </c>
      <c r="AG15" s="88">
        <f>'5.1'!W17</f>
        <v>10.5426</v>
      </c>
      <c r="AH15" s="88"/>
      <c r="AI15" s="87"/>
      <c r="AJ15" s="89"/>
    </row>
    <row r="16" spans="4:36" ht="18" customHeight="1">
      <c r="D16" s="36" t="s">
        <v>15</v>
      </c>
      <c r="E16" s="34" t="s">
        <v>428</v>
      </c>
      <c r="F16" s="38" t="s">
        <v>473</v>
      </c>
      <c r="G16" s="34">
        <v>21748156283</v>
      </c>
      <c r="H16" s="34">
        <v>21748156283</v>
      </c>
      <c r="I16" s="34"/>
      <c r="J16" s="34"/>
      <c r="K16" s="34"/>
      <c r="L16" s="34">
        <v>-207501911</v>
      </c>
      <c r="M16" s="34">
        <f>SUM(H16:L16)</f>
        <v>21540654372</v>
      </c>
      <c r="N16" s="34"/>
      <c r="O16" s="34">
        <f>M16-H16</f>
        <v>-207501911</v>
      </c>
      <c r="P16" s="78" t="s">
        <v>476</v>
      </c>
      <c r="Q16" s="34">
        <v>21748156283</v>
      </c>
      <c r="R16" s="34">
        <f>M16</f>
        <v>21540654372</v>
      </c>
      <c r="S16" s="34"/>
      <c r="T16" s="34"/>
      <c r="U16" s="34"/>
      <c r="V16" s="34">
        <v>320182253</v>
      </c>
      <c r="W16" s="34">
        <f>SUM(R16:V16)</f>
        <v>21860836625</v>
      </c>
      <c r="X16" s="34"/>
      <c r="Y16" s="34">
        <f>W16-R16</f>
        <v>320182253</v>
      </c>
      <c r="Z16" s="78"/>
      <c r="AA16" s="34">
        <f>Q16</f>
        <v>21748156283</v>
      </c>
      <c r="AB16" s="34">
        <f>M16</f>
        <v>21540654372</v>
      </c>
      <c r="AC16" s="34">
        <f t="shared" ref="AC16:AF20" si="0">S16</f>
        <v>0</v>
      </c>
      <c r="AD16" s="34">
        <f t="shared" si="0"/>
        <v>0</v>
      </c>
      <c r="AE16" s="34">
        <f t="shared" si="0"/>
        <v>0</v>
      </c>
      <c r="AF16" s="34">
        <v>0</v>
      </c>
      <c r="AG16" s="34">
        <f>SUM(AB16:AF16)</f>
        <v>21540654372</v>
      </c>
      <c r="AH16" s="34"/>
      <c r="AI16" s="34">
        <f>AG16-AB16</f>
        <v>0</v>
      </c>
      <c r="AJ16" s="78"/>
    </row>
    <row r="17" spans="4:36" ht="18" customHeight="1">
      <c r="D17" s="36" t="s">
        <v>15</v>
      </c>
      <c r="E17" s="34" t="s">
        <v>467</v>
      </c>
      <c r="F17" s="38" t="s">
        <v>473</v>
      </c>
      <c r="G17" s="34">
        <v>19842800</v>
      </c>
      <c r="H17" s="34">
        <v>19842800</v>
      </c>
      <c r="I17" s="34"/>
      <c r="J17" s="34"/>
      <c r="K17" s="34"/>
      <c r="L17" s="34"/>
      <c r="M17" s="34">
        <f>SUM(H17:L17)</f>
        <v>19842800</v>
      </c>
      <c r="N17" s="34"/>
      <c r="O17" s="34">
        <f>M17-H17</f>
        <v>0</v>
      </c>
      <c r="P17" s="78"/>
      <c r="Q17" s="34">
        <v>19842800</v>
      </c>
      <c r="R17" s="34">
        <f>M17</f>
        <v>19842800</v>
      </c>
      <c r="S17" s="34"/>
      <c r="T17" s="34"/>
      <c r="U17" s="34"/>
      <c r="V17" s="34"/>
      <c r="W17" s="34">
        <f>SUM(R17:V17)</f>
        <v>19842800</v>
      </c>
      <c r="X17" s="34"/>
      <c r="Y17" s="34">
        <f>W17-R17</f>
        <v>0</v>
      </c>
      <c r="Z17" s="78"/>
      <c r="AA17" s="34">
        <f t="shared" ref="AA17:AB20" si="1">Q17</f>
        <v>19842800</v>
      </c>
      <c r="AB17" s="34">
        <f t="shared" si="1"/>
        <v>19842800</v>
      </c>
      <c r="AC17" s="34">
        <f t="shared" si="0"/>
        <v>0</v>
      </c>
      <c r="AD17" s="34">
        <f t="shared" si="0"/>
        <v>0</v>
      </c>
      <c r="AE17" s="34">
        <f t="shared" si="0"/>
        <v>0</v>
      </c>
      <c r="AF17" s="34">
        <f t="shared" si="0"/>
        <v>0</v>
      </c>
      <c r="AG17" s="34">
        <f>SUM(AB17:AF17)</f>
        <v>19842800</v>
      </c>
      <c r="AH17" s="34"/>
      <c r="AI17" s="34">
        <f>AG17-AB17</f>
        <v>0</v>
      </c>
      <c r="AJ17" s="78"/>
    </row>
    <row r="18" spans="4:36" ht="18" customHeight="1">
      <c r="D18" s="36" t="s">
        <v>15</v>
      </c>
      <c r="E18" s="34" t="s">
        <v>479</v>
      </c>
      <c r="F18" s="38" t="s">
        <v>473</v>
      </c>
      <c r="G18" s="34">
        <v>13175822804</v>
      </c>
      <c r="H18" s="34">
        <f>G18</f>
        <v>13175822804</v>
      </c>
      <c r="I18" s="34"/>
      <c r="J18" s="34">
        <v>-13175822804</v>
      </c>
      <c r="K18" s="34"/>
      <c r="L18" s="34"/>
      <c r="M18" s="34">
        <f>SUM(H18:L18)</f>
        <v>0</v>
      </c>
      <c r="N18" s="34"/>
      <c r="O18" s="34">
        <f>M18-H18</f>
        <v>-13175822804</v>
      </c>
      <c r="P18" s="78" t="s">
        <v>468</v>
      </c>
      <c r="Q18" s="34">
        <v>13175822804</v>
      </c>
      <c r="R18" s="34">
        <f>M18</f>
        <v>0</v>
      </c>
      <c r="S18" s="34"/>
      <c r="T18" s="34"/>
      <c r="U18" s="34"/>
      <c r="V18" s="34"/>
      <c r="W18" s="34">
        <f>SUM(R18:V18)</f>
        <v>0</v>
      </c>
      <c r="X18" s="34"/>
      <c r="Y18" s="34">
        <f>W18-R18</f>
        <v>0</v>
      </c>
      <c r="Z18" s="78"/>
      <c r="AA18" s="34">
        <f t="shared" si="1"/>
        <v>13175822804</v>
      </c>
      <c r="AB18" s="34">
        <f t="shared" si="1"/>
        <v>0</v>
      </c>
      <c r="AC18" s="34">
        <f t="shared" si="0"/>
        <v>0</v>
      </c>
      <c r="AD18" s="34">
        <f t="shared" si="0"/>
        <v>0</v>
      </c>
      <c r="AE18" s="34">
        <f t="shared" si="0"/>
        <v>0</v>
      </c>
      <c r="AF18" s="34">
        <f t="shared" si="0"/>
        <v>0</v>
      </c>
      <c r="AG18" s="34">
        <f>SUM(AB18:AF18)</f>
        <v>0</v>
      </c>
      <c r="AH18" s="34"/>
      <c r="AI18" s="34">
        <f>AG18-AB18</f>
        <v>0</v>
      </c>
      <c r="AJ18" s="78"/>
    </row>
    <row r="19" spans="4:36" ht="18" customHeight="1">
      <c r="D19" s="36" t="s">
        <v>15</v>
      </c>
      <c r="E19" s="34" t="s">
        <v>216</v>
      </c>
      <c r="F19" s="38" t="s">
        <v>473</v>
      </c>
      <c r="G19" s="34">
        <v>4096993217</v>
      </c>
      <c r="H19" s="34">
        <v>0</v>
      </c>
      <c r="I19" s="34">
        <v>4096993217</v>
      </c>
      <c r="J19" s="34">
        <v>0</v>
      </c>
      <c r="K19" s="34"/>
      <c r="L19" s="34"/>
      <c r="M19" s="34">
        <f>SUM(H19:L19)</f>
        <v>4096993217</v>
      </c>
      <c r="N19" s="34"/>
      <c r="O19" s="34">
        <f>M19-H19</f>
        <v>4096993217</v>
      </c>
      <c r="P19" s="78" t="s">
        <v>469</v>
      </c>
      <c r="Q19" s="34">
        <v>4096993217</v>
      </c>
      <c r="R19" s="34">
        <f>M19</f>
        <v>4096993217</v>
      </c>
      <c r="S19" s="34">
        <f>-R19</f>
        <v>-4096993217</v>
      </c>
      <c r="T19" s="34"/>
      <c r="U19" s="34"/>
      <c r="V19" s="34"/>
      <c r="W19" s="34">
        <f>SUM(R19:V19)</f>
        <v>0</v>
      </c>
      <c r="X19" s="34"/>
      <c r="Y19" s="34">
        <f>W19-R19</f>
        <v>-4096993217</v>
      </c>
      <c r="Z19" s="78" t="s">
        <v>1533</v>
      </c>
      <c r="AA19" s="34">
        <f t="shared" si="1"/>
        <v>4096993217</v>
      </c>
      <c r="AB19" s="34">
        <f t="shared" si="1"/>
        <v>4096993217</v>
      </c>
      <c r="AC19" s="34">
        <f t="shared" si="0"/>
        <v>-4096993217</v>
      </c>
      <c r="AD19" s="34">
        <f t="shared" si="0"/>
        <v>0</v>
      </c>
      <c r="AE19" s="34">
        <f t="shared" si="0"/>
        <v>0</v>
      </c>
      <c r="AF19" s="34">
        <f t="shared" si="0"/>
        <v>0</v>
      </c>
      <c r="AG19" s="34">
        <f>SUM(AB19:AF19)</f>
        <v>0</v>
      </c>
      <c r="AH19" s="34"/>
      <c r="AI19" s="34">
        <f>AG19-AB19</f>
        <v>-4096993217</v>
      </c>
      <c r="AJ19" s="78" t="s">
        <v>1533</v>
      </c>
    </row>
    <row r="20" spans="4:36" ht="18" customHeight="1">
      <c r="D20" s="36" t="s">
        <v>15</v>
      </c>
      <c r="E20" s="34" t="s">
        <v>470</v>
      </c>
      <c r="F20" s="38" t="s">
        <v>473</v>
      </c>
      <c r="G20" s="34">
        <v>297103293</v>
      </c>
      <c r="H20" s="34">
        <v>297103293</v>
      </c>
      <c r="I20" s="34"/>
      <c r="J20" s="34">
        <v>-294995310</v>
      </c>
      <c r="K20" s="34"/>
      <c r="L20" s="34">
        <v>-2107983</v>
      </c>
      <c r="M20" s="34">
        <f>SUM(H20:L20)</f>
        <v>0</v>
      </c>
      <c r="N20" s="34"/>
      <c r="O20" s="34">
        <f>M20-H20</f>
        <v>-297103293</v>
      </c>
      <c r="P20" s="78" t="s">
        <v>480</v>
      </c>
      <c r="Q20" s="34">
        <v>297103293</v>
      </c>
      <c r="R20" s="34">
        <f>M20</f>
        <v>0</v>
      </c>
      <c r="S20" s="34"/>
      <c r="T20" s="34"/>
      <c r="U20" s="34"/>
      <c r="V20" s="34"/>
      <c r="W20" s="34">
        <f>SUM(R20:V20)</f>
        <v>0</v>
      </c>
      <c r="X20" s="34"/>
      <c r="Y20" s="34">
        <f>W20-R20</f>
        <v>0</v>
      </c>
      <c r="Z20" s="78"/>
      <c r="AA20" s="34">
        <f t="shared" si="1"/>
        <v>297103293</v>
      </c>
      <c r="AB20" s="34">
        <f t="shared" si="1"/>
        <v>0</v>
      </c>
      <c r="AC20" s="34">
        <f t="shared" si="0"/>
        <v>0</v>
      </c>
      <c r="AD20" s="34">
        <f t="shared" si="0"/>
        <v>0</v>
      </c>
      <c r="AE20" s="34">
        <f t="shared" si="0"/>
        <v>0</v>
      </c>
      <c r="AF20" s="34">
        <f t="shared" si="0"/>
        <v>0</v>
      </c>
      <c r="AG20" s="34">
        <f>SUM(AB20:AF20)</f>
        <v>0</v>
      </c>
      <c r="AH20" s="34"/>
      <c r="AI20" s="34">
        <f>AG20-AB20</f>
        <v>0</v>
      </c>
      <c r="AJ20" s="78"/>
    </row>
    <row r="21" spans="4:36" s="4" customFormat="1" ht="18" customHeight="1" thickBot="1">
      <c r="D21" s="90" t="s">
        <v>427</v>
      </c>
      <c r="E21" s="91"/>
      <c r="F21" s="92"/>
      <c r="G21" s="91">
        <f>SUM(G16:G20)</f>
        <v>39337918397</v>
      </c>
      <c r="H21" s="91">
        <f t="shared" ref="H21:M21" si="2">SUM(H16:H20)</f>
        <v>35240925180</v>
      </c>
      <c r="I21" s="91">
        <f t="shared" si="2"/>
        <v>4096993217</v>
      </c>
      <c r="J21" s="91">
        <f t="shared" si="2"/>
        <v>-13470818114</v>
      </c>
      <c r="K21" s="91">
        <f t="shared" si="2"/>
        <v>0</v>
      </c>
      <c r="L21" s="91">
        <f t="shared" si="2"/>
        <v>-209609894</v>
      </c>
      <c r="M21" s="91">
        <f t="shared" si="2"/>
        <v>25657490389</v>
      </c>
      <c r="N21" s="91"/>
      <c r="O21" s="91"/>
      <c r="P21" s="93"/>
      <c r="Q21" s="91">
        <f>SUM(Q16:Q20)</f>
        <v>39337918397</v>
      </c>
      <c r="R21" s="91">
        <f t="shared" ref="R21:W21" si="3">SUM(R16:R20)</f>
        <v>25657490389</v>
      </c>
      <c r="S21" s="91">
        <f t="shared" si="3"/>
        <v>-4096993217</v>
      </c>
      <c r="T21" s="91">
        <f t="shared" si="3"/>
        <v>0</v>
      </c>
      <c r="U21" s="91">
        <f t="shared" si="3"/>
        <v>0</v>
      </c>
      <c r="V21" s="91">
        <f t="shared" si="3"/>
        <v>320182253</v>
      </c>
      <c r="W21" s="91">
        <f t="shared" si="3"/>
        <v>21880679425</v>
      </c>
      <c r="X21" s="91"/>
      <c r="Y21" s="91"/>
      <c r="Z21" s="93"/>
      <c r="AA21" s="91">
        <f>SUM(AA16:AA20)</f>
        <v>39337918397</v>
      </c>
      <c r="AB21" s="91">
        <f t="shared" ref="AB21:AG21" si="4">SUM(AB16:AB20)</f>
        <v>25657490389</v>
      </c>
      <c r="AC21" s="91">
        <f t="shared" si="4"/>
        <v>-4096993217</v>
      </c>
      <c r="AD21" s="91">
        <f t="shared" si="4"/>
        <v>0</v>
      </c>
      <c r="AE21" s="91">
        <f t="shared" si="4"/>
        <v>0</v>
      </c>
      <c r="AF21" s="91">
        <f t="shared" si="4"/>
        <v>0</v>
      </c>
      <c r="AG21" s="91">
        <f t="shared" si="4"/>
        <v>21560497172</v>
      </c>
      <c r="AH21" s="91"/>
      <c r="AI21" s="91"/>
      <c r="AJ21" s="93"/>
    </row>
    <row r="22" spans="4:36" s="4" customFormat="1" ht="18" customHeight="1">
      <c r="M22" s="94">
        <f>M16/M6</f>
        <v>10.131799999875355</v>
      </c>
      <c r="W22" s="94">
        <f>W16/W6</f>
        <v>10.282399999990593</v>
      </c>
      <c r="AG22" s="94"/>
    </row>
    <row r="23" spans="4:36" ht="18" customHeight="1">
      <c r="W23" s="5">
        <f>W22-'5.1'!M17</f>
        <v>-9.4075858214637265E-12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0">
    <tabColor rgb="FF002060"/>
  </sheetPr>
  <dimension ref="D4:F18"/>
  <sheetViews>
    <sheetView showGridLines="0" zoomScale="85" zoomScaleNormal="85" workbookViewId="0">
      <selection activeCell="E16" sqref="E16"/>
    </sheetView>
  </sheetViews>
  <sheetFormatPr defaultColWidth="9.125" defaultRowHeight="17.100000000000001" customHeight="1"/>
  <cols>
    <col min="1" max="3" width="2.75" style="5" customWidth="1"/>
    <col min="4" max="17" width="20.75" style="5" customWidth="1"/>
    <col min="18" max="16384" width="9.125" style="5"/>
  </cols>
  <sheetData>
    <row r="4" spans="4:6" ht="17.100000000000001" customHeight="1">
      <c r="D4" s="4" t="s">
        <v>1762</v>
      </c>
    </row>
    <row r="5" spans="4:6" s="4" customFormat="1" ht="17.100000000000001" customHeight="1" thickBot="1">
      <c r="D5" s="247"/>
      <c r="E5" s="248" t="s">
        <v>453</v>
      </c>
    </row>
    <row r="6" spans="4:6" ht="17.100000000000001" customHeight="1">
      <c r="D6" s="5" t="s">
        <v>1699</v>
      </c>
      <c r="E6" s="5">
        <v>479716747</v>
      </c>
      <c r="F6" s="5" t="s">
        <v>1774</v>
      </c>
    </row>
    <row r="7" spans="4:6" ht="17.100000000000001" customHeight="1">
      <c r="D7" s="5" t="s">
        <v>1740</v>
      </c>
      <c r="E7" s="5">
        <v>-443862200</v>
      </c>
      <c r="F7" s="5" t="s">
        <v>1773</v>
      </c>
    </row>
    <row r="8" spans="4:6" ht="17.100000000000001" customHeight="1">
      <c r="D8" s="5" t="s">
        <v>1741</v>
      </c>
      <c r="E8" s="5">
        <v>0</v>
      </c>
    </row>
    <row r="9" spans="4:6" ht="17.100000000000001" customHeight="1">
      <c r="D9" s="5" t="s">
        <v>218</v>
      </c>
      <c r="E9" s="5">
        <v>5807400</v>
      </c>
      <c r="F9" s="5" t="s">
        <v>1775</v>
      </c>
    </row>
    <row r="10" spans="4:6" ht="17.100000000000001" customHeight="1">
      <c r="D10" s="5" t="s">
        <v>129</v>
      </c>
      <c r="E10" s="5">
        <f>'5.2'!AO7</f>
        <v>2126044175</v>
      </c>
    </row>
    <row r="11" spans="4:6" ht="17.100000000000001" customHeight="1">
      <c r="D11" s="5" t="s">
        <v>1742</v>
      </c>
      <c r="E11" s="5">
        <f>'5.1'!P10</f>
        <v>500422500</v>
      </c>
    </row>
    <row r="12" spans="4:6" ht="17.100000000000001" customHeight="1">
      <c r="D12" s="5" t="s">
        <v>664</v>
      </c>
      <c r="E12" s="5">
        <f>-'5.1'!P13</f>
        <v>-174197075</v>
      </c>
    </row>
    <row r="13" spans="4:6" s="4" customFormat="1" ht="17.100000000000001" customHeight="1" thickBot="1">
      <c r="D13" s="225" t="s">
        <v>1743</v>
      </c>
      <c r="E13" s="225">
        <f>SUM(E6:E12)</f>
        <v>2493931547</v>
      </c>
    </row>
    <row r="14" spans="4:6" s="4" customFormat="1" ht="17.100000000000001" customHeight="1" thickTop="1">
      <c r="D14" s="168"/>
      <c r="E14" s="168"/>
    </row>
    <row r="15" spans="4:6" s="4" customFormat="1" ht="17.100000000000001" customHeight="1">
      <c r="D15" s="168" t="s">
        <v>1761</v>
      </c>
      <c r="E15" s="168">
        <v>557470033.75167131</v>
      </c>
      <c r="F15" s="4" t="s">
        <v>1776</v>
      </c>
    </row>
    <row r="16" spans="4:6" s="4" customFormat="1" ht="17.100000000000001" customHeight="1" thickBot="1">
      <c r="D16" s="247" t="s">
        <v>610</v>
      </c>
      <c r="E16" s="247">
        <f>E15-E13</f>
        <v>-1936461513.2483287</v>
      </c>
      <c r="F16" s="4" t="s">
        <v>1753</v>
      </c>
    </row>
    <row r="18" spans="5:5" ht="17.100000000000001" customHeight="1">
      <c r="E18" s="5">
        <f>+'5.2'!AQ19</f>
        <v>0</v>
      </c>
    </row>
  </sheetData>
  <phoneticPr fontId="22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3">
    <tabColor rgb="FF002060"/>
  </sheetPr>
  <dimension ref="D3:G16"/>
  <sheetViews>
    <sheetView showGridLines="0" zoomScale="85" zoomScaleNormal="85" workbookViewId="0">
      <selection activeCell="O51" sqref="O51"/>
    </sheetView>
  </sheetViews>
  <sheetFormatPr defaultColWidth="8.75" defaultRowHeight="18" customHeight="1"/>
  <cols>
    <col min="1" max="3" width="2.375" style="3" customWidth="1"/>
    <col min="4" max="22" width="20.375" style="3" customWidth="1"/>
    <col min="23" max="16384" width="8.75" style="3"/>
  </cols>
  <sheetData>
    <row r="3" spans="4:7" s="2" customFormat="1" ht="18" customHeight="1">
      <c r="D3" s="2" t="s">
        <v>552</v>
      </c>
    </row>
    <row r="4" spans="4:7" s="2" customFormat="1" ht="18" customHeight="1" thickBot="1">
      <c r="D4" s="2" t="s">
        <v>539</v>
      </c>
    </row>
    <row r="5" spans="4:7" ht="18" customHeight="1">
      <c r="D5" s="226" t="s">
        <v>540</v>
      </c>
      <c r="E5" s="227" t="s">
        <v>414</v>
      </c>
      <c r="F5" s="227" t="s">
        <v>541</v>
      </c>
      <c r="G5" s="228">
        <v>43100</v>
      </c>
    </row>
    <row r="6" spans="4:7" s="233" customFormat="1" ht="18" customHeight="1">
      <c r="D6" s="229"/>
      <c r="E6" s="230" t="s">
        <v>542</v>
      </c>
      <c r="F6" s="231" t="s">
        <v>543</v>
      </c>
      <c r="G6" s="232"/>
    </row>
    <row r="7" spans="4:7" s="233" customFormat="1" ht="18" customHeight="1">
      <c r="D7" s="229"/>
      <c r="E7" s="230" t="s">
        <v>542</v>
      </c>
      <c r="F7" s="231" t="s">
        <v>544</v>
      </c>
      <c r="G7" s="232"/>
    </row>
    <row r="8" spans="4:7" s="233" customFormat="1" ht="18" customHeight="1">
      <c r="D8" s="229"/>
      <c r="E8" s="230" t="s">
        <v>542</v>
      </c>
      <c r="F8" s="231" t="s">
        <v>9</v>
      </c>
      <c r="G8" s="232"/>
    </row>
    <row r="9" spans="4:7" s="233" customFormat="1" ht="18" customHeight="1">
      <c r="D9" s="229"/>
      <c r="E9" s="230" t="s">
        <v>542</v>
      </c>
      <c r="F9" s="231" t="s">
        <v>545</v>
      </c>
      <c r="G9" s="232"/>
    </row>
    <row r="10" spans="4:7" s="233" customFormat="1" ht="18" customHeight="1">
      <c r="D10" s="229"/>
      <c r="E10" s="230" t="s">
        <v>542</v>
      </c>
      <c r="F10" s="231" t="s">
        <v>546</v>
      </c>
      <c r="G10" s="232"/>
    </row>
    <row r="11" spans="4:7" s="233" customFormat="1" ht="18" customHeight="1">
      <c r="D11" s="229"/>
      <c r="E11" s="230" t="s">
        <v>547</v>
      </c>
      <c r="F11" s="231" t="s">
        <v>228</v>
      </c>
      <c r="G11" s="232"/>
    </row>
    <row r="12" spans="4:7" s="233" customFormat="1" ht="18" customHeight="1">
      <c r="D12" s="229"/>
      <c r="E12" s="230" t="s">
        <v>547</v>
      </c>
      <c r="F12" s="231" t="s">
        <v>548</v>
      </c>
      <c r="G12" s="232"/>
    </row>
    <row r="13" spans="4:7" s="233" customFormat="1" ht="18" customHeight="1">
      <c r="D13" s="229"/>
      <c r="E13" s="230" t="s">
        <v>547</v>
      </c>
      <c r="F13" s="231" t="s">
        <v>382</v>
      </c>
      <c r="G13" s="232"/>
    </row>
    <row r="14" spans="4:7" s="233" customFormat="1" ht="18" customHeight="1">
      <c r="D14" s="229"/>
      <c r="E14" s="230" t="s">
        <v>547</v>
      </c>
      <c r="F14" s="231" t="s">
        <v>549</v>
      </c>
      <c r="G14" s="232"/>
    </row>
    <row r="15" spans="4:7" s="233" customFormat="1" ht="18" customHeight="1">
      <c r="D15" s="229"/>
      <c r="E15" s="230" t="s">
        <v>547</v>
      </c>
      <c r="F15" s="231" t="s">
        <v>550</v>
      </c>
      <c r="G15" s="232"/>
    </row>
    <row r="16" spans="4:7" s="233" customFormat="1" ht="18" customHeight="1" thickBot="1">
      <c r="D16" s="234"/>
      <c r="E16" s="235" t="s">
        <v>537</v>
      </c>
      <c r="F16" s="236" t="s">
        <v>551</v>
      </c>
      <c r="G16" s="237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1">
    <tabColor rgb="FFFFFF00"/>
  </sheetPr>
  <dimension ref="D4:AM51"/>
  <sheetViews>
    <sheetView showGridLines="0" zoomScale="80" zoomScaleNormal="80" workbookViewId="0">
      <pane xSplit="5" ySplit="5" topLeftCell="O24" activePane="bottomRight" state="frozen"/>
      <selection activeCell="V34" sqref="V34"/>
      <selection pane="topRight" activeCell="V34" sqref="V34"/>
      <selection pane="bottomLeft" activeCell="V34" sqref="V34"/>
      <selection pane="bottomRight" activeCell="V49" sqref="V49"/>
    </sheetView>
  </sheetViews>
  <sheetFormatPr defaultColWidth="8.75" defaultRowHeight="18" customHeight="1" outlineLevelCol="1"/>
  <cols>
    <col min="1" max="3" width="2.375" style="498" customWidth="1"/>
    <col min="4" max="4" width="15.125" style="498" customWidth="1"/>
    <col min="5" max="5" width="25.375" style="498" customWidth="1"/>
    <col min="6" max="10" width="17.125" style="498" hidden="1" customWidth="1" outlineLevel="1"/>
    <col min="11" max="14" width="17.625" style="498" hidden="1" customWidth="1" outlineLevel="1"/>
    <col min="15" max="15" width="17.625" style="498" customWidth="1" collapsed="1"/>
    <col min="16" max="22" width="17.625" style="498" customWidth="1"/>
    <col min="23" max="23" width="30.625" style="566" customWidth="1"/>
    <col min="24" max="24" width="2.625" style="498" customWidth="1"/>
    <col min="25" max="25" width="10.125" style="498" customWidth="1"/>
    <col min="26" max="26" width="17.625" style="498" customWidth="1"/>
    <col min="27" max="28" width="20.375" style="498" customWidth="1"/>
    <col min="29" max="29" width="46.25" style="498" bestFit="1" customWidth="1"/>
    <col min="30" max="31" width="8.75" style="498"/>
    <col min="32" max="33" width="8.75" style="498" customWidth="1"/>
    <col min="34" max="34" width="11.25" style="498" customWidth="1"/>
    <col min="35" max="37" width="8.75" style="498" customWidth="1"/>
    <col min="38" max="38" width="11.25" style="498" customWidth="1"/>
    <col min="39" max="39" width="8.75" style="498" customWidth="1"/>
    <col min="40" max="16384" width="8.75" style="498"/>
  </cols>
  <sheetData>
    <row r="4" spans="4:39" s="540" customFormat="1" ht="18" customHeight="1" thickBot="1">
      <c r="F4" s="540" t="b">
        <v>1</v>
      </c>
      <c r="G4" s="540" t="b">
        <v>1</v>
      </c>
      <c r="H4" s="540" t="b">
        <v>1</v>
      </c>
      <c r="I4" s="540" t="b">
        <v>1</v>
      </c>
      <c r="J4" s="540" t="b">
        <f>SUM(J6:J38)=0</f>
        <v>1</v>
      </c>
      <c r="K4" s="540" t="b">
        <f>SUM(K6:K38)=0</f>
        <v>1</v>
      </c>
      <c r="L4" s="540" t="b">
        <f>SUM(L6:L38)=0</f>
        <v>1</v>
      </c>
      <c r="M4" s="540" t="b">
        <f>SUM(M6:M38)=0</f>
        <v>1</v>
      </c>
      <c r="N4" s="540" t="b">
        <f>SUM(N6:N38)=0</f>
        <v>1</v>
      </c>
      <c r="O4" s="540" t="b">
        <f>SUM(O6:O39)=0</f>
        <v>1</v>
      </c>
      <c r="P4" s="540" t="b">
        <f>SUM(P6:P39)=0</f>
        <v>1</v>
      </c>
      <c r="Q4" s="540" t="b">
        <f>SUM(Q6:Q39)=0</f>
        <v>1</v>
      </c>
      <c r="R4" s="540" t="b">
        <f>SUM(R6:R39)=0</f>
        <v>1</v>
      </c>
      <c r="S4" s="540" t="b">
        <f t="shared" ref="S4:U4" si="0">SUM(S6:S39)=0</f>
        <v>1</v>
      </c>
      <c r="T4" s="540" t="b">
        <f t="shared" si="0"/>
        <v>1</v>
      </c>
      <c r="U4" s="540" t="b">
        <f t="shared" si="0"/>
        <v>1</v>
      </c>
      <c r="V4" s="540" t="b">
        <f>SUM(V6:V39)=0</f>
        <v>1</v>
      </c>
      <c r="W4" s="632"/>
    </row>
    <row r="5" spans="4:39" ht="18" customHeight="1">
      <c r="D5" s="489" t="s">
        <v>16</v>
      </c>
      <c r="E5" s="490" t="s">
        <v>19</v>
      </c>
      <c r="F5" s="490" t="s">
        <v>2334</v>
      </c>
      <c r="G5" s="490" t="s">
        <v>2335</v>
      </c>
      <c r="H5" s="490" t="s">
        <v>2336</v>
      </c>
      <c r="I5" s="490" t="s">
        <v>2337</v>
      </c>
      <c r="J5" s="491" t="s">
        <v>2338</v>
      </c>
      <c r="K5" s="489" t="s">
        <v>2474</v>
      </c>
      <c r="L5" s="490" t="s">
        <v>2475</v>
      </c>
      <c r="M5" s="490" t="s">
        <v>2306</v>
      </c>
      <c r="N5" s="491" t="s">
        <v>2476</v>
      </c>
      <c r="O5" s="492" t="s">
        <v>2477</v>
      </c>
      <c r="P5" s="490" t="s">
        <v>2472</v>
      </c>
      <c r="Q5" s="490" t="s">
        <v>2473</v>
      </c>
      <c r="R5" s="493" t="s">
        <v>2478</v>
      </c>
      <c r="S5" s="489" t="s">
        <v>2574</v>
      </c>
      <c r="T5" s="1888" t="s">
        <v>2812</v>
      </c>
      <c r="U5" s="490" t="s">
        <v>2886</v>
      </c>
      <c r="V5" s="1918" t="str">
        <f>'5.0'!V5</f>
        <v>FY2022.Q4</v>
      </c>
      <c r="Y5" s="595" t="s">
        <v>1787</v>
      </c>
      <c r="Z5" s="596" t="s">
        <v>1786</v>
      </c>
      <c r="AA5" s="596" t="s">
        <v>1788</v>
      </c>
      <c r="AB5" s="633" t="s">
        <v>1789</v>
      </c>
    </row>
    <row r="6" spans="4:39" s="543" customFormat="1" ht="18" customHeight="1">
      <c r="D6" s="634" t="s">
        <v>555</v>
      </c>
      <c r="E6" s="635"/>
      <c r="F6" s="635"/>
      <c r="G6" s="635"/>
      <c r="H6" s="635"/>
      <c r="I6" s="635"/>
      <c r="J6" s="636"/>
      <c r="K6" s="637"/>
      <c r="L6" s="635"/>
      <c r="M6" s="635"/>
      <c r="N6" s="636"/>
      <c r="O6" s="638"/>
      <c r="P6" s="635"/>
      <c r="Q6" s="635"/>
      <c r="R6" s="639"/>
      <c r="S6" s="637"/>
      <c r="T6" s="1889"/>
      <c r="U6" s="635"/>
      <c r="V6" s="636"/>
      <c r="W6" s="640"/>
      <c r="Y6" s="641" t="str">
        <f>+D6</f>
        <v>ENT,  INC., groovers jp 매출재분류 (연결관점에서는 Inc.의 매출이 제품매출)</v>
      </c>
      <c r="Z6" s="642"/>
      <c r="AA6" s="642"/>
      <c r="AB6" s="643"/>
    </row>
    <row r="7" spans="4:39" s="543" customFormat="1" ht="18" customHeight="1">
      <c r="D7" s="644">
        <v>410100</v>
      </c>
      <c r="E7" s="645" t="s">
        <v>229</v>
      </c>
      <c r="F7" s="646">
        <v>0</v>
      </c>
      <c r="G7" s="646"/>
      <c r="H7" s="646"/>
      <c r="I7" s="646">
        <v>2078319232</v>
      </c>
      <c r="J7" s="647">
        <f>SUM(T_IS!H7:H10)</f>
        <v>45713091338</v>
      </c>
      <c r="K7" s="648">
        <v>0</v>
      </c>
      <c r="L7" s="646"/>
      <c r="M7" s="646">
        <v>396878458</v>
      </c>
      <c r="N7" s="647">
        <v>404060038</v>
      </c>
      <c r="O7" s="649">
        <v>1545014</v>
      </c>
      <c r="P7" s="646">
        <v>2818760</v>
      </c>
      <c r="Q7" s="646">
        <v>3527446</v>
      </c>
      <c r="R7" s="650">
        <v>3664967</v>
      </c>
      <c r="S7" s="648">
        <v>3644873</v>
      </c>
      <c r="T7" s="1917">
        <v>3565411</v>
      </c>
      <c r="U7" s="646">
        <v>3487498</v>
      </c>
      <c r="V7" s="671">
        <f>-V8</f>
        <v>0</v>
      </c>
      <c r="W7" s="577"/>
      <c r="Y7" s="651">
        <f>+D7</f>
        <v>410100</v>
      </c>
      <c r="Z7" s="652" t="str">
        <f>+E7</f>
        <v>상품매출</v>
      </c>
      <c r="AA7" s="653">
        <f>IF(V7&gt;0,V7,0)</f>
        <v>0</v>
      </c>
      <c r="AB7" s="654">
        <f>IF(V7&lt;0,-V7,0)</f>
        <v>0</v>
      </c>
    </row>
    <row r="8" spans="4:39" s="543" customFormat="1" ht="18" customHeight="1">
      <c r="D8" s="644">
        <v>410200</v>
      </c>
      <c r="E8" s="645" t="s">
        <v>230</v>
      </c>
      <c r="F8" s="646">
        <v>0</v>
      </c>
      <c r="G8" s="646"/>
      <c r="H8" s="646"/>
      <c r="I8" s="646">
        <v>-2078319232</v>
      </c>
      <c r="J8" s="647">
        <f>-J7</f>
        <v>-45713091338</v>
      </c>
      <c r="K8" s="648">
        <v>0</v>
      </c>
      <c r="L8" s="646"/>
      <c r="M8" s="646">
        <v>-396878458</v>
      </c>
      <c r="N8" s="647">
        <v>-404060038</v>
      </c>
      <c r="O8" s="649">
        <v>-1545014</v>
      </c>
      <c r="P8" s="646">
        <v>-2818760</v>
      </c>
      <c r="Q8" s="646">
        <v>-3527446</v>
      </c>
      <c r="R8" s="650">
        <v>-3664967</v>
      </c>
      <c r="S8" s="648">
        <v>-3644873</v>
      </c>
      <c r="T8" s="1917">
        <v>-3565411</v>
      </c>
      <c r="U8" s="646">
        <v>-3487498</v>
      </c>
      <c r="V8" s="671">
        <f>-'4.0'!AM10</f>
        <v>0</v>
      </c>
      <c r="W8" s="577"/>
      <c r="Y8" s="651">
        <f>+D8</f>
        <v>410200</v>
      </c>
      <c r="Z8" s="652" t="str">
        <f>+E8</f>
        <v>제품매출</v>
      </c>
      <c r="AA8" s="653">
        <f>IF(V8&gt;0,V8,0)</f>
        <v>0</v>
      </c>
      <c r="AB8" s="654">
        <f>IF(V8&lt;0,-V8,0)</f>
        <v>0</v>
      </c>
      <c r="AC8" s="566" t="s">
        <v>1999</v>
      </c>
    </row>
    <row r="9" spans="4:39" s="543" customFormat="1" ht="18" customHeight="1">
      <c r="D9" s="644" t="s">
        <v>239</v>
      </c>
      <c r="E9" s="645" t="s">
        <v>240</v>
      </c>
      <c r="F9" s="646">
        <v>-3045560336</v>
      </c>
      <c r="G9" s="646">
        <v>-1368838901</v>
      </c>
      <c r="H9" s="646">
        <v>-5081605792</v>
      </c>
      <c r="I9" s="646">
        <v>-1389098959</v>
      </c>
      <c r="J9" s="647">
        <f>-SUM(T_IS!H27:H27)</f>
        <v>-38725678186</v>
      </c>
      <c r="K9" s="648">
        <v>0</v>
      </c>
      <c r="L9" s="646"/>
      <c r="M9" s="646">
        <v>-222095445</v>
      </c>
      <c r="N9" s="647">
        <v>-187060762</v>
      </c>
      <c r="O9" s="649">
        <v>-766358</v>
      </c>
      <c r="P9" s="646">
        <v>-1398163</v>
      </c>
      <c r="Q9" s="646">
        <v>-1749681</v>
      </c>
      <c r="R9" s="650">
        <v>-1817892</v>
      </c>
      <c r="S9" s="648">
        <v>-1807924</v>
      </c>
      <c r="T9" s="1917">
        <v>-1768510</v>
      </c>
      <c r="U9" s="646">
        <v>-1729864</v>
      </c>
      <c r="V9" s="671">
        <f>-'4.0'!AN10</f>
        <v>0</v>
      </c>
      <c r="W9" s="577"/>
      <c r="Y9" s="651" t="str">
        <f>+D9</f>
        <v>420090</v>
      </c>
      <c r="Z9" s="652" t="str">
        <f>+E9</f>
        <v>상품매출원가</v>
      </c>
      <c r="AA9" s="653">
        <f>IF(V9&gt;0,V9,0)</f>
        <v>0</v>
      </c>
      <c r="AB9" s="654">
        <f>IF(V9&lt;0,-V9,0)</f>
        <v>0</v>
      </c>
      <c r="AC9" s="566" t="s">
        <v>2016</v>
      </c>
    </row>
    <row r="10" spans="4:39" ht="18" customHeight="1">
      <c r="D10" s="655" t="s">
        <v>241</v>
      </c>
      <c r="E10" s="572" t="s">
        <v>242</v>
      </c>
      <c r="F10" s="552">
        <v>3045560336</v>
      </c>
      <c r="G10" s="552">
        <v>1368838901</v>
      </c>
      <c r="H10" s="552">
        <v>5081605792</v>
      </c>
      <c r="I10" s="646">
        <v>1389098959</v>
      </c>
      <c r="J10" s="647">
        <f>-J9</f>
        <v>38725678186</v>
      </c>
      <c r="K10" s="648">
        <v>0</v>
      </c>
      <c r="L10" s="646"/>
      <c r="M10" s="646">
        <v>222095445</v>
      </c>
      <c r="N10" s="647">
        <v>187060762</v>
      </c>
      <c r="O10" s="649">
        <v>766358</v>
      </c>
      <c r="P10" s="646">
        <v>1398163</v>
      </c>
      <c r="Q10" s="646">
        <v>1749681</v>
      </c>
      <c r="R10" s="650">
        <v>1817892</v>
      </c>
      <c r="S10" s="648">
        <v>1807924</v>
      </c>
      <c r="T10" s="1917">
        <v>1768510</v>
      </c>
      <c r="U10" s="646">
        <v>1729864</v>
      </c>
      <c r="V10" s="671">
        <f>-V9</f>
        <v>0</v>
      </c>
      <c r="W10" s="577">
        <f>ROUND(W9*'4.0'!$AD$15,)</f>
        <v>0</v>
      </c>
      <c r="X10" s="543"/>
      <c r="Y10" s="651" t="str">
        <f>+D10</f>
        <v>420199</v>
      </c>
      <c r="Z10" s="652" t="str">
        <f>+E10</f>
        <v>제품매출원가</v>
      </c>
      <c r="AA10" s="653">
        <f>IF(V10&gt;0,V10,0)</f>
        <v>0</v>
      </c>
      <c r="AB10" s="654">
        <f>IF(V10&lt;0,-V10,0)</f>
        <v>0</v>
      </c>
      <c r="AC10" s="566"/>
    </row>
    <row r="11" spans="4:39" ht="18" customHeight="1">
      <c r="D11" s="656" t="s">
        <v>1793</v>
      </c>
      <c r="E11" s="572" t="s">
        <v>1991</v>
      </c>
      <c r="F11" s="552"/>
      <c r="G11" s="552"/>
      <c r="H11" s="552"/>
      <c r="I11" s="646"/>
      <c r="J11" s="647"/>
      <c r="K11" s="648"/>
      <c r="L11" s="646"/>
      <c r="M11" s="646">
        <v>45943748</v>
      </c>
      <c r="N11" s="647">
        <v>35034683</v>
      </c>
      <c r="O11" s="649">
        <v>33299885</v>
      </c>
      <c r="P11" s="646">
        <v>121934153</v>
      </c>
      <c r="Q11" s="646">
        <v>125885220</v>
      </c>
      <c r="R11" s="650">
        <v>122470305</v>
      </c>
      <c r="S11" s="648">
        <v>117507963</v>
      </c>
      <c r="T11" s="1917">
        <v>111568671</v>
      </c>
      <c r="U11" s="646">
        <v>116405185</v>
      </c>
      <c r="V11" s="671">
        <f>'4.0'!V11</f>
        <v>83403250</v>
      </c>
      <c r="W11" s="577"/>
      <c r="X11" s="543"/>
      <c r="Y11" s="651" t="s">
        <v>1793</v>
      </c>
      <c r="Z11" s="652" t="s">
        <v>1991</v>
      </c>
      <c r="AA11" s="653">
        <f>V11</f>
        <v>83403250</v>
      </c>
      <c r="AB11" s="654"/>
      <c r="AC11" s="566" t="s">
        <v>2021</v>
      </c>
    </row>
    <row r="12" spans="4:39" ht="18" customHeight="1">
      <c r="D12" s="656" t="s">
        <v>1993</v>
      </c>
      <c r="E12" s="572" t="s">
        <v>1992</v>
      </c>
      <c r="F12" s="552"/>
      <c r="G12" s="552"/>
      <c r="H12" s="552"/>
      <c r="I12" s="646"/>
      <c r="J12" s="647"/>
      <c r="K12" s="648"/>
      <c r="L12" s="646"/>
      <c r="M12" s="646">
        <v>-45943748</v>
      </c>
      <c r="N12" s="647">
        <v>-35034683</v>
      </c>
      <c r="O12" s="649">
        <v>-33299885</v>
      </c>
      <c r="P12" s="646">
        <v>-121934153</v>
      </c>
      <c r="Q12" s="646">
        <v>-125885220</v>
      </c>
      <c r="R12" s="650">
        <v>-122470305</v>
      </c>
      <c r="S12" s="648">
        <v>-117507963</v>
      </c>
      <c r="T12" s="1917">
        <v>-111568671</v>
      </c>
      <c r="U12" s="646">
        <v>-116405185</v>
      </c>
      <c r="V12" s="671">
        <f>-V11</f>
        <v>-83403250</v>
      </c>
      <c r="W12" s="577"/>
      <c r="X12" s="543"/>
      <c r="Y12" s="651" t="s">
        <v>1993</v>
      </c>
      <c r="Z12" s="652" t="s">
        <v>1992</v>
      </c>
      <c r="AA12" s="653"/>
      <c r="AB12" s="654">
        <f>-V12</f>
        <v>83403250</v>
      </c>
      <c r="AC12" s="566" t="s">
        <v>2021</v>
      </c>
      <c r="AF12" s="498" t="s">
        <v>1858</v>
      </c>
      <c r="AI12" s="498" t="s">
        <v>1990</v>
      </c>
      <c r="AK12" s="498" t="s">
        <v>2013</v>
      </c>
    </row>
    <row r="13" spans="4:39" s="543" customFormat="1" ht="18" customHeight="1">
      <c r="D13" s="634" t="s">
        <v>464</v>
      </c>
      <c r="E13" s="657"/>
      <c r="F13" s="635"/>
      <c r="G13" s="635"/>
      <c r="H13" s="635"/>
      <c r="I13" s="635"/>
      <c r="J13" s="636"/>
      <c r="K13" s="637"/>
      <c r="L13" s="635"/>
      <c r="M13" s="635"/>
      <c r="N13" s="636"/>
      <c r="O13" s="638"/>
      <c r="P13" s="635"/>
      <c r="Q13" s="635"/>
      <c r="R13" s="639"/>
      <c r="S13" s="637"/>
      <c r="T13" s="1889"/>
      <c r="U13" s="635"/>
      <c r="V13" s="636"/>
      <c r="W13" s="640"/>
      <c r="Y13" s="658"/>
      <c r="Z13" s="659"/>
      <c r="AA13" s="642"/>
      <c r="AB13" s="643"/>
      <c r="AF13" s="543" t="s">
        <v>2012</v>
      </c>
      <c r="AH13" s="543">
        <v>100</v>
      </c>
      <c r="AI13" s="543" t="s">
        <v>1992</v>
      </c>
      <c r="AJ13" s="543">
        <v>100</v>
      </c>
      <c r="AL13" s="543" t="s">
        <v>2012</v>
      </c>
      <c r="AM13" s="543" t="e">
        <f>AH13-AG27+#REF!</f>
        <v>#REF!</v>
      </c>
    </row>
    <row r="14" spans="4:39" s="543" customFormat="1" ht="18" customHeight="1">
      <c r="D14" s="644" t="s">
        <v>301</v>
      </c>
      <c r="E14" s="645" t="s">
        <v>302</v>
      </c>
      <c r="F14" s="646">
        <v>-3197875</v>
      </c>
      <c r="G14" s="646">
        <v>0</v>
      </c>
      <c r="H14" s="646">
        <v>16711699</v>
      </c>
      <c r="I14" s="646">
        <v>-79655580</v>
      </c>
      <c r="J14" s="647"/>
      <c r="K14" s="648"/>
      <c r="L14" s="646"/>
      <c r="M14" s="646"/>
      <c r="N14" s="647"/>
      <c r="O14" s="649"/>
      <c r="P14" s="646"/>
      <c r="Q14" s="646"/>
      <c r="R14" s="650"/>
      <c r="S14" s="648"/>
      <c r="T14" s="1917"/>
      <c r="U14" s="646"/>
      <c r="V14" s="647"/>
      <c r="W14" s="640"/>
      <c r="Y14" s="651"/>
      <c r="Z14" s="652"/>
      <c r="AA14" s="653"/>
      <c r="AB14" s="654"/>
      <c r="AF14" s="543" t="s">
        <v>2011</v>
      </c>
      <c r="AG14" s="543">
        <v>80</v>
      </c>
      <c r="AL14" s="543" t="s">
        <v>2014</v>
      </c>
      <c r="AM14" s="543">
        <f>AJ17-AG43</f>
        <v>0</v>
      </c>
    </row>
    <row r="15" spans="4:39" s="543" customFormat="1" ht="18" customHeight="1">
      <c r="D15" s="644" t="s">
        <v>295</v>
      </c>
      <c r="E15" s="645" t="s">
        <v>296</v>
      </c>
      <c r="F15" s="646">
        <v>3197875</v>
      </c>
      <c r="G15" s="646">
        <v>0</v>
      </c>
      <c r="H15" s="646">
        <v>-16711699</v>
      </c>
      <c r="I15" s="646">
        <v>79655580</v>
      </c>
      <c r="J15" s="647"/>
      <c r="K15" s="648"/>
      <c r="L15" s="646"/>
      <c r="M15" s="646"/>
      <c r="N15" s="647"/>
      <c r="O15" s="649"/>
      <c r="P15" s="646"/>
      <c r="Q15" s="646"/>
      <c r="R15" s="650"/>
      <c r="S15" s="648"/>
      <c r="T15" s="1917"/>
      <c r="U15" s="646"/>
      <c r="V15" s="647"/>
      <c r="W15" s="640"/>
      <c r="Y15" s="651"/>
      <c r="Z15" s="652"/>
      <c r="AA15" s="653"/>
      <c r="AB15" s="654"/>
      <c r="AF15" s="543" t="s">
        <v>1991</v>
      </c>
      <c r="AH15" s="543">
        <v>80</v>
      </c>
      <c r="AL15" s="543" t="s">
        <v>1992</v>
      </c>
      <c r="AM15" s="543">
        <f>25-AH38</f>
        <v>0</v>
      </c>
    </row>
    <row r="16" spans="4:39" s="543" customFormat="1" ht="18" customHeight="1">
      <c r="D16" s="634" t="s">
        <v>464</v>
      </c>
      <c r="E16" s="657"/>
      <c r="F16" s="635"/>
      <c r="G16" s="635"/>
      <c r="H16" s="635"/>
      <c r="I16" s="635"/>
      <c r="J16" s="636"/>
      <c r="K16" s="637"/>
      <c r="L16" s="635"/>
      <c r="M16" s="635"/>
      <c r="N16" s="636"/>
      <c r="O16" s="638"/>
      <c r="P16" s="635"/>
      <c r="Q16" s="635"/>
      <c r="R16" s="639"/>
      <c r="S16" s="637"/>
      <c r="T16" s="1889"/>
      <c r="U16" s="635"/>
      <c r="V16" s="636"/>
      <c r="W16" s="640"/>
      <c r="Y16" s="658" t="s">
        <v>1797</v>
      </c>
      <c r="Z16" s="659"/>
      <c r="AA16" s="642"/>
      <c r="AB16" s="643"/>
      <c r="AL16" s="543" t="s">
        <v>2011</v>
      </c>
      <c r="AM16" s="543">
        <f>AG14-AH28+AG29+AG32-AH35</f>
        <v>60</v>
      </c>
    </row>
    <row r="17" spans="4:39" s="543" customFormat="1" ht="18" customHeight="1">
      <c r="D17" s="660" t="s">
        <v>1794</v>
      </c>
      <c r="E17" s="645" t="s">
        <v>26</v>
      </c>
      <c r="F17" s="646"/>
      <c r="G17" s="646"/>
      <c r="H17" s="646"/>
      <c r="I17" s="646"/>
      <c r="J17" s="647">
        <v>-327031541</v>
      </c>
      <c r="K17" s="648">
        <v>-345748871</v>
      </c>
      <c r="L17" s="646">
        <v>-339552857</v>
      </c>
      <c r="M17" s="646">
        <v>-359515514</v>
      </c>
      <c r="N17" s="647">
        <v>-282047680</v>
      </c>
      <c r="O17" s="649">
        <v>-240418751</v>
      </c>
      <c r="P17" s="646">
        <v>-133158070</v>
      </c>
      <c r="Q17" s="646">
        <v>-55857371</v>
      </c>
      <c r="R17" s="650"/>
      <c r="S17" s="648">
        <v>0</v>
      </c>
      <c r="T17" s="1917">
        <v>0</v>
      </c>
      <c r="U17" s="646">
        <v>0</v>
      </c>
      <c r="V17" s="671">
        <f>-V18</f>
        <v>0</v>
      </c>
      <c r="W17" s="577"/>
      <c r="Y17" s="661" t="str">
        <f t="shared" ref="Y17:Z20" si="1">+D17</f>
        <v>111731</v>
      </c>
      <c r="Z17" s="662" t="str">
        <f t="shared" si="1"/>
        <v>외상매출금(외화)</v>
      </c>
      <c r="AA17" s="663">
        <f>IF(V17&gt;0,V17,0)</f>
        <v>0</v>
      </c>
      <c r="AB17" s="664">
        <f>IF(V17&lt;0,-V17,0)</f>
        <v>0</v>
      </c>
      <c r="AF17" s="543" t="s">
        <v>2014</v>
      </c>
      <c r="AJ17" s="543">
        <v>120</v>
      </c>
      <c r="AL17" s="543" t="s">
        <v>1994</v>
      </c>
      <c r="AM17" s="543">
        <f>AI18-AH33+AG36</f>
        <v>0</v>
      </c>
    </row>
    <row r="18" spans="4:39" s="543" customFormat="1" ht="18" customHeight="1">
      <c r="D18" s="660" t="s">
        <v>1796</v>
      </c>
      <c r="E18" s="645" t="s">
        <v>33</v>
      </c>
      <c r="F18" s="646"/>
      <c r="G18" s="646"/>
      <c r="H18" s="646"/>
      <c r="I18" s="646"/>
      <c r="J18" s="647">
        <f>-J17</f>
        <v>327031541</v>
      </c>
      <c r="K18" s="648">
        <v>345748871</v>
      </c>
      <c r="L18" s="646">
        <v>339552857</v>
      </c>
      <c r="M18" s="646">
        <v>359515514</v>
      </c>
      <c r="N18" s="647">
        <v>282047680</v>
      </c>
      <c r="O18" s="649">
        <v>240418751</v>
      </c>
      <c r="P18" s="646">
        <v>133158070</v>
      </c>
      <c r="Q18" s="646">
        <v>55857371</v>
      </c>
      <c r="R18" s="650"/>
      <c r="S18" s="648">
        <v>0</v>
      </c>
      <c r="T18" s="1917">
        <v>0</v>
      </c>
      <c r="U18" s="646">
        <v>0</v>
      </c>
      <c r="V18" s="671">
        <f>W18</f>
        <v>0</v>
      </c>
      <c r="W18" s="577">
        <v>0</v>
      </c>
      <c r="Y18" s="644" t="str">
        <f t="shared" si="1"/>
        <v>112113</v>
      </c>
      <c r="Z18" s="645" t="str">
        <f t="shared" si="1"/>
        <v>미수금(외화_일반)</v>
      </c>
      <c r="AA18" s="646">
        <f>IF(V18&gt;0,V18,0)</f>
        <v>0</v>
      </c>
      <c r="AB18" s="647">
        <f>IF(V18&lt;0,-V18,0)</f>
        <v>0</v>
      </c>
      <c r="AF18" s="543" t="s">
        <v>1994</v>
      </c>
      <c r="AI18" s="543">
        <v>75</v>
      </c>
      <c r="AL18" s="543" t="s">
        <v>1991</v>
      </c>
      <c r="AM18" s="543">
        <f>-5+AG39</f>
        <v>20</v>
      </c>
    </row>
    <row r="19" spans="4:39" s="543" customFormat="1" ht="18" customHeight="1">
      <c r="D19" s="660" t="s">
        <v>1795</v>
      </c>
      <c r="E19" s="645" t="s">
        <v>1692</v>
      </c>
      <c r="F19" s="646"/>
      <c r="G19" s="646"/>
      <c r="H19" s="646"/>
      <c r="I19" s="646"/>
      <c r="J19" s="647">
        <v>-300136621</v>
      </c>
      <c r="K19" s="648">
        <v>-230497964</v>
      </c>
      <c r="L19" s="646">
        <v>-141484785</v>
      </c>
      <c r="M19" s="646">
        <v>-55315563</v>
      </c>
      <c r="N19" s="647"/>
      <c r="O19" s="649">
        <v>0</v>
      </c>
      <c r="P19" s="646"/>
      <c r="Q19" s="646">
        <v>0</v>
      </c>
      <c r="R19" s="650"/>
      <c r="S19" s="648">
        <v>0</v>
      </c>
      <c r="T19" s="1917">
        <v>0</v>
      </c>
      <c r="U19" s="646">
        <v>0</v>
      </c>
      <c r="V19" s="671">
        <f>-V20</f>
        <v>0</v>
      </c>
      <c r="W19" s="577"/>
      <c r="Y19" s="644" t="str">
        <f t="shared" si="1"/>
        <v>121800</v>
      </c>
      <c r="Z19" s="645" t="str">
        <f t="shared" si="1"/>
        <v>외상매출금(외화_비유동)</v>
      </c>
      <c r="AA19" s="646">
        <f>IF(V19&gt;0,V19,0)</f>
        <v>0</v>
      </c>
      <c r="AB19" s="647">
        <f>IF(V19&lt;0,-V19,0)</f>
        <v>0</v>
      </c>
      <c r="AF19" s="543" t="s">
        <v>1992</v>
      </c>
      <c r="AJ19" s="543">
        <v>75</v>
      </c>
    </row>
    <row r="20" spans="4:39" s="543" customFormat="1" ht="18" customHeight="1">
      <c r="D20" s="644" t="s">
        <v>1777</v>
      </c>
      <c r="E20" s="645" t="s">
        <v>1778</v>
      </c>
      <c r="F20" s="646"/>
      <c r="G20" s="646"/>
      <c r="H20" s="646"/>
      <c r="I20" s="646"/>
      <c r="J20" s="647">
        <f>-J19</f>
        <v>300136621</v>
      </c>
      <c r="K20" s="648">
        <v>230497964</v>
      </c>
      <c r="L20" s="646">
        <v>141484785</v>
      </c>
      <c r="M20" s="646">
        <v>55315563</v>
      </c>
      <c r="N20" s="647"/>
      <c r="O20" s="649">
        <v>0</v>
      </c>
      <c r="P20" s="646"/>
      <c r="Q20" s="646">
        <v>0</v>
      </c>
      <c r="R20" s="650"/>
      <c r="S20" s="648">
        <v>0</v>
      </c>
      <c r="T20" s="1917">
        <v>0</v>
      </c>
      <c r="U20" s="646">
        <v>0</v>
      </c>
      <c r="V20" s="671">
        <f>W20</f>
        <v>0</v>
      </c>
      <c r="W20" s="577"/>
      <c r="Y20" s="644" t="str">
        <f t="shared" si="1"/>
        <v>121805**</v>
      </c>
      <c r="Z20" s="645" t="str">
        <f t="shared" si="1"/>
        <v>장기미수금</v>
      </c>
      <c r="AA20" s="646">
        <f>IF(V20&gt;0,V20,0)</f>
        <v>0</v>
      </c>
      <c r="AB20" s="647">
        <f>IF(V20&lt;0,-V20,0)</f>
        <v>0</v>
      </c>
    </row>
    <row r="21" spans="4:39" s="543" customFormat="1" ht="18" customHeight="1">
      <c r="D21" s="644"/>
      <c r="E21" s="645"/>
      <c r="F21" s="646"/>
      <c r="G21" s="646"/>
      <c r="H21" s="646"/>
      <c r="I21" s="646"/>
      <c r="J21" s="647"/>
      <c r="K21" s="648"/>
      <c r="L21" s="646"/>
      <c r="M21" s="646"/>
      <c r="N21" s="647"/>
      <c r="O21" s="649"/>
      <c r="P21" s="646"/>
      <c r="Q21" s="646"/>
      <c r="R21" s="650"/>
      <c r="S21" s="648"/>
      <c r="T21" s="1917"/>
      <c r="U21" s="646"/>
      <c r="V21" s="671"/>
      <c r="W21" s="577"/>
      <c r="Y21" s="644"/>
      <c r="Z21" s="645"/>
      <c r="AA21" s="646"/>
      <c r="AB21" s="647"/>
      <c r="AF21" s="665" t="s">
        <v>2012</v>
      </c>
      <c r="AG21" s="665"/>
      <c r="AH21" s="665">
        <f>AJ17</f>
        <v>120</v>
      </c>
    </row>
    <row r="22" spans="4:39" ht="18" customHeight="1">
      <c r="D22" s="634" t="s">
        <v>1837</v>
      </c>
      <c r="E22" s="657"/>
      <c r="F22" s="635"/>
      <c r="G22" s="635"/>
      <c r="H22" s="635"/>
      <c r="I22" s="635"/>
      <c r="J22" s="636"/>
      <c r="K22" s="637"/>
      <c r="L22" s="635"/>
      <c r="M22" s="635"/>
      <c r="N22" s="636"/>
      <c r="O22" s="638"/>
      <c r="P22" s="635"/>
      <c r="Q22" s="635"/>
      <c r="R22" s="639"/>
      <c r="S22" s="637"/>
      <c r="T22" s="1889"/>
      <c r="U22" s="635"/>
      <c r="V22" s="636"/>
      <c r="Y22" s="655"/>
      <c r="Z22" s="572"/>
      <c r="AA22" s="552"/>
      <c r="AB22" s="553"/>
      <c r="AF22" s="665" t="s">
        <v>2011</v>
      </c>
      <c r="AG22" s="665">
        <f>AH15*0.75</f>
        <v>60</v>
      </c>
      <c r="AH22" s="665"/>
    </row>
    <row r="23" spans="4:39" ht="18" customHeight="1">
      <c r="D23" s="655"/>
      <c r="E23" s="572" t="s">
        <v>1838</v>
      </c>
      <c r="F23" s="552"/>
      <c r="G23" s="552"/>
      <c r="H23" s="552"/>
      <c r="I23" s="552"/>
      <c r="J23" s="553"/>
      <c r="K23" s="551"/>
      <c r="L23" s="552"/>
      <c r="M23" s="552"/>
      <c r="N23" s="553"/>
      <c r="O23" s="666"/>
      <c r="P23" s="552"/>
      <c r="Q23" s="552"/>
      <c r="R23" s="667"/>
      <c r="S23" s="551"/>
      <c r="T23" s="1893"/>
      <c r="U23" s="552"/>
      <c r="V23" s="671"/>
      <c r="Y23" s="655"/>
      <c r="Z23" s="572"/>
      <c r="AA23" s="668"/>
      <c r="AB23" s="553"/>
      <c r="AF23" s="665" t="s">
        <v>1991</v>
      </c>
      <c r="AG23" s="665"/>
      <c r="AH23" s="665">
        <f>AG22</f>
        <v>60</v>
      </c>
    </row>
    <row r="24" spans="4:39" s="575" customFormat="1" ht="18" customHeight="1">
      <c r="D24" s="669" t="s">
        <v>263</v>
      </c>
      <c r="E24" s="670" t="s">
        <v>264</v>
      </c>
      <c r="F24" s="668"/>
      <c r="G24" s="668"/>
      <c r="H24" s="668"/>
      <c r="I24" s="668"/>
      <c r="J24" s="671"/>
      <c r="K24" s="672">
        <v>-2711392</v>
      </c>
      <c r="L24" s="668">
        <v>-5930949</v>
      </c>
      <c r="M24" s="668">
        <v>-9296142</v>
      </c>
      <c r="N24" s="671">
        <v>-12629042</v>
      </c>
      <c r="O24" s="673">
        <v>-3734972</v>
      </c>
      <c r="P24" s="668">
        <v>-7218575</v>
      </c>
      <c r="Q24" s="668">
        <v>-10969890</v>
      </c>
      <c r="R24" s="674">
        <v>-14553885</v>
      </c>
      <c r="S24" s="672">
        <v>-3863409</v>
      </c>
      <c r="T24" s="876">
        <v>-7362104</v>
      </c>
      <c r="U24" s="668">
        <v>-11037735</v>
      </c>
      <c r="V24" s="2089">
        <f>AA24</f>
        <v>-14677174</v>
      </c>
      <c r="W24" s="577"/>
      <c r="Y24" s="669" t="s">
        <v>263</v>
      </c>
      <c r="Z24" s="670" t="s">
        <v>264</v>
      </c>
      <c r="AA24" s="675">
        <v>-14677174</v>
      </c>
      <c r="AB24" s="671">
        <f>IF(W24&gt;0,W24,0)</f>
        <v>0</v>
      </c>
    </row>
    <row r="25" spans="4:39" s="575" customFormat="1" ht="18" customHeight="1">
      <c r="D25" s="669" t="s">
        <v>269</v>
      </c>
      <c r="E25" s="670" t="s">
        <v>270</v>
      </c>
      <c r="F25" s="668"/>
      <c r="G25" s="668"/>
      <c r="H25" s="668"/>
      <c r="I25" s="668"/>
      <c r="J25" s="671"/>
      <c r="K25" s="672">
        <v>-10713861</v>
      </c>
      <c r="L25" s="668">
        <v>-21427722</v>
      </c>
      <c r="M25" s="668">
        <v>-32141583</v>
      </c>
      <c r="N25" s="671">
        <v>-42855444</v>
      </c>
      <c r="O25" s="673">
        <v>-4971287</v>
      </c>
      <c r="P25" s="668">
        <v>-7071287</v>
      </c>
      <c r="Q25" s="668">
        <v>-10737287</v>
      </c>
      <c r="R25" s="674">
        <v>-13359287</v>
      </c>
      <c r="S25" s="672">
        <v>-2622000</v>
      </c>
      <c r="T25" s="876">
        <v>-5104000</v>
      </c>
      <c r="U25" s="668">
        <v>-7516000</v>
      </c>
      <c r="V25" s="2089">
        <f>AA25</f>
        <v>-9928000</v>
      </c>
      <c r="W25" s="577"/>
      <c r="Y25" s="669" t="s">
        <v>269</v>
      </c>
      <c r="Z25" s="670" t="s">
        <v>270</v>
      </c>
      <c r="AA25" s="675">
        <v>-9928000</v>
      </c>
      <c r="AB25" s="671">
        <f>IF(W25&gt;0,W25,0)</f>
        <v>0</v>
      </c>
      <c r="AF25" s="575" t="s">
        <v>2015</v>
      </c>
      <c r="AG25" s="575">
        <f>AH15-AG22</f>
        <v>20</v>
      </c>
    </row>
    <row r="26" spans="4:39" s="575" customFormat="1" ht="18" customHeight="1">
      <c r="D26" s="669">
        <v>630000</v>
      </c>
      <c r="E26" s="670" t="s">
        <v>276</v>
      </c>
      <c r="F26" s="668"/>
      <c r="G26" s="668"/>
      <c r="H26" s="668"/>
      <c r="I26" s="668"/>
      <c r="J26" s="671"/>
      <c r="K26" s="672">
        <v>-7684551</v>
      </c>
      <c r="L26" s="668">
        <v>-14413581</v>
      </c>
      <c r="M26" s="668">
        <v>-20964931</v>
      </c>
      <c r="N26" s="671">
        <v>-27221131</v>
      </c>
      <c r="O26" s="673">
        <v>-6183590</v>
      </c>
      <c r="P26" s="668">
        <v>-9676590</v>
      </c>
      <c r="Q26" s="668">
        <v>-12745590</v>
      </c>
      <c r="R26" s="674">
        <v>-16238590</v>
      </c>
      <c r="S26" s="672">
        <v>-4297600</v>
      </c>
      <c r="T26" s="876">
        <v>-8765600</v>
      </c>
      <c r="U26" s="668">
        <v>-23108600</v>
      </c>
      <c r="V26" s="2089">
        <f>AA26</f>
        <v>-27743600</v>
      </c>
      <c r="W26" s="577"/>
      <c r="Y26" s="669">
        <v>630000</v>
      </c>
      <c r="Z26" s="670" t="s">
        <v>276</v>
      </c>
      <c r="AA26" s="675">
        <v>-27743600</v>
      </c>
      <c r="AB26" s="671">
        <f>IF(W26&gt;0,W26,0)</f>
        <v>0</v>
      </c>
    </row>
    <row r="27" spans="4:39" s="575" customFormat="1" ht="18" customHeight="1">
      <c r="D27" s="669" t="s">
        <v>1833</v>
      </c>
      <c r="E27" s="670" t="s">
        <v>1686</v>
      </c>
      <c r="F27" s="668"/>
      <c r="G27" s="668"/>
      <c r="H27" s="668"/>
      <c r="I27" s="668"/>
      <c r="J27" s="671"/>
      <c r="K27" s="672">
        <v>11373201</v>
      </c>
      <c r="L27" s="668">
        <v>22807062</v>
      </c>
      <c r="M27" s="668">
        <v>34240923</v>
      </c>
      <c r="N27" s="671">
        <v>45674784</v>
      </c>
      <c r="O27" s="673">
        <v>5637877</v>
      </c>
      <c r="P27" s="668">
        <v>5637877</v>
      </c>
      <c r="Q27" s="668">
        <v>5137877</v>
      </c>
      <c r="R27" s="674">
        <v>5137877</v>
      </c>
      <c r="S27" s="672">
        <v>795300</v>
      </c>
      <c r="T27" s="876">
        <v>795300</v>
      </c>
      <c r="U27" s="668">
        <v>795300</v>
      </c>
      <c r="V27" s="2089">
        <f>AA27</f>
        <v>795300</v>
      </c>
      <c r="W27" s="577"/>
      <c r="Y27" s="669" t="s">
        <v>1833</v>
      </c>
      <c r="Z27" s="670" t="s">
        <v>1686</v>
      </c>
      <c r="AA27" s="675">
        <v>795300</v>
      </c>
      <c r="AB27" s="671">
        <f>IF(W27&gt;0,W27,0)</f>
        <v>0</v>
      </c>
      <c r="AF27" s="575" t="s">
        <v>2012</v>
      </c>
      <c r="AG27" s="575">
        <f>AH13</f>
        <v>100</v>
      </c>
    </row>
    <row r="28" spans="4:39" s="575" customFormat="1" ht="18" customHeight="1">
      <c r="D28" s="669" t="s">
        <v>1835</v>
      </c>
      <c r="E28" s="670" t="s">
        <v>1687</v>
      </c>
      <c r="F28" s="668"/>
      <c r="G28" s="668"/>
      <c r="H28" s="668"/>
      <c r="I28" s="668"/>
      <c r="J28" s="671"/>
      <c r="K28" s="672">
        <v>9736603</v>
      </c>
      <c r="L28" s="668">
        <v>18965190</v>
      </c>
      <c r="M28" s="668">
        <v>28161733</v>
      </c>
      <c r="N28" s="671">
        <v>37030833</v>
      </c>
      <c r="O28" s="673">
        <v>9251972</v>
      </c>
      <c r="P28" s="668">
        <v>18328575</v>
      </c>
      <c r="Q28" s="668">
        <v>29314890</v>
      </c>
      <c r="R28" s="674">
        <v>39013885</v>
      </c>
      <c r="S28" s="672">
        <v>9987709</v>
      </c>
      <c r="T28" s="876">
        <v>20436404</v>
      </c>
      <c r="U28" s="668">
        <v>40867035</v>
      </c>
      <c r="V28" s="2089">
        <f>AA28</f>
        <v>51553474</v>
      </c>
      <c r="W28" s="577"/>
      <c r="Y28" s="669" t="s">
        <v>1835</v>
      </c>
      <c r="Z28" s="670" t="s">
        <v>1687</v>
      </c>
      <c r="AA28" s="675">
        <v>51553474</v>
      </c>
      <c r="AB28" s="671">
        <f>IF(W28&gt;0,W28,0)</f>
        <v>0</v>
      </c>
      <c r="AF28" s="575" t="s">
        <v>2011</v>
      </c>
      <c r="AH28" s="575">
        <v>100</v>
      </c>
    </row>
    <row r="29" spans="4:39" s="575" customFormat="1" ht="18" customHeight="1">
      <c r="D29" s="669"/>
      <c r="E29" s="670"/>
      <c r="F29" s="668"/>
      <c r="G29" s="668"/>
      <c r="H29" s="668"/>
      <c r="I29" s="668"/>
      <c r="J29" s="671"/>
      <c r="K29" s="672"/>
      <c r="L29" s="668"/>
      <c r="M29" s="668"/>
      <c r="N29" s="671"/>
      <c r="O29" s="673"/>
      <c r="P29" s="668"/>
      <c r="Q29" s="668"/>
      <c r="R29" s="674"/>
      <c r="S29" s="672"/>
      <c r="T29" s="876"/>
      <c r="U29" s="668"/>
      <c r="V29" s="671"/>
      <c r="W29" s="577"/>
      <c r="Y29" s="669"/>
      <c r="Z29" s="670"/>
      <c r="AA29" s="668"/>
      <c r="AB29" s="671"/>
      <c r="AF29" s="575" t="s">
        <v>2011</v>
      </c>
      <c r="AG29" s="575">
        <f>(AH13-AJ19)*0.2</f>
        <v>5</v>
      </c>
    </row>
    <row r="30" spans="4:39" ht="18" customHeight="1">
      <c r="D30" s="634" t="s">
        <v>1862</v>
      </c>
      <c r="E30" s="635"/>
      <c r="F30" s="635"/>
      <c r="G30" s="635"/>
      <c r="H30" s="635"/>
      <c r="I30" s="635"/>
      <c r="J30" s="636"/>
      <c r="K30" s="637"/>
      <c r="L30" s="635"/>
      <c r="M30" s="635"/>
      <c r="N30" s="636"/>
      <c r="O30" s="638"/>
      <c r="P30" s="635"/>
      <c r="Q30" s="635"/>
      <c r="R30" s="639"/>
      <c r="S30" s="637"/>
      <c r="T30" s="1889"/>
      <c r="U30" s="635"/>
      <c r="V30" s="636"/>
      <c r="Y30" s="655"/>
      <c r="Z30" s="572"/>
      <c r="AA30" s="552"/>
      <c r="AB30" s="553"/>
      <c r="AF30" s="498" t="s">
        <v>1991</v>
      </c>
      <c r="AH30" s="498">
        <f>AG29</f>
        <v>5</v>
      </c>
    </row>
    <row r="31" spans="4:39" ht="18" customHeight="1">
      <c r="D31" s="676" t="s">
        <v>68</v>
      </c>
      <c r="E31" s="580" t="s">
        <v>69</v>
      </c>
      <c r="F31" s="552"/>
      <c r="G31" s="552"/>
      <c r="H31" s="552"/>
      <c r="I31" s="552"/>
      <c r="J31" s="553"/>
      <c r="K31" s="551">
        <v>-131288210</v>
      </c>
      <c r="L31" s="552"/>
      <c r="M31" s="552">
        <v>0</v>
      </c>
      <c r="N31" s="553"/>
      <c r="O31" s="666"/>
      <c r="P31" s="552">
        <v>-354388</v>
      </c>
      <c r="Q31" s="552">
        <v>-354388</v>
      </c>
      <c r="R31" s="667">
        <v>0</v>
      </c>
      <c r="S31" s="551">
        <v>0</v>
      </c>
      <c r="T31" s="1893">
        <v>0</v>
      </c>
      <c r="U31" s="552">
        <v>0</v>
      </c>
      <c r="V31" s="671">
        <f>-T_BS!L73</f>
        <v>0</v>
      </c>
      <c r="W31" s="577" t="s">
        <v>1797</v>
      </c>
      <c r="Y31" s="676" t="s">
        <v>68</v>
      </c>
      <c r="Z31" s="572" t="s">
        <v>1860</v>
      </c>
      <c r="AA31" s="552"/>
      <c r="AB31" s="553"/>
    </row>
    <row r="32" spans="4:39" ht="18" customHeight="1">
      <c r="D32" s="676">
        <v>112111</v>
      </c>
      <c r="E32" s="580" t="s">
        <v>32</v>
      </c>
      <c r="F32" s="552"/>
      <c r="G32" s="552"/>
      <c r="H32" s="552"/>
      <c r="I32" s="552"/>
      <c r="J32" s="553"/>
      <c r="K32" s="551">
        <v>-837945</v>
      </c>
      <c r="L32" s="552"/>
      <c r="M32" s="552">
        <v>0</v>
      </c>
      <c r="N32" s="553"/>
      <c r="O32" s="666"/>
      <c r="P32" s="552">
        <v>354388</v>
      </c>
      <c r="Q32" s="552">
        <v>354388</v>
      </c>
      <c r="R32" s="667">
        <v>0</v>
      </c>
      <c r="S32" s="551">
        <v>0</v>
      </c>
      <c r="T32" s="1893">
        <v>0</v>
      </c>
      <c r="U32" s="552">
        <v>0</v>
      </c>
      <c r="V32" s="671">
        <f>-V31</f>
        <v>0</v>
      </c>
      <c r="W32" s="577" t="s">
        <v>1797</v>
      </c>
      <c r="Y32" s="676">
        <v>220000</v>
      </c>
      <c r="Z32" s="572" t="s">
        <v>1861</v>
      </c>
      <c r="AA32" s="552"/>
      <c r="AB32" s="553"/>
      <c r="AF32" s="543" t="s">
        <v>2011</v>
      </c>
      <c r="AG32" s="498">
        <f>AH28</f>
        <v>100</v>
      </c>
    </row>
    <row r="33" spans="4:34" ht="18" customHeight="1">
      <c r="D33" s="676">
        <v>219000</v>
      </c>
      <c r="E33" s="572" t="s">
        <v>1859</v>
      </c>
      <c r="F33" s="552"/>
      <c r="G33" s="552"/>
      <c r="H33" s="552"/>
      <c r="I33" s="552"/>
      <c r="J33" s="553"/>
      <c r="K33" s="551">
        <v>132126155</v>
      </c>
      <c r="L33" s="552"/>
      <c r="M33" s="552"/>
      <c r="N33" s="553"/>
      <c r="O33" s="666"/>
      <c r="P33" s="552"/>
      <c r="Q33" s="552"/>
      <c r="R33" s="667"/>
      <c r="S33" s="551"/>
      <c r="T33" s="1893"/>
      <c r="U33" s="552"/>
      <c r="V33" s="671"/>
      <c r="W33" s="577"/>
      <c r="Y33" s="676">
        <v>219000</v>
      </c>
      <c r="Z33" s="572" t="s">
        <v>1859</v>
      </c>
      <c r="AA33" s="552"/>
      <c r="AB33" s="553"/>
      <c r="AF33" s="498" t="s">
        <v>1994</v>
      </c>
      <c r="AH33" s="498">
        <f>AG32</f>
        <v>100</v>
      </c>
    </row>
    <row r="34" spans="4:34" ht="18" customHeight="1">
      <c r="D34" s="655"/>
      <c r="E34" s="572"/>
      <c r="F34" s="552"/>
      <c r="G34" s="552"/>
      <c r="H34" s="552"/>
      <c r="I34" s="552"/>
      <c r="J34" s="553"/>
      <c r="K34" s="551"/>
      <c r="L34" s="552"/>
      <c r="M34" s="552"/>
      <c r="N34" s="553"/>
      <c r="O34" s="666"/>
      <c r="P34" s="552"/>
      <c r="Q34" s="552"/>
      <c r="R34" s="667"/>
      <c r="S34" s="551"/>
      <c r="T34" s="1893"/>
      <c r="U34" s="552"/>
      <c r="V34" s="671"/>
      <c r="W34" s="577"/>
      <c r="Y34" s="655"/>
      <c r="Z34" s="572"/>
      <c r="AA34" s="552"/>
      <c r="AB34" s="553"/>
    </row>
    <row r="35" spans="4:34" s="575" customFormat="1" ht="18" customHeight="1">
      <c r="D35" s="677">
        <v>112900</v>
      </c>
      <c r="E35" s="678" t="s">
        <v>67</v>
      </c>
      <c r="F35" s="668"/>
      <c r="G35" s="668"/>
      <c r="H35" s="668"/>
      <c r="I35" s="668"/>
      <c r="J35" s="671"/>
      <c r="K35" s="672"/>
      <c r="L35" s="668"/>
      <c r="M35" s="668">
        <v>-88020205</v>
      </c>
      <c r="N35" s="671"/>
      <c r="O35" s="673"/>
      <c r="P35" s="668">
        <v>-198792456</v>
      </c>
      <c r="Q35" s="668">
        <v>-298621750</v>
      </c>
      <c r="R35" s="674">
        <v>-367910377</v>
      </c>
      <c r="S35" s="672">
        <v>-125402519</v>
      </c>
      <c r="T35" s="876">
        <v>-449781130</v>
      </c>
      <c r="U35" s="668">
        <v>-1118114734</v>
      </c>
      <c r="V35" s="671">
        <f>IF(T_BS!L72&lt;T_BS!L206,-T_BS!L72,-T_BS!L206)</f>
        <v>-1512524639</v>
      </c>
      <c r="W35" s="577" t="s">
        <v>2197</v>
      </c>
      <c r="Y35" s="677">
        <v>112900</v>
      </c>
      <c r="Z35" s="678" t="s">
        <v>67</v>
      </c>
      <c r="AA35" s="668">
        <f>IF(V35&gt;0,V35,0)</f>
        <v>0</v>
      </c>
      <c r="AB35" s="671">
        <f>IF(V35&lt;0,-V35,0)</f>
        <v>1512524639</v>
      </c>
      <c r="AF35" s="575" t="s">
        <v>2011</v>
      </c>
      <c r="AH35" s="575">
        <v>25</v>
      </c>
    </row>
    <row r="36" spans="4:34" s="575" customFormat="1" ht="18" customHeight="1">
      <c r="D36" s="677">
        <v>219000</v>
      </c>
      <c r="E36" s="678" t="s">
        <v>179</v>
      </c>
      <c r="F36" s="668"/>
      <c r="G36" s="668"/>
      <c r="H36" s="668"/>
      <c r="I36" s="668"/>
      <c r="J36" s="671"/>
      <c r="K36" s="672"/>
      <c r="L36" s="668"/>
      <c r="M36" s="668">
        <v>88020205</v>
      </c>
      <c r="N36" s="671"/>
      <c r="O36" s="673"/>
      <c r="P36" s="668">
        <v>198792456</v>
      </c>
      <c r="Q36" s="668">
        <v>298621750</v>
      </c>
      <c r="R36" s="674">
        <v>367910377</v>
      </c>
      <c r="S36" s="672">
        <v>125402519</v>
      </c>
      <c r="T36" s="876">
        <v>449781130</v>
      </c>
      <c r="U36" s="668">
        <v>1118114734</v>
      </c>
      <c r="V36" s="671">
        <f>-V35</f>
        <v>1512524639</v>
      </c>
      <c r="W36" s="577"/>
      <c r="Y36" s="677">
        <v>219000</v>
      </c>
      <c r="Z36" s="678" t="s">
        <v>179</v>
      </c>
      <c r="AA36" s="668">
        <f>IF(V36&gt;0,V36,0)</f>
        <v>1512524639</v>
      </c>
      <c r="AB36" s="671">
        <f>IF(V36&lt;0,-V36,0)</f>
        <v>0</v>
      </c>
      <c r="AF36" s="575" t="s">
        <v>1994</v>
      </c>
      <c r="AG36" s="575">
        <f>AH35</f>
        <v>25</v>
      </c>
    </row>
    <row r="37" spans="4:34" s="575" customFormat="1" ht="18" customHeight="1">
      <c r="D37" s="669"/>
      <c r="E37" s="670"/>
      <c r="F37" s="668"/>
      <c r="G37" s="668"/>
      <c r="H37" s="668"/>
      <c r="I37" s="668"/>
      <c r="J37" s="671"/>
      <c r="K37" s="672"/>
      <c r="L37" s="668"/>
      <c r="M37" s="668"/>
      <c r="N37" s="671"/>
      <c r="O37" s="673"/>
      <c r="P37" s="668"/>
      <c r="Q37" s="668"/>
      <c r="R37" s="674"/>
      <c r="S37" s="672"/>
      <c r="T37" s="876"/>
      <c r="U37" s="668"/>
      <c r="V37" s="671"/>
      <c r="W37" s="577"/>
      <c r="Y37" s="669"/>
      <c r="Z37" s="670"/>
      <c r="AA37" s="668"/>
      <c r="AB37" s="671"/>
    </row>
    <row r="38" spans="4:34" s="575" customFormat="1" ht="18" customHeight="1">
      <c r="D38" s="677">
        <v>112900</v>
      </c>
      <c r="E38" s="678" t="s">
        <v>67</v>
      </c>
      <c r="F38" s="668"/>
      <c r="G38" s="668"/>
      <c r="H38" s="668"/>
      <c r="I38" s="668"/>
      <c r="J38" s="671"/>
      <c r="K38" s="672"/>
      <c r="L38" s="668"/>
      <c r="M38" s="668"/>
      <c r="N38" s="671"/>
      <c r="O38" s="673">
        <v>-73004535</v>
      </c>
      <c r="P38" s="668"/>
      <c r="Q38" s="668"/>
      <c r="R38" s="674"/>
      <c r="S38" s="672"/>
      <c r="T38" s="876"/>
      <c r="U38" s="668"/>
      <c r="V38" s="671"/>
      <c r="W38" s="577" t="s">
        <v>2037</v>
      </c>
      <c r="Y38" s="677">
        <v>112900</v>
      </c>
      <c r="Z38" s="678" t="s">
        <v>67</v>
      </c>
      <c r="AA38" s="668">
        <f>IF(V38&gt;0,V38,0)</f>
        <v>0</v>
      </c>
      <c r="AB38" s="671">
        <f>IF(V38&lt;0,-V38,0)</f>
        <v>0</v>
      </c>
      <c r="AF38" s="575" t="s">
        <v>1992</v>
      </c>
      <c r="AH38" s="575">
        <f>AH13-AJ19</f>
        <v>25</v>
      </c>
    </row>
    <row r="39" spans="4:34" s="575" customFormat="1" ht="18" customHeight="1">
      <c r="D39" s="677">
        <v>219000</v>
      </c>
      <c r="E39" s="678" t="s">
        <v>179</v>
      </c>
      <c r="F39" s="668"/>
      <c r="G39" s="668"/>
      <c r="H39" s="668"/>
      <c r="I39" s="668"/>
      <c r="J39" s="671"/>
      <c r="K39" s="672"/>
      <c r="L39" s="668"/>
      <c r="M39" s="668"/>
      <c r="N39" s="671"/>
      <c r="O39" s="673">
        <v>73004535</v>
      </c>
      <c r="P39" s="668"/>
      <c r="Q39" s="668"/>
      <c r="R39" s="674"/>
      <c r="S39" s="672"/>
      <c r="T39" s="876"/>
      <c r="U39" s="668"/>
      <c r="V39" s="671"/>
      <c r="W39" s="577"/>
      <c r="Y39" s="677">
        <v>219000</v>
      </c>
      <c r="Z39" s="678" t="s">
        <v>179</v>
      </c>
      <c r="AA39" s="668">
        <f>IF(V39&gt;0,V39,0)</f>
        <v>0</v>
      </c>
      <c r="AB39" s="671">
        <f>IF(V39&lt;0,-V39,0)</f>
        <v>0</v>
      </c>
      <c r="AF39" s="575" t="s">
        <v>1991</v>
      </c>
      <c r="AG39" s="575">
        <f>AH38</f>
        <v>25</v>
      </c>
    </row>
    <row r="40" spans="4:34" s="575" customFormat="1" ht="18" customHeight="1">
      <c r="D40" s="669"/>
      <c r="E40" s="670"/>
      <c r="F40" s="668"/>
      <c r="G40" s="668"/>
      <c r="H40" s="668"/>
      <c r="I40" s="668"/>
      <c r="J40" s="671"/>
      <c r="K40" s="672"/>
      <c r="L40" s="668"/>
      <c r="M40" s="668"/>
      <c r="N40" s="671"/>
      <c r="O40" s="673"/>
      <c r="P40" s="668"/>
      <c r="Q40" s="668"/>
      <c r="R40" s="674"/>
      <c r="S40" s="672"/>
      <c r="T40" s="876"/>
      <c r="U40" s="668"/>
      <c r="V40" s="671"/>
      <c r="W40" s="577"/>
      <c r="Y40" s="669"/>
      <c r="Z40" s="670"/>
      <c r="AA40" s="668"/>
      <c r="AB40" s="671"/>
    </row>
    <row r="41" spans="4:34" s="575" customFormat="1" ht="18" customHeight="1">
      <c r="D41" s="677">
        <v>900019</v>
      </c>
      <c r="E41" s="678" t="s">
        <v>81</v>
      </c>
      <c r="F41" s="668"/>
      <c r="G41" s="668"/>
      <c r="H41" s="668"/>
      <c r="I41" s="668"/>
      <c r="J41" s="671"/>
      <c r="K41" s="672"/>
      <c r="L41" s="668"/>
      <c r="M41" s="668"/>
      <c r="N41" s="671"/>
      <c r="O41" s="673"/>
      <c r="P41" s="668">
        <v>-20000000</v>
      </c>
      <c r="Q41" s="668">
        <v>-20000000</v>
      </c>
      <c r="R41" s="674">
        <v>-20000000</v>
      </c>
      <c r="S41" s="672">
        <v>-20000000</v>
      </c>
      <c r="T41" s="876">
        <v>-20000000</v>
      </c>
      <c r="U41" s="668">
        <v>-20000000</v>
      </c>
      <c r="V41" s="671">
        <f>-V43</f>
        <v>-20000000</v>
      </c>
      <c r="W41" s="577" t="s">
        <v>2058</v>
      </c>
      <c r="Y41" s="669">
        <v>900019</v>
      </c>
      <c r="Z41" s="670" t="s">
        <v>81</v>
      </c>
      <c r="AA41" s="668"/>
      <c r="AB41" s="671">
        <f>-V41</f>
        <v>20000000</v>
      </c>
    </row>
    <row r="42" spans="4:34" s="575" customFormat="1" ht="18" customHeight="1">
      <c r="D42" s="677" t="s">
        <v>295</v>
      </c>
      <c r="E42" s="678" t="s">
        <v>296</v>
      </c>
      <c r="F42" s="668"/>
      <c r="G42" s="668"/>
      <c r="H42" s="668"/>
      <c r="I42" s="668"/>
      <c r="J42" s="671"/>
      <c r="K42" s="672"/>
      <c r="L42" s="668"/>
      <c r="M42" s="668"/>
      <c r="N42" s="671"/>
      <c r="O42" s="673"/>
      <c r="P42" s="668">
        <v>20000000</v>
      </c>
      <c r="Q42" s="668">
        <v>20000000</v>
      </c>
      <c r="R42" s="674">
        <v>20000000</v>
      </c>
      <c r="S42" s="672">
        <v>0</v>
      </c>
      <c r="T42" s="876">
        <v>0</v>
      </c>
      <c r="U42" s="668">
        <v>0</v>
      </c>
      <c r="V42" s="671">
        <v>0</v>
      </c>
      <c r="W42" s="577" t="s">
        <v>2404</v>
      </c>
      <c r="Y42" s="669"/>
      <c r="Z42" s="670"/>
      <c r="AA42" s="668"/>
      <c r="AB42" s="671"/>
    </row>
    <row r="43" spans="4:34" s="575" customFormat="1" ht="18" customHeight="1">
      <c r="D43" s="677" t="s">
        <v>1354</v>
      </c>
      <c r="E43" s="678" t="s">
        <v>207</v>
      </c>
      <c r="F43" s="668"/>
      <c r="G43" s="668"/>
      <c r="H43" s="668"/>
      <c r="I43" s="668"/>
      <c r="J43" s="671"/>
      <c r="K43" s="672"/>
      <c r="L43" s="668"/>
      <c r="M43" s="668"/>
      <c r="N43" s="671"/>
      <c r="O43" s="673"/>
      <c r="P43" s="668"/>
      <c r="Q43" s="668"/>
      <c r="R43" s="674"/>
      <c r="S43" s="672">
        <v>20000000</v>
      </c>
      <c r="T43" s="876">
        <v>20000000</v>
      </c>
      <c r="U43" s="668">
        <v>20000000</v>
      </c>
      <c r="V43" s="671">
        <v>20000000</v>
      </c>
      <c r="W43" s="577" t="s">
        <v>2057</v>
      </c>
      <c r="Y43" s="669" t="s">
        <v>295</v>
      </c>
      <c r="Z43" s="670" t="s">
        <v>296</v>
      </c>
      <c r="AA43" s="668">
        <f>V43</f>
        <v>20000000</v>
      </c>
      <c r="AB43" s="671"/>
      <c r="AF43" s="575" t="s">
        <v>2014</v>
      </c>
      <c r="AG43" s="575">
        <f>AJ17</f>
        <v>120</v>
      </c>
    </row>
    <row r="44" spans="4:34" s="575" customFormat="1" ht="18" customHeight="1">
      <c r="D44" s="669"/>
      <c r="E44" s="670"/>
      <c r="F44" s="668"/>
      <c r="G44" s="668"/>
      <c r="H44" s="668"/>
      <c r="I44" s="668"/>
      <c r="J44" s="671"/>
      <c r="K44" s="672"/>
      <c r="L44" s="668"/>
      <c r="M44" s="668"/>
      <c r="N44" s="671"/>
      <c r="O44" s="673"/>
      <c r="P44" s="668"/>
      <c r="Q44" s="668"/>
      <c r="R44" s="674"/>
      <c r="S44" s="672"/>
      <c r="T44" s="876"/>
      <c r="U44" s="668"/>
      <c r="V44" s="671"/>
      <c r="W44" s="577"/>
      <c r="Y44" s="669"/>
      <c r="Z44" s="670"/>
      <c r="AA44" s="668"/>
      <c r="AB44" s="671"/>
    </row>
    <row r="45" spans="4:34" s="575" customFormat="1" ht="18" customHeight="1">
      <c r="D45" s="669">
        <v>113100</v>
      </c>
      <c r="E45" s="670" t="s">
        <v>52</v>
      </c>
      <c r="F45" s="668"/>
      <c r="G45" s="668"/>
      <c r="H45" s="668"/>
      <c r="I45" s="668"/>
      <c r="J45" s="671"/>
      <c r="K45" s="672"/>
      <c r="L45" s="668"/>
      <c r="M45" s="668"/>
      <c r="N45" s="671"/>
      <c r="O45" s="673"/>
      <c r="P45" s="668">
        <v>-23940</v>
      </c>
      <c r="Q45" s="668">
        <v>-23940</v>
      </c>
      <c r="R45" s="674">
        <v>-115980</v>
      </c>
      <c r="S45" s="672">
        <v>-163740</v>
      </c>
      <c r="T45" s="876">
        <v>-48850</v>
      </c>
      <c r="U45" s="668">
        <v>0</v>
      </c>
      <c r="V45" s="671">
        <v>0</v>
      </c>
      <c r="W45" s="577" t="s">
        <v>2188</v>
      </c>
      <c r="Y45" s="679"/>
      <c r="Z45" s="680"/>
      <c r="AA45" s="681"/>
      <c r="AB45" s="682"/>
    </row>
    <row r="46" spans="4:34" s="575" customFormat="1" ht="18" customHeight="1">
      <c r="D46" s="669">
        <v>113101</v>
      </c>
      <c r="E46" s="670" t="s">
        <v>53</v>
      </c>
      <c r="F46" s="668"/>
      <c r="G46" s="668"/>
      <c r="H46" s="668"/>
      <c r="I46" s="668"/>
      <c r="J46" s="671"/>
      <c r="K46" s="672"/>
      <c r="L46" s="668"/>
      <c r="M46" s="668"/>
      <c r="N46" s="671"/>
      <c r="O46" s="673"/>
      <c r="P46" s="668">
        <v>0</v>
      </c>
      <c r="Q46" s="668">
        <v>0</v>
      </c>
      <c r="R46" s="674">
        <v>0</v>
      </c>
      <c r="S46" s="672">
        <v>0</v>
      </c>
      <c r="T46" s="876">
        <v>0</v>
      </c>
      <c r="U46" s="668">
        <v>0</v>
      </c>
      <c r="V46" s="671">
        <v>0</v>
      </c>
      <c r="W46" s="577" t="s">
        <v>2188</v>
      </c>
      <c r="Y46" s="679"/>
      <c r="Z46" s="680"/>
      <c r="AA46" s="681"/>
      <c r="AB46" s="682"/>
    </row>
    <row r="47" spans="4:34" s="575" customFormat="1" ht="18" customHeight="1">
      <c r="D47" s="669">
        <v>113160</v>
      </c>
      <c r="E47" s="670" t="s">
        <v>54</v>
      </c>
      <c r="F47" s="668"/>
      <c r="G47" s="668"/>
      <c r="H47" s="668"/>
      <c r="I47" s="668"/>
      <c r="J47" s="671"/>
      <c r="K47" s="672"/>
      <c r="L47" s="668"/>
      <c r="M47" s="668"/>
      <c r="N47" s="671"/>
      <c r="O47" s="673"/>
      <c r="P47" s="668">
        <v>-1485651</v>
      </c>
      <c r="Q47" s="668">
        <v>-1541874</v>
      </c>
      <c r="R47" s="674">
        <v>-1501163</v>
      </c>
      <c r="S47" s="672">
        <v>-9640</v>
      </c>
      <c r="T47" s="876">
        <v>-223324</v>
      </c>
      <c r="U47" s="668">
        <v>0</v>
      </c>
      <c r="V47" s="671">
        <f>-T_BS!K214</f>
        <v>0</v>
      </c>
      <c r="W47" s="577" t="s">
        <v>2188</v>
      </c>
      <c r="Y47" s="679"/>
      <c r="Z47" s="680"/>
      <c r="AA47" s="681"/>
      <c r="AB47" s="682"/>
    </row>
    <row r="48" spans="4:34" s="575" customFormat="1" ht="18" customHeight="1">
      <c r="D48" s="669">
        <v>113161</v>
      </c>
      <c r="E48" s="670" t="s">
        <v>55</v>
      </c>
      <c r="F48" s="668"/>
      <c r="G48" s="668"/>
      <c r="H48" s="668"/>
      <c r="I48" s="668"/>
      <c r="J48" s="671"/>
      <c r="K48" s="672"/>
      <c r="L48" s="668"/>
      <c r="M48" s="668"/>
      <c r="N48" s="671"/>
      <c r="O48" s="673"/>
      <c r="P48" s="668">
        <v>-944340</v>
      </c>
      <c r="Q48" s="668">
        <v>0</v>
      </c>
      <c r="R48" s="674">
        <v>0</v>
      </c>
      <c r="S48" s="672">
        <v>0</v>
      </c>
      <c r="T48" s="876">
        <v>0</v>
      </c>
      <c r="U48" s="668">
        <v>0</v>
      </c>
      <c r="V48" s="671">
        <v>0</v>
      </c>
      <c r="W48" s="577" t="s">
        <v>2188</v>
      </c>
      <c r="Y48" s="679"/>
      <c r="Z48" s="680"/>
      <c r="AA48" s="681"/>
      <c r="AB48" s="682"/>
    </row>
    <row r="49" spans="4:28" s="575" customFormat="1" ht="18" customHeight="1">
      <c r="D49" s="669">
        <v>221001</v>
      </c>
      <c r="E49" s="670" t="s">
        <v>218</v>
      </c>
      <c r="F49" s="668"/>
      <c r="G49" s="668"/>
      <c r="H49" s="668"/>
      <c r="I49" s="668"/>
      <c r="J49" s="671"/>
      <c r="K49" s="672"/>
      <c r="L49" s="668"/>
      <c r="M49" s="668"/>
      <c r="N49" s="671"/>
      <c r="O49" s="673"/>
      <c r="P49" s="668">
        <v>1509591</v>
      </c>
      <c r="Q49" s="668">
        <v>1565814</v>
      </c>
      <c r="R49" s="674">
        <v>1617143</v>
      </c>
      <c r="S49" s="672">
        <v>173380</v>
      </c>
      <c r="T49" s="876">
        <v>272174</v>
      </c>
      <c r="U49" s="668">
        <v>0</v>
      </c>
      <c r="V49" s="671">
        <f>-V45-V47</f>
        <v>0</v>
      </c>
      <c r="W49" s="577" t="s">
        <v>2188</v>
      </c>
      <c r="Y49" s="679"/>
      <c r="Z49" s="680"/>
      <c r="AA49" s="681"/>
      <c r="AB49" s="682"/>
    </row>
    <row r="50" spans="4:28" ht="18" customHeight="1">
      <c r="D50" s="655">
        <v>221002</v>
      </c>
      <c r="E50" s="572" t="s">
        <v>2056</v>
      </c>
      <c r="F50" s="552"/>
      <c r="G50" s="552"/>
      <c r="H50" s="552"/>
      <c r="I50" s="552"/>
      <c r="J50" s="553"/>
      <c r="K50" s="551"/>
      <c r="L50" s="552"/>
      <c r="M50" s="552"/>
      <c r="N50" s="553"/>
      <c r="O50" s="666"/>
      <c r="P50" s="552">
        <v>944340</v>
      </c>
      <c r="Q50" s="552">
        <v>0</v>
      </c>
      <c r="R50" s="667">
        <v>0</v>
      </c>
      <c r="S50" s="551">
        <v>0</v>
      </c>
      <c r="T50" s="1893">
        <v>0</v>
      </c>
      <c r="U50" s="552">
        <v>0</v>
      </c>
      <c r="V50" s="671">
        <f>-V46-V48</f>
        <v>0</v>
      </c>
      <c r="W50" s="577" t="s">
        <v>2188</v>
      </c>
      <c r="Y50" s="607"/>
      <c r="Z50" s="683"/>
      <c r="AA50" s="609"/>
      <c r="AB50" s="684"/>
    </row>
    <row r="51" spans="4:28" ht="18" customHeight="1" thickBot="1">
      <c r="D51" s="685"/>
      <c r="E51" s="686"/>
      <c r="F51" s="687"/>
      <c r="G51" s="687"/>
      <c r="H51" s="687"/>
      <c r="I51" s="687"/>
      <c r="J51" s="688"/>
      <c r="K51" s="689"/>
      <c r="L51" s="687"/>
      <c r="M51" s="687"/>
      <c r="N51" s="688"/>
      <c r="O51" s="690"/>
      <c r="P51" s="687"/>
      <c r="Q51" s="687"/>
      <c r="R51" s="691"/>
      <c r="S51" s="689"/>
      <c r="T51" s="1897"/>
      <c r="U51" s="687"/>
      <c r="V51" s="1908"/>
      <c r="W51" s="577"/>
      <c r="Y51" s="620"/>
      <c r="Z51" s="692"/>
      <c r="AA51" s="621"/>
      <c r="AB51" s="693"/>
    </row>
  </sheetData>
  <phoneticPr fontId="22" type="noConversion"/>
  <pageMargins left="0.7" right="0.7" top="0.75" bottom="0.75" header="0.3" footer="0.3"/>
  <pageSetup paperSize="9" orientation="portrait" r:id="rId1"/>
  <ignoredErrors>
    <ignoredError sqref="D31:D41 D9:E28 Y8:Z12 Y43:AA44 Y24:Z28 D44 Y29:AA41 D42:D43" numberStoredAsText="1"/>
    <ignoredError sqref="J7:J14" formulaRange="1"/>
    <ignoredError sqref="V11 V18:V19" formula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2">
    <tabColor rgb="FFFFFF00"/>
  </sheetPr>
  <dimension ref="D4:V38"/>
  <sheetViews>
    <sheetView showGridLines="0" zoomScale="90" zoomScaleNormal="90" workbookViewId="0">
      <pane xSplit="5" ySplit="5" topLeftCell="P6" activePane="bottomRight" state="frozen"/>
      <selection activeCell="V34" sqref="V34"/>
      <selection pane="topRight" activeCell="V34" sqref="V34"/>
      <selection pane="bottomLeft" activeCell="V34" sqref="V34"/>
      <selection pane="bottomRight" activeCell="V13" sqref="V13"/>
    </sheetView>
  </sheetViews>
  <sheetFormatPr defaultColWidth="8.75" defaultRowHeight="12" outlineLevelCol="1"/>
  <cols>
    <col min="1" max="3" width="2.375" style="498" customWidth="1"/>
    <col min="4" max="4" width="28.375" style="498" customWidth="1"/>
    <col min="5" max="5" width="38.75" style="498" bestFit="1" customWidth="1"/>
    <col min="6" max="6" width="20.375" style="498" hidden="1" customWidth="1"/>
    <col min="7" max="10" width="20.375" style="498" hidden="1" customWidth="1" outlineLevel="1"/>
    <col min="11" max="14" width="17.625" style="498" hidden="1" customWidth="1" outlineLevel="1"/>
    <col min="15" max="15" width="16.625" style="498" customWidth="1" collapsed="1"/>
    <col min="16" max="22" width="16.625" style="498" customWidth="1"/>
    <col min="23" max="28" width="20.375" style="498" customWidth="1"/>
    <col min="29" max="16384" width="8.75" style="498"/>
  </cols>
  <sheetData>
    <row r="4" spans="4:22" s="494" customFormat="1" ht="18" customHeight="1" thickBot="1">
      <c r="F4" s="540" t="e">
        <f t="shared" ref="F4:Q4" si="0">SUM(F7:F25)=0</f>
        <v>#REF!</v>
      </c>
      <c r="G4" s="540" t="b">
        <f t="shared" si="0"/>
        <v>1</v>
      </c>
      <c r="H4" s="540" t="b">
        <f t="shared" si="0"/>
        <v>1</v>
      </c>
      <c r="I4" s="540" t="b">
        <f t="shared" si="0"/>
        <v>1</v>
      </c>
      <c r="J4" s="540" t="b">
        <f t="shared" si="0"/>
        <v>1</v>
      </c>
      <c r="K4" s="540" t="b">
        <f t="shared" si="0"/>
        <v>1</v>
      </c>
      <c r="L4" s="540" t="b">
        <f t="shared" si="0"/>
        <v>1</v>
      </c>
      <c r="M4" s="540" t="b">
        <f t="shared" si="0"/>
        <v>1</v>
      </c>
      <c r="N4" s="540" t="b">
        <f t="shared" si="0"/>
        <v>1</v>
      </c>
      <c r="O4" s="540" t="b">
        <f t="shared" si="0"/>
        <v>1</v>
      </c>
      <c r="P4" s="540" t="b">
        <f t="shared" si="0"/>
        <v>1</v>
      </c>
      <c r="Q4" s="540" t="b">
        <f t="shared" si="0"/>
        <v>1</v>
      </c>
      <c r="R4" s="540" t="b">
        <f>SUM(R6:R24)=0</f>
        <v>1</v>
      </c>
      <c r="S4" s="540" t="b">
        <f>SUM(S6:S24)=0</f>
        <v>1</v>
      </c>
      <c r="T4" s="540" t="b">
        <f>SUM(T6:T24)=0</f>
        <v>1</v>
      </c>
      <c r="U4" s="540" t="b">
        <f>SUM(U6:U24)=0</f>
        <v>1</v>
      </c>
      <c r="V4" s="540" t="b">
        <f>SUM(V6:V24)=0</f>
        <v>1</v>
      </c>
    </row>
    <row r="5" spans="4:22" ht="18" customHeight="1">
      <c r="D5" s="595" t="s">
        <v>16</v>
      </c>
      <c r="E5" s="596" t="s">
        <v>19</v>
      </c>
      <c r="F5" s="596" t="s">
        <v>2367</v>
      </c>
      <c r="G5" s="596" t="s">
        <v>2357</v>
      </c>
      <c r="H5" s="596" t="s">
        <v>2358</v>
      </c>
      <c r="I5" s="596" t="s">
        <v>2359</v>
      </c>
      <c r="J5" s="597" t="s">
        <v>2338</v>
      </c>
      <c r="K5" s="598" t="s">
        <v>2479</v>
      </c>
      <c r="L5" s="599" t="s">
        <v>2475</v>
      </c>
      <c r="M5" s="600" t="s">
        <v>2480</v>
      </c>
      <c r="N5" s="601" t="s">
        <v>2481</v>
      </c>
      <c r="O5" s="602" t="s">
        <v>2482</v>
      </c>
      <c r="P5" s="603" t="s">
        <v>2472</v>
      </c>
      <c r="Q5" s="603" t="s">
        <v>2483</v>
      </c>
      <c r="R5" s="604" t="s">
        <v>2484</v>
      </c>
      <c r="S5" s="605" t="s">
        <v>2574</v>
      </c>
      <c r="T5" s="598" t="s">
        <v>2812</v>
      </c>
      <c r="U5" s="604" t="s">
        <v>2898</v>
      </c>
      <c r="V5" s="2045" t="str">
        <f>'6.0'!V5</f>
        <v>FY2022.Q4</v>
      </c>
    </row>
    <row r="6" spans="4:22" ht="18" customHeight="1">
      <c r="D6" s="607" t="s">
        <v>82</v>
      </c>
      <c r="E6" s="608" t="s">
        <v>2369</v>
      </c>
      <c r="F6" s="609"/>
      <c r="G6" s="609"/>
      <c r="H6" s="609"/>
      <c r="I6" s="609"/>
      <c r="J6" s="610"/>
      <c r="K6" s="611"/>
      <c r="L6" s="612"/>
      <c r="M6" s="613"/>
      <c r="N6" s="614"/>
      <c r="O6" s="615"/>
      <c r="P6" s="616"/>
      <c r="Q6" s="616"/>
      <c r="R6" s="617">
        <v>24157280</v>
      </c>
      <c r="S6" s="618">
        <v>24859744</v>
      </c>
      <c r="T6" s="611">
        <v>1022027213</v>
      </c>
      <c r="U6" s="617">
        <v>678306860</v>
      </c>
      <c r="V6" s="2046">
        <f>-SUM(V7:V13)+R6</f>
        <v>-182737552</v>
      </c>
    </row>
    <row r="7" spans="4:22" ht="18" customHeight="1">
      <c r="D7" s="1820" t="s">
        <v>2368</v>
      </c>
      <c r="E7" s="608" t="s">
        <v>2679</v>
      </c>
      <c r="F7" s="609">
        <v>0</v>
      </c>
      <c r="G7" s="609"/>
      <c r="H7" s="609"/>
      <c r="I7" s="609"/>
      <c r="J7" s="610"/>
      <c r="K7" s="611"/>
      <c r="L7" s="612"/>
      <c r="M7" s="613"/>
      <c r="N7" s="614"/>
      <c r="O7" s="615"/>
      <c r="P7" s="616"/>
      <c r="Q7" s="616"/>
      <c r="R7" s="617">
        <v>-24157280</v>
      </c>
      <c r="S7" s="618">
        <v>-702464</v>
      </c>
      <c r="T7" s="611">
        <v>49566051</v>
      </c>
      <c r="U7" s="617">
        <v>51271898</v>
      </c>
      <c r="V7" s="2046">
        <v>8562740</v>
      </c>
    </row>
    <row r="8" spans="4:22" ht="18" customHeight="1">
      <c r="D8" s="1820" t="s">
        <v>373</v>
      </c>
      <c r="E8" s="608" t="s">
        <v>2684</v>
      </c>
      <c r="F8" s="609">
        <v>0</v>
      </c>
      <c r="G8" s="609"/>
      <c r="H8" s="609"/>
      <c r="I8" s="609"/>
      <c r="J8" s="610"/>
      <c r="K8" s="611"/>
      <c r="L8" s="612"/>
      <c r="M8" s="613"/>
      <c r="N8" s="614"/>
      <c r="O8" s="615"/>
      <c r="P8" s="616"/>
      <c r="Q8" s="616"/>
      <c r="R8" s="617"/>
      <c r="S8" s="618"/>
      <c r="T8" s="611">
        <v>-493375842</v>
      </c>
      <c r="U8" s="617">
        <v>-493375842</v>
      </c>
      <c r="V8" s="2046">
        <v>0</v>
      </c>
    </row>
    <row r="9" spans="4:22" ht="18" customHeight="1">
      <c r="D9" s="1820" t="s">
        <v>371</v>
      </c>
      <c r="E9" s="608" t="s">
        <v>2680</v>
      </c>
      <c r="F9" s="609"/>
      <c r="G9" s="609"/>
      <c r="H9" s="609"/>
      <c r="I9" s="609"/>
      <c r="J9" s="610"/>
      <c r="K9" s="611"/>
      <c r="L9" s="612"/>
      <c r="M9" s="613"/>
      <c r="N9" s="614"/>
      <c r="O9" s="615"/>
      <c r="P9" s="616"/>
      <c r="Q9" s="616"/>
      <c r="R9" s="617"/>
      <c r="S9" s="618"/>
      <c r="T9" s="611">
        <v>303960513</v>
      </c>
      <c r="U9" s="617">
        <v>522815587</v>
      </c>
      <c r="V9" s="2046">
        <v>0</v>
      </c>
    </row>
    <row r="10" spans="4:22" ht="18" customHeight="1">
      <c r="D10" s="1820" t="s">
        <v>373</v>
      </c>
      <c r="E10" s="608" t="s">
        <v>2683</v>
      </c>
      <c r="F10" s="609"/>
      <c r="G10" s="609"/>
      <c r="H10" s="609"/>
      <c r="I10" s="609"/>
      <c r="J10" s="610"/>
      <c r="K10" s="611"/>
      <c r="L10" s="612"/>
      <c r="M10" s="613"/>
      <c r="N10" s="614"/>
      <c r="O10" s="615"/>
      <c r="P10" s="616"/>
      <c r="Q10" s="616"/>
      <c r="R10" s="617"/>
      <c r="S10" s="618"/>
      <c r="T10" s="611">
        <v>-926184068</v>
      </c>
      <c r="U10" s="617">
        <v>-926184068</v>
      </c>
      <c r="V10" s="2046">
        <v>0</v>
      </c>
    </row>
    <row r="11" spans="4:22" ht="18" customHeight="1">
      <c r="D11" s="1820" t="s">
        <v>371</v>
      </c>
      <c r="E11" s="608" t="s">
        <v>2681</v>
      </c>
      <c r="F11" s="609"/>
      <c r="G11" s="609"/>
      <c r="H11" s="609"/>
      <c r="I11" s="609"/>
      <c r="J11" s="610"/>
      <c r="K11" s="611"/>
      <c r="L11" s="612"/>
      <c r="M11" s="613"/>
      <c r="N11" s="614"/>
      <c r="O11" s="615"/>
      <c r="P11" s="616"/>
      <c r="Q11" s="616"/>
      <c r="R11" s="617"/>
      <c r="S11" s="618"/>
      <c r="T11" s="611">
        <v>64818110</v>
      </c>
      <c r="U11" s="617">
        <v>192466368</v>
      </c>
      <c r="V11" s="2079">
        <v>192466368</v>
      </c>
    </row>
    <row r="12" spans="4:22" ht="18" customHeight="1">
      <c r="D12" s="1820" t="s">
        <v>373</v>
      </c>
      <c r="E12" s="608" t="s">
        <v>2682</v>
      </c>
      <c r="F12" s="609"/>
      <c r="G12" s="609"/>
      <c r="H12" s="609"/>
      <c r="I12" s="609"/>
      <c r="J12" s="610"/>
      <c r="K12" s="611"/>
      <c r="L12" s="612"/>
      <c r="M12" s="613"/>
      <c r="N12" s="614"/>
      <c r="O12" s="615"/>
      <c r="P12" s="616"/>
      <c r="Q12" s="616"/>
      <c r="R12" s="617"/>
      <c r="S12" s="618"/>
      <c r="T12" s="611">
        <v>5865724</v>
      </c>
      <c r="U12" s="617">
        <v>5865724</v>
      </c>
      <c r="V12" s="2046">
        <v>5865724</v>
      </c>
    </row>
    <row r="13" spans="4:22" ht="18" customHeight="1">
      <c r="D13" s="607" t="s">
        <v>1350</v>
      </c>
      <c r="E13" s="608" t="s">
        <v>200</v>
      </c>
      <c r="F13" s="609"/>
      <c r="G13" s="609"/>
      <c r="H13" s="609"/>
      <c r="I13" s="609"/>
      <c r="J13" s="610"/>
      <c r="K13" s="611"/>
      <c r="L13" s="612"/>
      <c r="M13" s="613"/>
      <c r="N13" s="614"/>
      <c r="O13" s="615"/>
      <c r="P13" s="616"/>
      <c r="Q13" s="616"/>
      <c r="R13" s="617"/>
      <c r="S13" s="618"/>
      <c r="T13" s="611">
        <v>-2520421</v>
      </c>
      <c r="U13" s="617">
        <v>-7009247</v>
      </c>
      <c r="V13" s="2046">
        <v>0</v>
      </c>
    </row>
    <row r="14" spans="4:22" ht="18" customHeight="1">
      <c r="D14" s="607" t="s">
        <v>1354</v>
      </c>
      <c r="E14" s="608" t="s">
        <v>207</v>
      </c>
      <c r="F14" s="609" t="e">
        <f>-#REF!</f>
        <v>#REF!</v>
      </c>
      <c r="G14" s="609"/>
      <c r="H14" s="609"/>
      <c r="I14" s="609"/>
      <c r="J14" s="610"/>
      <c r="K14" s="611"/>
      <c r="L14" s="612"/>
      <c r="M14" s="613"/>
      <c r="N14" s="614"/>
      <c r="O14" s="615"/>
      <c r="P14" s="616"/>
      <c r="Q14" s="616"/>
      <c r="R14" s="617"/>
      <c r="S14" s="618">
        <v>-24157280</v>
      </c>
      <c r="T14" s="611">
        <v>-24157280</v>
      </c>
      <c r="U14" s="617">
        <v>-24157280</v>
      </c>
      <c r="V14" s="2046">
        <f>-R6</f>
        <v>-24157280</v>
      </c>
    </row>
    <row r="15" spans="4:22" ht="18" customHeight="1">
      <c r="D15" s="607" t="s">
        <v>1355</v>
      </c>
      <c r="E15" s="609" t="s">
        <v>209</v>
      </c>
      <c r="F15" s="609" t="e">
        <f>#REF!</f>
        <v>#REF!</v>
      </c>
      <c r="G15" s="609"/>
      <c r="H15" s="609"/>
      <c r="I15" s="609"/>
      <c r="J15" s="610"/>
      <c r="K15" s="611"/>
      <c r="L15" s="612"/>
      <c r="M15" s="613"/>
      <c r="N15" s="614"/>
      <c r="O15" s="615"/>
      <c r="P15" s="616"/>
      <c r="Q15" s="616"/>
      <c r="R15" s="617"/>
      <c r="S15" s="618"/>
      <c r="T15" s="611"/>
      <c r="U15" s="617"/>
      <c r="V15" s="2046"/>
    </row>
    <row r="16" spans="4:22" ht="18" customHeight="1" thickBot="1">
      <c r="D16" s="620" t="s">
        <v>478</v>
      </c>
      <c r="E16" s="621" t="s">
        <v>553</v>
      </c>
      <c r="F16" s="621" t="e">
        <f>-F15</f>
        <v>#REF!</v>
      </c>
      <c r="G16" s="621"/>
      <c r="H16" s="621"/>
      <c r="I16" s="621"/>
      <c r="J16" s="622"/>
      <c r="K16" s="623"/>
      <c r="L16" s="624"/>
      <c r="M16" s="625"/>
      <c r="N16" s="626"/>
      <c r="O16" s="627"/>
      <c r="P16" s="628"/>
      <c r="Q16" s="628"/>
      <c r="R16" s="629"/>
      <c r="S16" s="630"/>
      <c r="T16" s="623"/>
      <c r="U16" s="629"/>
      <c r="V16" s="2047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phoneticPr fontId="22" type="noConversion"/>
  <pageMargins left="0.7" right="0.7" top="0.75" bottom="0.75" header="0.3" footer="0.3"/>
  <pageSetup paperSize="9" orientation="portrait" r:id="rId1"/>
  <ignoredErrors>
    <ignoredError sqref="D13:D19 D6" numberStoredAsText="1"/>
    <ignoredError sqref="F15" formula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4">
    <tabColor rgb="FFFFFF00"/>
  </sheetPr>
  <dimension ref="C2:O32"/>
  <sheetViews>
    <sheetView showGridLines="0" zoomScale="80" zoomScaleNormal="80" workbookViewId="0">
      <selection activeCell="J31" sqref="J31"/>
    </sheetView>
  </sheetViews>
  <sheetFormatPr defaultColWidth="8.75" defaultRowHeight="18" customHeight="1"/>
  <cols>
    <col min="1" max="2" width="2.375" style="498" customWidth="1"/>
    <col min="3" max="3" width="3.625" style="498" customWidth="1"/>
    <col min="4" max="4" width="20.375" style="565" customWidth="1"/>
    <col min="5" max="5" width="25.625" style="498" bestFit="1" customWidth="1"/>
    <col min="6" max="11" width="17.625" style="498" customWidth="1"/>
    <col min="12" max="12" width="2.375" style="498" customWidth="1"/>
    <col min="13" max="13" width="17.625" style="498" customWidth="1"/>
    <col min="14" max="14" width="16.25" style="498" bestFit="1" customWidth="1"/>
    <col min="15" max="20" width="20.375" style="498" customWidth="1"/>
    <col min="21" max="16384" width="8.75" style="498"/>
  </cols>
  <sheetData>
    <row r="2" spans="4:15" ht="18" customHeight="1">
      <c r="H2" s="509">
        <f>G2-F2</f>
        <v>0</v>
      </c>
    </row>
    <row r="3" spans="4:15" ht="18" customHeight="1" thickBot="1"/>
    <row r="4" spans="4:15" ht="18" customHeight="1">
      <c r="D4" s="567" t="s">
        <v>16</v>
      </c>
      <c r="E4" s="568" t="s">
        <v>19</v>
      </c>
      <c r="F4" s="568" t="s">
        <v>493</v>
      </c>
      <c r="G4" s="568" t="s">
        <v>494</v>
      </c>
      <c r="H4" s="568" t="s">
        <v>495</v>
      </c>
      <c r="I4" s="568" t="s">
        <v>477</v>
      </c>
      <c r="J4" s="568" t="s">
        <v>496</v>
      </c>
      <c r="K4" s="569" t="s">
        <v>497</v>
      </c>
      <c r="L4" s="494"/>
      <c r="M4" s="570" t="s">
        <v>1856</v>
      </c>
      <c r="N4" s="566"/>
    </row>
    <row r="5" spans="4:15" ht="18" customHeight="1">
      <c r="D5" s="571">
        <v>900019</v>
      </c>
      <c r="E5" s="572" t="s">
        <v>81</v>
      </c>
      <c r="F5" s="556">
        <v>75897896695</v>
      </c>
      <c r="G5" s="556">
        <f>SUM(J5:K5)</f>
        <v>0</v>
      </c>
      <c r="H5" s="509">
        <f t="shared" ref="H5:H25" si="0">G5-F5</f>
        <v>-75897896695</v>
      </c>
      <c r="I5" s="556"/>
      <c r="J5" s="573">
        <v>0</v>
      </c>
      <c r="K5" s="574">
        <v>0</v>
      </c>
      <c r="L5" s="575"/>
      <c r="M5" s="576">
        <f>SUMIF(T_BS!$D:$D,'8.0'!D5,T_BS!X:X)</f>
        <v>0</v>
      </c>
      <c r="N5" s="577"/>
      <c r="O5" s="575"/>
    </row>
    <row r="6" spans="4:15" ht="18" customHeight="1">
      <c r="D6" s="571" t="s">
        <v>1831</v>
      </c>
      <c r="E6" s="572" t="s">
        <v>1832</v>
      </c>
      <c r="F6" s="578">
        <v>-67022408107</v>
      </c>
      <c r="G6" s="578">
        <f>SUM(J6:K6)</f>
        <v>0</v>
      </c>
      <c r="H6" s="578">
        <f t="shared" si="0"/>
        <v>67022408107</v>
      </c>
      <c r="I6" s="578"/>
      <c r="J6" s="579">
        <v>0</v>
      </c>
      <c r="K6" s="574"/>
      <c r="L6" s="575"/>
      <c r="M6" s="576">
        <f>SUMIF(T_BS!$D:$D,'8.0'!D6,T_BS!X:X)</f>
        <v>0</v>
      </c>
      <c r="N6" s="577"/>
      <c r="O6" s="575"/>
    </row>
    <row r="7" spans="4:15" ht="18" customHeight="1">
      <c r="D7" s="571" t="s">
        <v>128</v>
      </c>
      <c r="E7" s="580" t="s">
        <v>129</v>
      </c>
      <c r="F7" s="578"/>
      <c r="G7" s="578">
        <f>'스튜디오돌핀(취득일BS)'!L4</f>
        <v>1464530117</v>
      </c>
      <c r="H7" s="578">
        <f t="shared" si="0"/>
        <v>1464530117</v>
      </c>
      <c r="I7" s="578"/>
      <c r="J7" s="579"/>
      <c r="K7" s="574"/>
      <c r="L7" s="575"/>
      <c r="M7" s="576"/>
      <c r="N7" s="577" t="s">
        <v>2187</v>
      </c>
      <c r="O7" s="575"/>
    </row>
    <row r="8" spans="4:15" ht="18" customHeight="1">
      <c r="D8" s="571">
        <v>310100</v>
      </c>
      <c r="E8" s="572" t="s">
        <v>190</v>
      </c>
      <c r="F8" s="578">
        <v>-65966337500</v>
      </c>
      <c r="G8" s="578">
        <f t="shared" ref="G8:G25" si="1">SUM(J8:K8)</f>
        <v>-28429923500</v>
      </c>
      <c r="H8" s="578">
        <f t="shared" si="0"/>
        <v>37536414000</v>
      </c>
      <c r="I8" s="578"/>
      <c r="J8" s="579">
        <f>-T_BS!H234</f>
        <v>-28429923500</v>
      </c>
      <c r="K8" s="574"/>
      <c r="L8" s="575"/>
      <c r="M8" s="576">
        <f>-SUMIF(T_BS!$D:$D,'8.0'!D8,T_BS!X:X)</f>
        <v>-28429923500</v>
      </c>
      <c r="N8" s="577"/>
      <c r="O8" s="575"/>
    </row>
    <row r="9" spans="4:15" ht="18" customHeight="1">
      <c r="D9" s="2080">
        <v>310300</v>
      </c>
      <c r="E9" s="2072" t="s">
        <v>2914</v>
      </c>
      <c r="F9" s="2081">
        <v>-9380863000</v>
      </c>
      <c r="G9" s="2081">
        <v>-9380863000</v>
      </c>
      <c r="H9" s="2081">
        <f t="shared" si="0"/>
        <v>0</v>
      </c>
      <c r="I9" s="2081"/>
      <c r="J9" s="2081">
        <v>-9380863000</v>
      </c>
      <c r="K9" s="2082"/>
      <c r="L9" s="575"/>
      <c r="M9" s="2083">
        <f>-SUMIF(T_BS!$D:$D,'8.0'!D9,T_BS!X:X)</f>
        <v>-9380863000</v>
      </c>
      <c r="N9" s="577"/>
      <c r="O9" s="575"/>
    </row>
    <row r="10" spans="4:15" ht="18" customHeight="1">
      <c r="D10" s="571">
        <v>320100</v>
      </c>
      <c r="E10" s="572" t="s">
        <v>191</v>
      </c>
      <c r="F10" s="578">
        <v>-111620539814</v>
      </c>
      <c r="G10" s="578">
        <f t="shared" si="1"/>
        <v>-109628063914</v>
      </c>
      <c r="H10" s="578">
        <f t="shared" si="0"/>
        <v>1992475900</v>
      </c>
      <c r="I10" s="578"/>
      <c r="J10" s="579">
        <v>-109628063914</v>
      </c>
      <c r="K10" s="574"/>
      <c r="L10" s="575"/>
      <c r="M10" s="576">
        <f>-SUMIF(T_BS!$D:$D,'8.0'!D10,T_BS!X:X)</f>
        <v>-59065212344</v>
      </c>
      <c r="O10" s="577"/>
    </row>
    <row r="11" spans="4:15" ht="18" customHeight="1">
      <c r="D11" s="571">
        <v>320500</v>
      </c>
      <c r="E11" s="572" t="s">
        <v>192</v>
      </c>
      <c r="F11" s="578">
        <v>0</v>
      </c>
      <c r="G11" s="578">
        <f t="shared" si="1"/>
        <v>0</v>
      </c>
      <c r="H11" s="578">
        <f t="shared" si="0"/>
        <v>0</v>
      </c>
      <c r="I11" s="578"/>
      <c r="J11" s="579">
        <f>-T_BS!H239</f>
        <v>0</v>
      </c>
      <c r="K11" s="574"/>
      <c r="L11" s="575"/>
      <c r="M11" s="576">
        <f>-SUMIF(T_BS!$D:$D,'8.0'!D11,T_BS!X:X)</f>
        <v>0</v>
      </c>
      <c r="N11" s="577"/>
      <c r="O11" s="575"/>
    </row>
    <row r="12" spans="4:15" ht="18" customHeight="1">
      <c r="D12" s="571">
        <v>320300</v>
      </c>
      <c r="E12" s="572" t="s">
        <v>193</v>
      </c>
      <c r="F12" s="579">
        <v>-1076616039</v>
      </c>
      <c r="G12" s="579">
        <v>-1076616039</v>
      </c>
      <c r="H12" s="579">
        <f t="shared" si="0"/>
        <v>0</v>
      </c>
      <c r="I12" s="578"/>
      <c r="J12" s="579">
        <v>-1076616039</v>
      </c>
      <c r="K12" s="574"/>
      <c r="L12" s="575"/>
      <c r="M12" s="576">
        <f>-SUMIF(T_BS!$D:$D,'8.0'!D12,T_BS!X:X)</f>
        <v>-1076616039</v>
      </c>
      <c r="N12" s="577"/>
      <c r="O12" s="575"/>
    </row>
    <row r="13" spans="4:15" ht="18" customHeight="1">
      <c r="D13" s="571">
        <v>350300</v>
      </c>
      <c r="E13" s="572" t="s">
        <v>195</v>
      </c>
      <c r="F13" s="579">
        <v>0</v>
      </c>
      <c r="G13" s="579">
        <f t="shared" si="1"/>
        <v>0</v>
      </c>
      <c r="H13" s="579">
        <f t="shared" si="0"/>
        <v>0</v>
      </c>
      <c r="I13" s="578"/>
      <c r="J13" s="579">
        <f>-T_BS!H242</f>
        <v>0</v>
      </c>
      <c r="K13" s="574"/>
      <c r="L13" s="575"/>
      <c r="M13" s="576">
        <f>-SUMIF(T_BS!$D:$D,'8.0'!D13,T_BS!X:X)</f>
        <v>0</v>
      </c>
      <c r="N13" s="577"/>
      <c r="O13" s="575"/>
    </row>
    <row r="14" spans="4:15" ht="18" customHeight="1">
      <c r="D14" s="571">
        <v>350350</v>
      </c>
      <c r="E14" s="572" t="s">
        <v>196</v>
      </c>
      <c r="F14" s="579">
        <v>1293810742</v>
      </c>
      <c r="G14" s="579">
        <f t="shared" si="1"/>
        <v>1293810742</v>
      </c>
      <c r="H14" s="579">
        <f t="shared" si="0"/>
        <v>0</v>
      </c>
      <c r="I14" s="578"/>
      <c r="J14" s="579">
        <f>-T_BS!H243</f>
        <v>1293810742</v>
      </c>
      <c r="K14" s="574"/>
      <c r="L14" s="575"/>
      <c r="M14" s="576">
        <f>-SUMIF(T_BS!$D:$D,'8.0'!D14,T_BS!X:X)</f>
        <v>1293810742</v>
      </c>
      <c r="N14" s="577"/>
    </row>
    <row r="15" spans="4:15" ht="18" customHeight="1">
      <c r="D15" s="571" t="s">
        <v>1347</v>
      </c>
      <c r="E15" s="572" t="s">
        <v>225</v>
      </c>
      <c r="F15" s="579">
        <v>0</v>
      </c>
      <c r="G15" s="579">
        <f t="shared" si="1"/>
        <v>0</v>
      </c>
      <c r="H15" s="579">
        <f t="shared" si="0"/>
        <v>0</v>
      </c>
      <c r="I15" s="578"/>
      <c r="J15" s="579">
        <f>-T_BS!H244</f>
        <v>0</v>
      </c>
      <c r="K15" s="574"/>
      <c r="L15" s="575"/>
      <c r="M15" s="576">
        <f>-SUMIF(T_BS!$D:$D,'8.0'!D15,T_BS!X:X)</f>
        <v>0</v>
      </c>
      <c r="N15" s="577"/>
      <c r="O15" s="575"/>
    </row>
    <row r="16" spans="4:15" ht="18" customHeight="1">
      <c r="D16" s="571">
        <v>350400</v>
      </c>
      <c r="E16" s="572" t="s">
        <v>197</v>
      </c>
      <c r="F16" s="579">
        <v>-1083527473</v>
      </c>
      <c r="G16" s="579">
        <f>SUM(J16:K16)</f>
        <v>-1083527473</v>
      </c>
      <c r="H16" s="579">
        <f t="shared" si="0"/>
        <v>0</v>
      </c>
      <c r="I16" s="578"/>
      <c r="J16" s="579">
        <f>-T_BS!H245</f>
        <v>-1083527473</v>
      </c>
      <c r="K16" s="574"/>
      <c r="L16" s="575"/>
      <c r="M16" s="576">
        <f>-SUMIF(T_BS!$D:$D,'8.0'!D16,T_BS!X:X)</f>
        <v>-1083527473</v>
      </c>
      <c r="N16" s="577"/>
      <c r="O16" s="575"/>
    </row>
    <row r="17" spans="3:15" ht="18" customHeight="1">
      <c r="C17" s="494" t="s">
        <v>556</v>
      </c>
      <c r="D17" s="571">
        <v>350210</v>
      </c>
      <c r="E17" s="572" t="s">
        <v>198</v>
      </c>
      <c r="F17" s="579">
        <v>8498363093</v>
      </c>
      <c r="G17" s="579">
        <f t="shared" si="1"/>
        <v>2731869088</v>
      </c>
      <c r="H17" s="579">
        <f t="shared" si="0"/>
        <v>-5766494005</v>
      </c>
      <c r="I17" s="578"/>
      <c r="J17" s="579">
        <f>-E31</f>
        <v>2731869088</v>
      </c>
      <c r="K17" s="574"/>
      <c r="L17" s="575"/>
      <c r="M17" s="576">
        <f>-SUMIF(T_BS!$D:$D,'8.0'!D17,T_BS!X:X)</f>
        <v>2731869088</v>
      </c>
      <c r="N17" s="577"/>
      <c r="O17" s="575"/>
    </row>
    <row r="18" spans="3:15" ht="18" customHeight="1">
      <c r="D18" s="571" t="s">
        <v>1350</v>
      </c>
      <c r="E18" s="572" t="s">
        <v>200</v>
      </c>
      <c r="F18" s="579">
        <v>0</v>
      </c>
      <c r="G18" s="579">
        <v>0</v>
      </c>
      <c r="H18" s="579">
        <f t="shared" si="0"/>
        <v>0</v>
      </c>
      <c r="I18" s="578"/>
      <c r="J18" s="579">
        <v>0</v>
      </c>
      <c r="K18" s="574"/>
      <c r="L18" s="575"/>
      <c r="M18" s="576">
        <f>-SUMIF(T_BS!$D:$D,'8.0'!D18,T_BS!X:X)</f>
        <v>0</v>
      </c>
      <c r="N18" s="577"/>
      <c r="O18" s="575"/>
    </row>
    <row r="19" spans="3:15" ht="18" customHeight="1">
      <c r="D19" s="571" t="s">
        <v>1351</v>
      </c>
      <c r="E19" s="572" t="s">
        <v>202</v>
      </c>
      <c r="F19" s="579">
        <v>0</v>
      </c>
      <c r="G19" s="579">
        <f t="shared" si="1"/>
        <v>0</v>
      </c>
      <c r="H19" s="579">
        <f t="shared" si="0"/>
        <v>0</v>
      </c>
      <c r="I19" s="578"/>
      <c r="J19" s="579">
        <v>0</v>
      </c>
      <c r="K19" s="574"/>
      <c r="L19" s="575"/>
      <c r="M19" s="576">
        <f>-SUMIF(T_BS!$D:$D,'8.0'!D19,T_BS!X:X)</f>
        <v>0</v>
      </c>
      <c r="N19" s="577"/>
      <c r="O19" s="575"/>
    </row>
    <row r="20" spans="3:15" ht="18" customHeight="1">
      <c r="D20" s="571" t="s">
        <v>1352</v>
      </c>
      <c r="E20" s="572" t="s">
        <v>1348</v>
      </c>
      <c r="F20" s="579">
        <v>-1562362870</v>
      </c>
      <c r="G20" s="579">
        <f t="shared" si="1"/>
        <v>-1832663423</v>
      </c>
      <c r="H20" s="579">
        <f t="shared" si="0"/>
        <v>-270300553</v>
      </c>
      <c r="I20" s="578"/>
      <c r="J20" s="579">
        <v>-2268616162</v>
      </c>
      <c r="K20" s="574">
        <f>-OCI!X12</f>
        <v>435952739</v>
      </c>
      <c r="L20" s="575"/>
      <c r="M20" s="576">
        <f>-SUMIF(T_BS!$D:$D,'8.0'!D20,T_BS!X:X)</f>
        <v>-1832663423</v>
      </c>
      <c r="N20" s="577" t="s">
        <v>1820</v>
      </c>
      <c r="O20" s="575" t="s">
        <v>1821</v>
      </c>
    </row>
    <row r="21" spans="3:15" ht="18" customHeight="1">
      <c r="D21" s="571" t="s">
        <v>1353</v>
      </c>
      <c r="E21" s="572" t="s">
        <v>1349</v>
      </c>
      <c r="F21" s="579">
        <v>0</v>
      </c>
      <c r="G21" s="579">
        <v>0</v>
      </c>
      <c r="H21" s="579">
        <f t="shared" si="0"/>
        <v>0</v>
      </c>
      <c r="I21" s="578"/>
      <c r="J21" s="579"/>
      <c r="K21" s="574"/>
      <c r="L21" s="575"/>
      <c r="M21" s="576">
        <f>-SUMIF(T_BS!$D:$D,'8.0'!D21,T_BS!X:X)</f>
        <v>0</v>
      </c>
      <c r="N21" s="577"/>
      <c r="O21" s="575"/>
    </row>
    <row r="22" spans="3:15" ht="18" customHeight="1">
      <c r="D22" s="571">
        <v>350951</v>
      </c>
      <c r="E22" s="572" t="s">
        <v>205</v>
      </c>
      <c r="F22" s="579">
        <v>-2586305230</v>
      </c>
      <c r="G22" s="579">
        <v>-2586305230</v>
      </c>
      <c r="H22" s="579">
        <f t="shared" si="0"/>
        <v>0</v>
      </c>
      <c r="I22" s="578"/>
      <c r="J22" s="579">
        <v>1212634443</v>
      </c>
      <c r="K22" s="574">
        <f>-OCI!AE12</f>
        <v>-1963915128</v>
      </c>
      <c r="L22" s="575"/>
      <c r="M22" s="576">
        <f>-SUMIF(T_BS!$D:$D,'8.0'!D22,T_BS!X:X)</f>
        <v>-2586305230</v>
      </c>
      <c r="N22" s="577" t="s">
        <v>1820</v>
      </c>
      <c r="O22" s="575" t="s">
        <v>1821</v>
      </c>
    </row>
    <row r="23" spans="3:15" ht="18" customHeight="1">
      <c r="D23" s="571">
        <v>340100</v>
      </c>
      <c r="E23" s="572" t="s">
        <v>207</v>
      </c>
      <c r="F23" s="578">
        <v>34991157865</v>
      </c>
      <c r="G23" s="578">
        <f t="shared" si="1"/>
        <v>8910020994</v>
      </c>
      <c r="H23" s="578">
        <f t="shared" si="0"/>
        <v>-26081136871</v>
      </c>
      <c r="I23" s="578"/>
      <c r="J23" s="581">
        <v>8910020994</v>
      </c>
      <c r="K23" s="574"/>
      <c r="L23" s="575"/>
      <c r="M23" s="576">
        <f>-SUMIF(T_BS!$D:$D,'8.0'!D23,T_BS!X:X)</f>
        <v>8910020994</v>
      </c>
      <c r="N23" s="577"/>
      <c r="O23" s="575"/>
    </row>
    <row r="24" spans="3:15" ht="18" customHeight="1">
      <c r="D24" s="571" t="s">
        <v>1355</v>
      </c>
      <c r="E24" s="572" t="s">
        <v>209</v>
      </c>
      <c r="F24" s="578">
        <v>-29236497101</v>
      </c>
      <c r="G24" s="578">
        <f t="shared" si="1"/>
        <v>-29236497101</v>
      </c>
      <c r="H24" s="578">
        <f t="shared" si="0"/>
        <v>0</v>
      </c>
      <c r="I24" s="578"/>
      <c r="J24" s="578">
        <f>-NCI!F34</f>
        <v>-29236497101</v>
      </c>
      <c r="K24" s="582"/>
      <c r="M24" s="583">
        <f>-SUMIF(T_BS!$D:$D,'8.0'!D24,T_BS!X:X)</f>
        <v>-29236497101</v>
      </c>
      <c r="N24" s="566"/>
    </row>
    <row r="25" spans="3:15" ht="18" customHeight="1" thickBot="1">
      <c r="D25" s="584" t="s">
        <v>211</v>
      </c>
      <c r="E25" s="585" t="s">
        <v>210</v>
      </c>
      <c r="F25" s="586">
        <v>0</v>
      </c>
      <c r="G25" s="586">
        <f t="shared" si="1"/>
        <v>0</v>
      </c>
      <c r="H25" s="509">
        <f t="shared" si="0"/>
        <v>0</v>
      </c>
      <c r="I25" s="586"/>
      <c r="J25" s="586"/>
      <c r="K25" s="587"/>
      <c r="M25" s="588">
        <f>-SUMIF(T_BS!$D:$D,'8.0'!D25,T_BS!X:X)</f>
        <v>0</v>
      </c>
      <c r="N25" s="566"/>
    </row>
    <row r="26" spans="3:15" s="494" customFormat="1" ht="18" customHeight="1" thickTop="1" thickBot="1">
      <c r="D26" s="589"/>
      <c r="E26" s="590"/>
      <c r="F26" s="590">
        <f>SUM(F5:F25)</f>
        <v>-168854228739</v>
      </c>
      <c r="G26" s="590">
        <f>SUM(G5:G25)</f>
        <v>-168854228739</v>
      </c>
      <c r="H26" s="590">
        <f t="shared" ref="H26" si="2">G26-F26</f>
        <v>0</v>
      </c>
      <c r="I26" s="590"/>
      <c r="J26" s="590"/>
      <c r="K26" s="591"/>
      <c r="M26" s="592"/>
      <c r="N26" s="564"/>
    </row>
    <row r="27" spans="3:15" ht="18" customHeight="1">
      <c r="G27" s="498">
        <f>+F26-G26</f>
        <v>0</v>
      </c>
    </row>
    <row r="28" spans="3:15" s="494" customFormat="1" ht="18" customHeight="1">
      <c r="C28" s="494" t="s">
        <v>556</v>
      </c>
      <c r="D28" s="518" t="s">
        <v>198</v>
      </c>
    </row>
    <row r="29" spans="3:15" s="494" customFormat="1" ht="18" customHeight="1">
      <c r="D29" s="564" t="s">
        <v>460</v>
      </c>
      <c r="E29" s="494">
        <v>-2731869088</v>
      </c>
    </row>
    <row r="30" spans="3:15" s="494" customFormat="1" ht="18" customHeight="1">
      <c r="D30" s="564" t="s">
        <v>1533</v>
      </c>
      <c r="E30" s="494">
        <v>0</v>
      </c>
      <c r="J30" s="498"/>
    </row>
    <row r="31" spans="3:15" s="494" customFormat="1" ht="18" customHeight="1" thickBot="1">
      <c r="D31" s="593" t="s">
        <v>557</v>
      </c>
      <c r="E31" s="594">
        <f>SUM(E29:E30)</f>
        <v>-2731869088</v>
      </c>
      <c r="H31" s="509"/>
    </row>
    <row r="32" spans="3:15" ht="18" customHeight="1" thickTop="1"/>
  </sheetData>
  <phoneticPr fontId="22" type="noConversion"/>
  <pageMargins left="0.7" right="0.7" top="0.75" bottom="0.75" header="0.3" footer="0.3"/>
  <pageSetup orientation="portrait" r:id="rId1"/>
  <ignoredErrors>
    <ignoredError sqref="G33:H33 H27 I24:K25 I26:K26" evalError="1"/>
    <ignoredError sqref="G24:G26" evalError="1" formula="1"/>
    <ignoredError sqref="E26:F27 G11 E11:E25 G13:G15 G23 E28:E30 G19:G20 G7:G8 E7:E8 E10 G10 G17" formula="1"/>
    <ignoredError sqref="D11:D30 D7:D8 D10" numberStoredAsText="1" formula="1"/>
    <ignoredError sqref="D6 D31:D32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5">
    <tabColor rgb="FFFFFF00"/>
  </sheetPr>
  <dimension ref="D3:AC18"/>
  <sheetViews>
    <sheetView showGridLines="0" zoomScale="80" zoomScaleNormal="80" workbookViewId="0">
      <pane xSplit="6" ySplit="5" topLeftCell="G6" activePane="bottomRight" state="frozen"/>
      <selection activeCell="V34" sqref="V34"/>
      <selection pane="topRight" activeCell="V34" sqref="V34"/>
      <selection pane="bottomLeft" activeCell="V34" sqref="V34"/>
      <selection pane="bottomRight" activeCell="P35" sqref="P35"/>
    </sheetView>
  </sheetViews>
  <sheetFormatPr defaultColWidth="8.75" defaultRowHeight="18" customHeight="1"/>
  <cols>
    <col min="1" max="3" width="2.375" style="498" customWidth="1"/>
    <col min="4" max="4" width="7.25" style="565" customWidth="1"/>
    <col min="5" max="5" width="16.125" style="565" customWidth="1"/>
    <col min="6" max="6" width="31.75" style="566" bestFit="1" customWidth="1"/>
    <col min="7" max="11" width="16.375" style="498" customWidth="1"/>
    <col min="12" max="12" width="1.125" style="498" customWidth="1"/>
    <col min="13" max="17" width="16.375" style="498" customWidth="1"/>
    <col min="18" max="18" width="1.125" style="498" customWidth="1"/>
    <col min="19" max="28" width="14" style="498" customWidth="1"/>
    <col min="29" max="29" width="16.5" style="498" bestFit="1" customWidth="1"/>
    <col min="30" max="16384" width="8.75" style="498"/>
  </cols>
  <sheetData>
    <row r="3" spans="4:29" ht="18" customHeight="1" thickBot="1"/>
    <row r="4" spans="4:29" ht="18" customHeight="1">
      <c r="D4" s="2172" t="s">
        <v>414</v>
      </c>
      <c r="E4" s="2173" t="s">
        <v>503</v>
      </c>
      <c r="F4" s="2173" t="s">
        <v>504</v>
      </c>
      <c r="G4" s="2182" t="s">
        <v>1616</v>
      </c>
      <c r="H4" s="2182"/>
      <c r="I4" s="2182"/>
      <c r="J4" s="2182"/>
      <c r="K4" s="2183"/>
      <c r="M4" s="2181" t="s">
        <v>1616</v>
      </c>
      <c r="N4" s="2182"/>
      <c r="O4" s="2182"/>
      <c r="P4" s="2182"/>
      <c r="Q4" s="2183"/>
      <c r="S4" s="2181" t="s">
        <v>523</v>
      </c>
      <c r="T4" s="2182"/>
      <c r="U4" s="2182"/>
      <c r="V4" s="2182"/>
      <c r="W4" s="2182"/>
      <c r="X4" s="2182"/>
      <c r="Y4" s="2182"/>
      <c r="Z4" s="2182"/>
      <c r="AA4" s="2182"/>
      <c r="AB4" s="2182"/>
      <c r="AC4" s="2183"/>
    </row>
    <row r="5" spans="4:29" s="519" customFormat="1" ht="18" customHeight="1">
      <c r="D5" s="2185"/>
      <c r="E5" s="2184"/>
      <c r="F5" s="2184"/>
      <c r="G5" s="1967" t="s">
        <v>1615</v>
      </c>
      <c r="H5" s="1967" t="s">
        <v>1613</v>
      </c>
      <c r="I5" s="1967" t="s">
        <v>1614</v>
      </c>
      <c r="J5" s="1967" t="s">
        <v>1745</v>
      </c>
      <c r="K5" s="1968" t="s">
        <v>1752</v>
      </c>
      <c r="M5" s="1966" t="s">
        <v>1752</v>
      </c>
      <c r="N5" s="1967" t="s">
        <v>1613</v>
      </c>
      <c r="O5" s="1967" t="s">
        <v>1614</v>
      </c>
      <c r="P5" s="1967" t="s">
        <v>1745</v>
      </c>
      <c r="Q5" s="1968" t="s">
        <v>2873</v>
      </c>
      <c r="S5" s="1966" t="s">
        <v>1617</v>
      </c>
      <c r="T5" s="1967" t="s">
        <v>1618</v>
      </c>
      <c r="U5" s="1967" t="s">
        <v>1619</v>
      </c>
      <c r="V5" s="1967" t="s">
        <v>1620</v>
      </c>
      <c r="W5" s="1967" t="s">
        <v>1621</v>
      </c>
      <c r="X5" s="1967" t="s">
        <v>526</v>
      </c>
      <c r="Y5" s="1967" t="s">
        <v>1622</v>
      </c>
      <c r="Z5" s="1967" t="s">
        <v>1623</v>
      </c>
      <c r="AA5" s="1967" t="s">
        <v>1624</v>
      </c>
      <c r="AB5" s="1967" t="s">
        <v>1625</v>
      </c>
      <c r="AC5" s="1968" t="s">
        <v>1626</v>
      </c>
    </row>
    <row r="6" spans="4:29" ht="18" customHeight="1">
      <c r="D6" s="655" t="s">
        <v>523</v>
      </c>
      <c r="E6" s="709" t="s">
        <v>15</v>
      </c>
      <c r="F6" s="572" t="s">
        <v>217</v>
      </c>
      <c r="G6" s="552">
        <v>3443881577</v>
      </c>
      <c r="H6" s="552">
        <v>0</v>
      </c>
      <c r="I6" s="552">
        <v>0</v>
      </c>
      <c r="J6" s="552">
        <v>-1401597960</v>
      </c>
      <c r="K6" s="553">
        <v>2042283617</v>
      </c>
      <c r="M6" s="551">
        <f t="shared" ref="M6:M11" si="0">+K6</f>
        <v>2042283617</v>
      </c>
      <c r="N6" s="552">
        <v>0</v>
      </c>
      <c r="O6" s="552">
        <v>0</v>
      </c>
      <c r="P6" s="552">
        <v>-2042283617</v>
      </c>
      <c r="Q6" s="553">
        <f t="shared" ref="Q6:Q11" si="1">SUM(M6:P6)</f>
        <v>0</v>
      </c>
      <c r="S6" s="551"/>
      <c r="T6" s="552"/>
      <c r="U6" s="552"/>
      <c r="V6" s="552"/>
      <c r="W6" s="552"/>
      <c r="X6" s="552"/>
      <c r="Y6" s="552"/>
      <c r="Z6" s="552"/>
      <c r="AA6" s="552"/>
      <c r="AB6" s="552"/>
      <c r="AC6" s="553">
        <f t="shared" ref="AC6:AC11" si="2">-Q6</f>
        <v>0</v>
      </c>
    </row>
    <row r="7" spans="4:29" ht="18" customHeight="1">
      <c r="D7" s="655" t="s">
        <v>523</v>
      </c>
      <c r="E7" s="709" t="s">
        <v>15</v>
      </c>
      <c r="F7" s="572" t="s">
        <v>213</v>
      </c>
      <c r="G7" s="552">
        <v>0</v>
      </c>
      <c r="H7" s="552">
        <v>0</v>
      </c>
      <c r="I7" s="552">
        <v>0</v>
      </c>
      <c r="J7" s="552">
        <v>0</v>
      </c>
      <c r="K7" s="553">
        <v>0</v>
      </c>
      <c r="M7" s="551">
        <f t="shared" si="0"/>
        <v>0</v>
      </c>
      <c r="N7" s="552">
        <v>0</v>
      </c>
      <c r="O7" s="552">
        <v>0</v>
      </c>
      <c r="P7" s="552">
        <v>0</v>
      </c>
      <c r="Q7" s="553">
        <f t="shared" si="1"/>
        <v>0</v>
      </c>
      <c r="S7" s="551"/>
      <c r="T7" s="552"/>
      <c r="U7" s="552"/>
      <c r="V7" s="552"/>
      <c r="W7" s="552"/>
      <c r="X7" s="552"/>
      <c r="Y7" s="552"/>
      <c r="Z7" s="552"/>
      <c r="AA7" s="552"/>
      <c r="AB7" s="552"/>
      <c r="AC7" s="553">
        <f t="shared" si="2"/>
        <v>0</v>
      </c>
    </row>
    <row r="8" spans="4:29" ht="18" customHeight="1">
      <c r="D8" s="655" t="s">
        <v>523</v>
      </c>
      <c r="E8" s="709" t="s">
        <v>15</v>
      </c>
      <c r="F8" s="572" t="s">
        <v>214</v>
      </c>
      <c r="G8" s="552">
        <v>0</v>
      </c>
      <c r="H8" s="552">
        <v>0</v>
      </c>
      <c r="I8" s="552">
        <v>0</v>
      </c>
      <c r="J8" s="552">
        <v>0</v>
      </c>
      <c r="K8" s="553">
        <v>0</v>
      </c>
      <c r="M8" s="551">
        <f t="shared" si="0"/>
        <v>0</v>
      </c>
      <c r="N8" s="552">
        <v>0</v>
      </c>
      <c r="O8" s="552">
        <v>0</v>
      </c>
      <c r="P8" s="552">
        <v>0</v>
      </c>
      <c r="Q8" s="553">
        <f t="shared" si="1"/>
        <v>0</v>
      </c>
      <c r="S8" s="551"/>
      <c r="T8" s="552"/>
      <c r="U8" s="552"/>
      <c r="V8" s="552"/>
      <c r="W8" s="552"/>
      <c r="X8" s="552"/>
      <c r="Y8" s="552"/>
      <c r="Z8" s="552"/>
      <c r="AA8" s="552"/>
      <c r="AB8" s="552"/>
      <c r="AC8" s="553">
        <f t="shared" si="2"/>
        <v>0</v>
      </c>
    </row>
    <row r="9" spans="4:29" ht="18" customHeight="1">
      <c r="D9" s="655" t="s">
        <v>523</v>
      </c>
      <c r="E9" s="709" t="s">
        <v>15</v>
      </c>
      <c r="F9" s="572" t="s">
        <v>215</v>
      </c>
      <c r="G9" s="552">
        <v>29999999995</v>
      </c>
      <c r="H9" s="552">
        <v>0</v>
      </c>
      <c r="I9" s="552">
        <v>0</v>
      </c>
      <c r="J9" s="552">
        <v>-24071000000</v>
      </c>
      <c r="K9" s="553">
        <v>5928999995</v>
      </c>
      <c r="M9" s="551">
        <f t="shared" si="0"/>
        <v>5928999995</v>
      </c>
      <c r="N9" s="552">
        <v>0</v>
      </c>
      <c r="O9" s="552">
        <v>0</v>
      </c>
      <c r="P9" s="552">
        <v>0</v>
      </c>
      <c r="Q9" s="553">
        <f>SUM(M9:P9)</f>
        <v>5928999995</v>
      </c>
      <c r="S9" s="551"/>
      <c r="T9" s="552"/>
      <c r="U9" s="552"/>
      <c r="V9" s="552"/>
      <c r="W9" s="552"/>
      <c r="X9" s="552"/>
      <c r="Y9" s="552"/>
      <c r="Z9" s="552"/>
      <c r="AA9" s="552"/>
      <c r="AB9" s="552"/>
      <c r="AC9" s="553">
        <f t="shared" si="2"/>
        <v>-5928999995</v>
      </c>
    </row>
    <row r="10" spans="4:29" ht="18" customHeight="1">
      <c r="D10" s="655" t="s">
        <v>523</v>
      </c>
      <c r="E10" s="709" t="s">
        <v>15</v>
      </c>
      <c r="F10" s="572" t="s">
        <v>530</v>
      </c>
      <c r="G10" s="552"/>
      <c r="H10" s="552">
        <v>0</v>
      </c>
      <c r="I10" s="552">
        <v>0</v>
      </c>
      <c r="J10" s="552">
        <v>0</v>
      </c>
      <c r="K10" s="553">
        <v>0</v>
      </c>
      <c r="M10" s="551">
        <f t="shared" si="0"/>
        <v>0</v>
      </c>
      <c r="N10" s="552">
        <v>0</v>
      </c>
      <c r="O10" s="552">
        <v>0</v>
      </c>
      <c r="P10" s="552">
        <v>0</v>
      </c>
      <c r="Q10" s="553">
        <f t="shared" si="1"/>
        <v>0</v>
      </c>
      <c r="S10" s="551"/>
      <c r="T10" s="552"/>
      <c r="U10" s="552"/>
      <c r="V10" s="552"/>
      <c r="W10" s="552"/>
      <c r="X10" s="552"/>
      <c r="Y10" s="552"/>
      <c r="Z10" s="552"/>
      <c r="AA10" s="552"/>
      <c r="AB10" s="552"/>
      <c r="AC10" s="553">
        <f t="shared" si="2"/>
        <v>0</v>
      </c>
    </row>
    <row r="11" spans="4:29" ht="18" customHeight="1" thickBot="1">
      <c r="D11" s="1990" t="s">
        <v>523</v>
      </c>
      <c r="E11" s="1991" t="s">
        <v>15</v>
      </c>
      <c r="F11" s="1992" t="s">
        <v>216</v>
      </c>
      <c r="G11" s="1988">
        <v>13268496000</v>
      </c>
      <c r="H11" s="1988"/>
      <c r="I11" s="1988">
        <v>-13268496000</v>
      </c>
      <c r="J11" s="1988"/>
      <c r="K11" s="1989">
        <v>0</v>
      </c>
      <c r="M11" s="1993">
        <f t="shared" si="0"/>
        <v>0</v>
      </c>
      <c r="N11" s="1988"/>
      <c r="O11" s="1988">
        <f>-M11</f>
        <v>0</v>
      </c>
      <c r="P11" s="1988">
        <v>0</v>
      </c>
      <c r="Q11" s="1989">
        <f t="shared" si="1"/>
        <v>0</v>
      </c>
      <c r="S11" s="1993"/>
      <c r="T11" s="1988"/>
      <c r="U11" s="1988"/>
      <c r="V11" s="1988"/>
      <c r="W11" s="1988"/>
      <c r="X11" s="1988"/>
      <c r="Y11" s="1988"/>
      <c r="Z11" s="1988"/>
      <c r="AA11" s="1988"/>
      <c r="AB11" s="1988"/>
      <c r="AC11" s="1989">
        <f t="shared" si="2"/>
        <v>0</v>
      </c>
    </row>
    <row r="12" spans="4:29" s="494" customFormat="1" ht="18" customHeight="1" thickTop="1" thickBot="1">
      <c r="D12" s="1984"/>
      <c r="E12" s="1985"/>
      <c r="F12" s="1986"/>
      <c r="G12" s="512">
        <f>SUM(G6:G11)</f>
        <v>46712377572</v>
      </c>
      <c r="H12" s="512">
        <f>SUM(H6:H11)</f>
        <v>0</v>
      </c>
      <c r="I12" s="512">
        <f>SUM(I6:I11)</f>
        <v>-13268496000</v>
      </c>
      <c r="J12" s="512">
        <f>SUM(J6:J11)</f>
        <v>-25472597960</v>
      </c>
      <c r="K12" s="1987">
        <f>SUM(K6:K11)</f>
        <v>7971283612</v>
      </c>
      <c r="M12" s="559">
        <f>SUM(M6:M11)</f>
        <v>7971283612</v>
      </c>
      <c r="N12" s="512">
        <f>SUM(N6:N11)</f>
        <v>0</v>
      </c>
      <c r="O12" s="512">
        <f>SUM(O6:O11)</f>
        <v>0</v>
      </c>
      <c r="P12" s="512">
        <f>SUM(P6:P11)</f>
        <v>-2042283617</v>
      </c>
      <c r="Q12" s="1987">
        <f>SUM(Q6:Q11)</f>
        <v>5928999995</v>
      </c>
      <c r="S12" s="559">
        <f t="shared" ref="S12:AC12" si="3">SUM(S6:S11)</f>
        <v>0</v>
      </c>
      <c r="T12" s="512">
        <f t="shared" si="3"/>
        <v>0</v>
      </c>
      <c r="U12" s="512">
        <f t="shared" si="3"/>
        <v>0</v>
      </c>
      <c r="V12" s="512">
        <f t="shared" si="3"/>
        <v>0</v>
      </c>
      <c r="W12" s="512">
        <f t="shared" si="3"/>
        <v>0</v>
      </c>
      <c r="X12" s="512">
        <f t="shared" si="3"/>
        <v>0</v>
      </c>
      <c r="Y12" s="512">
        <f t="shared" si="3"/>
        <v>0</v>
      </c>
      <c r="Z12" s="512">
        <f t="shared" si="3"/>
        <v>0</v>
      </c>
      <c r="AA12" s="512">
        <f t="shared" si="3"/>
        <v>0</v>
      </c>
      <c r="AB12" s="512">
        <f t="shared" si="3"/>
        <v>0</v>
      </c>
      <c r="AC12" s="1987">
        <f t="shared" si="3"/>
        <v>-5928999995</v>
      </c>
    </row>
    <row r="13" spans="4:29" s="494" customFormat="1" ht="18" customHeight="1">
      <c r="D13" s="519"/>
      <c r="E13" s="519"/>
      <c r="F13" s="564"/>
    </row>
    <row r="15" spans="4:29" s="494" customFormat="1" ht="18" customHeight="1">
      <c r="D15" s="519"/>
      <c r="E15" s="519"/>
      <c r="F15" s="564"/>
    </row>
    <row r="18" spans="6:6" s="565" customFormat="1" ht="18" customHeight="1">
      <c r="F18" s="566"/>
    </row>
  </sheetData>
  <mergeCells count="6">
    <mergeCell ref="M4:Q4"/>
    <mergeCell ref="F4:F5"/>
    <mergeCell ref="E4:E5"/>
    <mergeCell ref="D4:D5"/>
    <mergeCell ref="S4:AC4"/>
    <mergeCell ref="G4:K4"/>
  </mergeCells>
  <phoneticPr fontId="22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7">
    <tabColor rgb="FFFFFF00"/>
  </sheetPr>
  <dimension ref="D2:AL21"/>
  <sheetViews>
    <sheetView showGridLines="0" zoomScale="80" zoomScaleNormal="80" workbookViewId="0">
      <pane xSplit="5" ySplit="4" topLeftCell="F5" activePane="bottomRight" state="frozen"/>
      <selection activeCell="V34" sqref="V34"/>
      <selection pane="topRight" activeCell="V34" sqref="V34"/>
      <selection pane="bottomLeft" activeCell="V34" sqref="V34"/>
      <selection pane="bottomRight" activeCell="AE15" sqref="AE15"/>
    </sheetView>
  </sheetViews>
  <sheetFormatPr defaultColWidth="8.75" defaultRowHeight="18" customHeight="1"/>
  <cols>
    <col min="1" max="3" width="2.375" style="498" customWidth="1"/>
    <col min="4" max="4" width="10.5" style="498" bestFit="1" customWidth="1"/>
    <col min="5" max="5" width="31.375" style="498" bestFit="1" customWidth="1"/>
    <col min="6" max="6" width="3.375" style="543" customWidth="1"/>
    <col min="7" max="11" width="20.375" style="498" hidden="1" customWidth="1"/>
    <col min="12" max="12" width="3.375" style="543" hidden="1" customWidth="1"/>
    <col min="13" max="18" width="20.375" style="498" hidden="1" customWidth="1"/>
    <col min="19" max="19" width="3.375" style="543" customWidth="1"/>
    <col min="20" max="25" width="16.625" style="498" customWidth="1"/>
    <col min="26" max="26" width="3.375" style="543" customWidth="1"/>
    <col min="27" max="32" width="16.625" style="498" customWidth="1"/>
    <col min="33" max="33" width="3.375" style="543" customWidth="1"/>
    <col min="34" max="38" width="16.625" style="498" customWidth="1"/>
    <col min="39" max="16384" width="8.75" style="498"/>
  </cols>
  <sheetData>
    <row r="2" spans="4:38" ht="18" customHeight="1" thickBot="1"/>
    <row r="3" spans="4:38" s="519" customFormat="1" ht="18" customHeight="1">
      <c r="D3" s="2186" t="s">
        <v>500</v>
      </c>
      <c r="E3" s="2188" t="s">
        <v>499</v>
      </c>
      <c r="F3" s="544"/>
      <c r="G3" s="2170" t="s">
        <v>525</v>
      </c>
      <c r="H3" s="2170"/>
      <c r="I3" s="2170"/>
      <c r="J3" s="2170"/>
      <c r="K3" s="2170"/>
      <c r="L3" s="544"/>
      <c r="M3" s="2186" t="s">
        <v>1586</v>
      </c>
      <c r="N3" s="2190"/>
      <c r="O3" s="2190"/>
      <c r="P3" s="2190"/>
      <c r="Q3" s="2190"/>
      <c r="R3" s="2188"/>
      <c r="S3" s="544"/>
      <c r="T3" s="2172" t="s">
        <v>1586</v>
      </c>
      <c r="U3" s="2173"/>
      <c r="V3" s="2173"/>
      <c r="W3" s="2173"/>
      <c r="X3" s="2173"/>
      <c r="Y3" s="2174"/>
      <c r="Z3" s="544"/>
      <c r="AA3" s="2172" t="s">
        <v>527</v>
      </c>
      <c r="AB3" s="2173"/>
      <c r="AC3" s="2173"/>
      <c r="AD3" s="2173"/>
      <c r="AE3" s="2173"/>
      <c r="AF3" s="2174"/>
      <c r="AG3" s="544"/>
      <c r="AH3" s="2172" t="s">
        <v>526</v>
      </c>
      <c r="AI3" s="2173"/>
      <c r="AJ3" s="2173"/>
      <c r="AK3" s="2173"/>
      <c r="AL3" s="2174"/>
    </row>
    <row r="4" spans="4:38" s="519" customFormat="1" ht="18" customHeight="1">
      <c r="D4" s="2187"/>
      <c r="E4" s="2189"/>
      <c r="F4" s="544"/>
      <c r="G4" s="545" t="s">
        <v>227</v>
      </c>
      <c r="H4" s="545" t="s">
        <v>463</v>
      </c>
      <c r="I4" s="545" t="s">
        <v>523</v>
      </c>
      <c r="J4" s="545" t="s">
        <v>524</v>
      </c>
      <c r="K4" s="545" t="s">
        <v>492</v>
      </c>
      <c r="L4" s="544"/>
      <c r="M4" s="546" t="s">
        <v>227</v>
      </c>
      <c r="N4" s="547" t="s">
        <v>535</v>
      </c>
      <c r="O4" s="547" t="s">
        <v>536</v>
      </c>
      <c r="P4" s="547" t="s">
        <v>523</v>
      </c>
      <c r="Q4" s="547" t="s">
        <v>524</v>
      </c>
      <c r="R4" s="548" t="s">
        <v>492</v>
      </c>
      <c r="S4" s="544"/>
      <c r="T4" s="1966" t="s">
        <v>227</v>
      </c>
      <c r="U4" s="1967" t="s">
        <v>535</v>
      </c>
      <c r="V4" s="1967" t="s">
        <v>536</v>
      </c>
      <c r="W4" s="1967" t="s">
        <v>523</v>
      </c>
      <c r="X4" s="1967" t="s">
        <v>524</v>
      </c>
      <c r="Y4" s="1968" t="s">
        <v>492</v>
      </c>
      <c r="Z4" s="544"/>
      <c r="AA4" s="1966" t="s">
        <v>227</v>
      </c>
      <c r="AB4" s="1967" t="s">
        <v>2826</v>
      </c>
      <c r="AC4" s="1967" t="s">
        <v>463</v>
      </c>
      <c r="AD4" s="1967" t="s">
        <v>523</v>
      </c>
      <c r="AE4" s="1967" t="s">
        <v>524</v>
      </c>
      <c r="AF4" s="1968" t="s">
        <v>492</v>
      </c>
      <c r="AG4" s="544"/>
      <c r="AH4" s="1966" t="s">
        <v>227</v>
      </c>
      <c r="AI4" s="1967" t="s">
        <v>2838</v>
      </c>
      <c r="AJ4" s="1967" t="s">
        <v>523</v>
      </c>
      <c r="AK4" s="1967" t="s">
        <v>524</v>
      </c>
      <c r="AL4" s="1968" t="s">
        <v>492</v>
      </c>
    </row>
    <row r="5" spans="4:38" ht="18" customHeight="1">
      <c r="D5" s="549">
        <v>1</v>
      </c>
      <c r="E5" s="1971" t="s">
        <v>15</v>
      </c>
      <c r="M5" s="550">
        <v>0</v>
      </c>
      <c r="N5" s="509"/>
      <c r="O5" s="509">
        <v>0</v>
      </c>
      <c r="P5" s="509">
        <v>0</v>
      </c>
      <c r="Q5" s="509">
        <v>0</v>
      </c>
      <c r="R5" s="510">
        <v>0</v>
      </c>
      <c r="T5" s="551">
        <f>자본변동!F76</f>
        <v>0</v>
      </c>
      <c r="U5" s="552"/>
      <c r="V5" s="552">
        <v>0</v>
      </c>
      <c r="W5" s="552">
        <f>SUM(T5:V5)</f>
        <v>0</v>
      </c>
      <c r="X5" s="552">
        <f t="shared" ref="X5:X11" si="0">ROUND(W5*D5,0)</f>
        <v>0</v>
      </c>
      <c r="Y5" s="553">
        <f>W5-X5</f>
        <v>0</v>
      </c>
      <c r="AA5" s="551">
        <f>자본변동!F78</f>
        <v>3104359571</v>
      </c>
      <c r="AB5" s="552">
        <f>자본변동!L113</f>
        <v>-1140444443</v>
      </c>
      <c r="AC5" s="552"/>
      <c r="AD5" s="552">
        <f>SUM(AA5:AC5)</f>
        <v>1963915128</v>
      </c>
      <c r="AE5" s="552">
        <f>ROUND(AD5*D5,0)</f>
        <v>1963915128</v>
      </c>
      <c r="AF5" s="553">
        <f>AD5-AE5</f>
        <v>0</v>
      </c>
      <c r="AH5" s="551"/>
      <c r="AI5" s="552"/>
      <c r="AJ5" s="552"/>
      <c r="AK5" s="552"/>
      <c r="AL5" s="553"/>
    </row>
    <row r="6" spans="4:38" ht="18" customHeight="1">
      <c r="D6" s="549">
        <v>1</v>
      </c>
      <c r="E6" s="1972" t="s">
        <v>509</v>
      </c>
      <c r="M6" s="550">
        <v>-622288388</v>
      </c>
      <c r="N6" s="509"/>
      <c r="O6" s="509"/>
      <c r="P6" s="509">
        <v>-622288388</v>
      </c>
      <c r="Q6" s="509">
        <v>-622288388</v>
      </c>
      <c r="R6" s="510">
        <v>0</v>
      </c>
      <c r="T6" s="551">
        <f>자본변동!H76</f>
        <v>-40602531</v>
      </c>
      <c r="U6" s="552"/>
      <c r="V6" s="552"/>
      <c r="W6" s="552">
        <f t="shared" ref="W6:W11" si="1">SUM(T6:V6)</f>
        <v>-40602531</v>
      </c>
      <c r="X6" s="552">
        <f>ROUND(W6*D6,0)</f>
        <v>-40602531</v>
      </c>
      <c r="Y6" s="553">
        <f t="shared" ref="Y6:Y12" si="2">W6-X6</f>
        <v>0</v>
      </c>
      <c r="AA6" s="551">
        <f>-자본변동!H78</f>
        <v>0</v>
      </c>
      <c r="AB6" s="552"/>
      <c r="AC6" s="552"/>
      <c r="AD6" s="552">
        <f t="shared" ref="AD6:AD11" si="3">SUM(AA6:AC6)</f>
        <v>0</v>
      </c>
      <c r="AE6" s="552">
        <f t="shared" ref="AE6:AE11" si="4">ROUND(AD6*D6,0)</f>
        <v>0</v>
      </c>
      <c r="AF6" s="553">
        <f t="shared" ref="AF6:AF11" si="5">AD6-AE6</f>
        <v>0</v>
      </c>
      <c r="AH6" s="551"/>
      <c r="AI6" s="552"/>
      <c r="AJ6" s="552"/>
      <c r="AK6" s="552"/>
      <c r="AL6" s="553"/>
    </row>
    <row r="7" spans="4:38" ht="18" customHeight="1">
      <c r="D7" s="549">
        <v>1</v>
      </c>
      <c r="E7" s="1972" t="s">
        <v>511</v>
      </c>
      <c r="M7" s="550">
        <v>-78765534</v>
      </c>
      <c r="N7" s="509"/>
      <c r="O7" s="509">
        <v>148309663</v>
      </c>
      <c r="P7" s="509">
        <v>69544129</v>
      </c>
      <c r="Q7" s="509">
        <v>69544129</v>
      </c>
      <c r="R7" s="510">
        <v>0</v>
      </c>
      <c r="T7" s="551"/>
      <c r="U7" s="552"/>
      <c r="V7" s="552"/>
      <c r="W7" s="552">
        <f t="shared" si="1"/>
        <v>0</v>
      </c>
      <c r="X7" s="552">
        <f t="shared" si="0"/>
        <v>0</v>
      </c>
      <c r="Y7" s="553">
        <f t="shared" si="2"/>
        <v>0</v>
      </c>
      <c r="AA7" s="551"/>
      <c r="AB7" s="552"/>
      <c r="AC7" s="552"/>
      <c r="AD7" s="552">
        <f t="shared" si="3"/>
        <v>0</v>
      </c>
      <c r="AE7" s="552">
        <f t="shared" si="4"/>
        <v>0</v>
      </c>
      <c r="AF7" s="553">
        <f t="shared" si="5"/>
        <v>0</v>
      </c>
      <c r="AH7" s="551"/>
      <c r="AI7" s="552"/>
      <c r="AJ7" s="552"/>
      <c r="AK7" s="552"/>
      <c r="AL7" s="553"/>
    </row>
    <row r="8" spans="4:38" ht="18" customHeight="1">
      <c r="D8" s="549">
        <v>1</v>
      </c>
      <c r="E8" s="1972" t="s">
        <v>513</v>
      </c>
      <c r="M8" s="550">
        <v>-238055993</v>
      </c>
      <c r="N8" s="509"/>
      <c r="O8" s="509"/>
      <c r="P8" s="509">
        <v>-238055993</v>
      </c>
      <c r="Q8" s="509">
        <v>-238055993</v>
      </c>
      <c r="R8" s="510">
        <v>0</v>
      </c>
      <c r="T8" s="551"/>
      <c r="U8" s="552"/>
      <c r="V8" s="552"/>
      <c r="W8" s="552">
        <f t="shared" si="1"/>
        <v>0</v>
      </c>
      <c r="X8" s="552">
        <f t="shared" si="0"/>
        <v>0</v>
      </c>
      <c r="Y8" s="553">
        <f t="shared" si="2"/>
        <v>0</v>
      </c>
      <c r="AA8" s="551"/>
      <c r="AB8" s="552"/>
      <c r="AC8" s="552"/>
      <c r="AD8" s="552">
        <f t="shared" si="3"/>
        <v>0</v>
      </c>
      <c r="AE8" s="552">
        <f t="shared" si="4"/>
        <v>0</v>
      </c>
      <c r="AF8" s="553">
        <f t="shared" si="5"/>
        <v>0</v>
      </c>
      <c r="AH8" s="551"/>
      <c r="AI8" s="552"/>
      <c r="AJ8" s="552"/>
      <c r="AK8" s="552"/>
      <c r="AL8" s="553"/>
    </row>
    <row r="9" spans="4:38" ht="18" customHeight="1">
      <c r="D9" s="549">
        <v>1</v>
      </c>
      <c r="E9" s="1972" t="s">
        <v>515</v>
      </c>
      <c r="M9" s="550">
        <v>213954410</v>
      </c>
      <c r="N9" s="509">
        <v>1069187616</v>
      </c>
      <c r="O9" s="509">
        <v>175053979</v>
      </c>
      <c r="P9" s="509">
        <v>1458196005</v>
      </c>
      <c r="Q9" s="509">
        <v>1458196005</v>
      </c>
      <c r="R9" s="510">
        <v>0</v>
      </c>
      <c r="T9" s="551">
        <f>자본변동!I76</f>
        <v>-249257808</v>
      </c>
      <c r="U9" s="552">
        <f>-'5.0'!X28</f>
        <v>-146092400</v>
      </c>
      <c r="V9" s="552">
        <f>-'5.0'!X12</f>
        <v>0</v>
      </c>
      <c r="W9" s="552">
        <f t="shared" si="1"/>
        <v>-395350208</v>
      </c>
      <c r="X9" s="552">
        <f t="shared" si="0"/>
        <v>-395350208</v>
      </c>
      <c r="Y9" s="553">
        <f t="shared" si="2"/>
        <v>0</v>
      </c>
      <c r="AA9" s="551">
        <f>-자본변동!I78</f>
        <v>0</v>
      </c>
      <c r="AB9" s="552"/>
      <c r="AC9" s="552"/>
      <c r="AD9" s="552">
        <f t="shared" si="3"/>
        <v>0</v>
      </c>
      <c r="AE9" s="552">
        <f t="shared" si="4"/>
        <v>0</v>
      </c>
      <c r="AF9" s="553">
        <f t="shared" si="5"/>
        <v>0</v>
      </c>
      <c r="AH9" s="551"/>
      <c r="AI9" s="552"/>
      <c r="AJ9" s="552"/>
      <c r="AK9" s="552"/>
      <c r="AL9" s="553"/>
    </row>
    <row r="10" spans="4:38" ht="18" customHeight="1">
      <c r="D10" s="549">
        <v>1</v>
      </c>
      <c r="E10" s="1972" t="s">
        <v>516</v>
      </c>
      <c r="M10" s="550">
        <v>0</v>
      </c>
      <c r="N10" s="509">
        <v>0</v>
      </c>
      <c r="O10" s="509"/>
      <c r="P10" s="509">
        <v>0</v>
      </c>
      <c r="Q10" s="509">
        <v>0</v>
      </c>
      <c r="R10" s="510">
        <v>0</v>
      </c>
      <c r="T10" s="551"/>
      <c r="U10" s="552">
        <v>0</v>
      </c>
      <c r="V10" s="552"/>
      <c r="W10" s="552">
        <f t="shared" si="1"/>
        <v>0</v>
      </c>
      <c r="X10" s="552">
        <f t="shared" si="0"/>
        <v>0</v>
      </c>
      <c r="Y10" s="553">
        <f t="shared" si="2"/>
        <v>0</v>
      </c>
      <c r="AA10" s="551"/>
      <c r="AB10" s="552"/>
      <c r="AC10" s="552"/>
      <c r="AD10" s="552">
        <f t="shared" si="3"/>
        <v>0</v>
      </c>
      <c r="AE10" s="552">
        <f t="shared" si="4"/>
        <v>0</v>
      </c>
      <c r="AF10" s="553">
        <f t="shared" si="5"/>
        <v>0</v>
      </c>
      <c r="AH10" s="551"/>
      <c r="AI10" s="552"/>
      <c r="AJ10" s="552"/>
      <c r="AK10" s="552"/>
      <c r="AL10" s="553"/>
    </row>
    <row r="11" spans="4:38" ht="18" customHeight="1" thickBot="1">
      <c r="D11" s="554">
        <v>1</v>
      </c>
      <c r="E11" s="1973" t="s">
        <v>518</v>
      </c>
      <c r="M11" s="550">
        <v>0</v>
      </c>
      <c r="N11" s="509"/>
      <c r="O11" s="509"/>
      <c r="P11" s="509">
        <v>0</v>
      </c>
      <c r="Q11" s="509">
        <v>0</v>
      </c>
      <c r="R11" s="510">
        <v>0</v>
      </c>
      <c r="T11" s="555"/>
      <c r="U11" s="556"/>
      <c r="V11" s="556"/>
      <c r="W11" s="556">
        <f t="shared" si="1"/>
        <v>0</v>
      </c>
      <c r="X11" s="556">
        <f t="shared" si="0"/>
        <v>0</v>
      </c>
      <c r="Y11" s="557">
        <f t="shared" si="2"/>
        <v>0</v>
      </c>
      <c r="AA11" s="555">
        <v>0</v>
      </c>
      <c r="AB11" s="556"/>
      <c r="AC11" s="556"/>
      <c r="AD11" s="556">
        <f t="shared" si="3"/>
        <v>0</v>
      </c>
      <c r="AE11" s="556">
        <f t="shared" si="4"/>
        <v>0</v>
      </c>
      <c r="AF11" s="557">
        <f t="shared" si="5"/>
        <v>0</v>
      </c>
      <c r="AH11" s="555"/>
      <c r="AI11" s="556"/>
      <c r="AJ11" s="556"/>
      <c r="AK11" s="556"/>
      <c r="AL11" s="557"/>
    </row>
    <row r="12" spans="4:38" s="494" customFormat="1" ht="18" customHeight="1" thickTop="1" thickBot="1">
      <c r="D12" s="1964"/>
      <c r="E12" s="1974"/>
      <c r="F12" s="558"/>
      <c r="L12" s="558"/>
      <c r="M12" s="559">
        <v>-725155505</v>
      </c>
      <c r="N12" s="512">
        <v>1069187616</v>
      </c>
      <c r="O12" s="512">
        <v>323363642</v>
      </c>
      <c r="P12" s="512">
        <v>667395753</v>
      </c>
      <c r="Q12" s="512">
        <v>667395753</v>
      </c>
      <c r="R12" s="514">
        <v>0</v>
      </c>
      <c r="S12" s="558"/>
      <c r="T12" s="1964">
        <f>SUM(T5:T11)</f>
        <v>-289860339</v>
      </c>
      <c r="U12" s="1965">
        <f>SUM(U5:U11)</f>
        <v>-146092400</v>
      </c>
      <c r="V12" s="1965">
        <f>SUM(V5:V11)</f>
        <v>0</v>
      </c>
      <c r="W12" s="1965">
        <f>SUM(W5:W11)</f>
        <v>-435952739</v>
      </c>
      <c r="X12" s="1965">
        <f>SUM(X5:X11)</f>
        <v>-435952739</v>
      </c>
      <c r="Y12" s="1969">
        <f t="shared" si="2"/>
        <v>0</v>
      </c>
      <c r="Z12" s="558"/>
      <c r="AA12" s="1964">
        <f t="shared" ref="AA12:AF12" si="6">SUM(AA5:AA11)</f>
        <v>3104359571</v>
      </c>
      <c r="AB12" s="1965">
        <f t="shared" si="6"/>
        <v>-1140444443</v>
      </c>
      <c r="AC12" s="1965">
        <f t="shared" si="6"/>
        <v>0</v>
      </c>
      <c r="AD12" s="1965">
        <f t="shared" si="6"/>
        <v>1963915128</v>
      </c>
      <c r="AE12" s="1965">
        <f t="shared" si="6"/>
        <v>1963915128</v>
      </c>
      <c r="AF12" s="1969">
        <f t="shared" si="6"/>
        <v>0</v>
      </c>
      <c r="AG12" s="558"/>
      <c r="AH12" s="1964"/>
      <c r="AI12" s="1965"/>
      <c r="AJ12" s="1965"/>
      <c r="AK12" s="1965"/>
      <c r="AL12" s="1970"/>
    </row>
    <row r="13" spans="4:38" s="494" customFormat="1" ht="18" customHeight="1">
      <c r="F13" s="558"/>
      <c r="L13" s="558"/>
      <c r="S13" s="558"/>
      <c r="Z13" s="558"/>
      <c r="AG13" s="558"/>
    </row>
    <row r="14" spans="4:38" s="952" customFormat="1" ht="18" customHeight="1">
      <c r="F14" s="720"/>
      <c r="L14" s="720"/>
      <c r="P14" s="952" t="s">
        <v>524</v>
      </c>
      <c r="Q14" s="952">
        <f>T_CE!E24</f>
        <v>0</v>
      </c>
      <c r="R14" s="935"/>
      <c r="S14" s="720"/>
      <c r="W14" s="1874" t="s">
        <v>524</v>
      </c>
      <c r="X14" s="952">
        <f>T_CE!AB24</f>
        <v>-435952739</v>
      </c>
      <c r="Y14" s="935"/>
      <c r="Z14" s="720"/>
      <c r="AD14" s="952" t="s">
        <v>524</v>
      </c>
      <c r="AE14" s="952">
        <f>T_CE!AB27</f>
        <v>1963915128</v>
      </c>
      <c r="AG14" s="720"/>
    </row>
    <row r="15" spans="4:38" s="952" customFormat="1" ht="18" customHeight="1">
      <c r="F15" s="720"/>
      <c r="L15" s="720"/>
      <c r="P15" s="952" t="s">
        <v>1760</v>
      </c>
      <c r="Q15" s="952">
        <f>Q14-Q12</f>
        <v>-667395753</v>
      </c>
      <c r="S15" s="720"/>
      <c r="W15" s="1874" t="s">
        <v>1760</v>
      </c>
      <c r="X15" s="952">
        <f>X14-X12</f>
        <v>0</v>
      </c>
      <c r="Z15" s="720"/>
      <c r="AD15" s="952" t="s">
        <v>1760</v>
      </c>
      <c r="AE15" s="952">
        <f>AE14-AE12</f>
        <v>0</v>
      </c>
      <c r="AG15" s="720"/>
    </row>
    <row r="16" spans="4:38" s="494" customFormat="1" ht="18" customHeight="1">
      <c r="F16" s="558"/>
      <c r="L16" s="558"/>
      <c r="S16" s="558"/>
      <c r="Z16" s="558"/>
      <c r="AG16" s="558"/>
    </row>
    <row r="17" spans="26:34" ht="18" customHeight="1">
      <c r="Z17" s="498"/>
      <c r="AA17" s="543"/>
      <c r="AB17" s="543"/>
      <c r="AG17" s="498"/>
      <c r="AH17" s="543"/>
    </row>
    <row r="18" spans="26:34" ht="18" customHeight="1">
      <c r="Z18" s="498"/>
      <c r="AA18" s="543"/>
      <c r="AB18" s="543"/>
      <c r="AG18" s="498"/>
      <c r="AH18" s="543"/>
    </row>
    <row r="19" spans="26:34" ht="18" customHeight="1">
      <c r="Z19" s="498"/>
      <c r="AA19" s="543"/>
      <c r="AB19" s="543"/>
      <c r="AG19" s="498"/>
      <c r="AH19" s="543"/>
    </row>
    <row r="20" spans="26:34" ht="18" customHeight="1">
      <c r="Z20" s="498"/>
      <c r="AA20" s="543"/>
      <c r="AB20" s="543"/>
      <c r="AG20" s="498"/>
      <c r="AH20" s="543"/>
    </row>
    <row r="21" spans="26:34" ht="18" customHeight="1">
      <c r="Z21" s="498"/>
      <c r="AA21" s="543"/>
      <c r="AB21" s="543"/>
      <c r="AG21" s="498"/>
      <c r="AH21" s="543"/>
    </row>
  </sheetData>
  <mergeCells count="7">
    <mergeCell ref="D3:D4"/>
    <mergeCell ref="G3:K3"/>
    <mergeCell ref="T3:Y3"/>
    <mergeCell ref="AA3:AF3"/>
    <mergeCell ref="AH3:AL3"/>
    <mergeCell ref="E3:E4"/>
    <mergeCell ref="M3:R3"/>
  </mergeCells>
  <phoneticPr fontId="22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8"/>
  <dimension ref="D3:U24"/>
  <sheetViews>
    <sheetView showGridLines="0" zoomScale="80" zoomScaleNormal="80" workbookViewId="0">
      <pane xSplit="6" ySplit="4" topLeftCell="G5" activePane="bottomRight" state="frozen"/>
      <selection activeCell="J13" sqref="J13"/>
      <selection pane="topRight" activeCell="J13" sqref="J13"/>
      <selection pane="bottomLeft" activeCell="J13" sqref="J13"/>
      <selection pane="bottomRight" activeCell="P12" sqref="P12"/>
    </sheetView>
  </sheetViews>
  <sheetFormatPr defaultColWidth="8.75" defaultRowHeight="18" customHeight="1"/>
  <cols>
    <col min="1" max="3" width="2.375" style="212" customWidth="1"/>
    <col min="4" max="21" width="16" style="212" customWidth="1"/>
    <col min="22" max="16384" width="8.75" style="212"/>
  </cols>
  <sheetData>
    <row r="3" spans="4:21" ht="18" customHeight="1" thickBot="1"/>
    <row r="4" spans="4:21" ht="30.95" customHeight="1">
      <c r="D4" s="213" t="s">
        <v>558</v>
      </c>
      <c r="E4" s="214" t="s">
        <v>559</v>
      </c>
      <c r="F4" s="214" t="s">
        <v>560</v>
      </c>
      <c r="G4" s="214" t="s">
        <v>561</v>
      </c>
      <c r="H4" s="214" t="s">
        <v>562</v>
      </c>
      <c r="I4" s="214" t="s">
        <v>563</v>
      </c>
      <c r="J4" s="214" t="s">
        <v>564</v>
      </c>
      <c r="K4" s="214" t="s">
        <v>565</v>
      </c>
      <c r="L4" s="214" t="s">
        <v>566</v>
      </c>
      <c r="M4" s="214" t="s">
        <v>567</v>
      </c>
      <c r="N4" s="214" t="s">
        <v>568</v>
      </c>
      <c r="O4" s="214" t="s">
        <v>569</v>
      </c>
      <c r="P4" s="214" t="s">
        <v>570</v>
      </c>
      <c r="Q4" s="214" t="s">
        <v>571</v>
      </c>
      <c r="R4" s="214" t="s">
        <v>572</v>
      </c>
      <c r="S4" s="214" t="s">
        <v>573</v>
      </c>
      <c r="T4" s="214" t="s">
        <v>574</v>
      </c>
      <c r="U4" s="215" t="s">
        <v>575</v>
      </c>
    </row>
    <row r="5" spans="4:21" ht="18" customHeight="1">
      <c r="D5" s="216" t="s">
        <v>576</v>
      </c>
      <c r="E5" s="7" t="s">
        <v>577</v>
      </c>
      <c r="F5" s="7">
        <f>T_BS!H232</f>
        <v>172003850785</v>
      </c>
      <c r="G5" s="7">
        <v>0</v>
      </c>
      <c r="H5" s="7">
        <v>0</v>
      </c>
      <c r="I5" s="7">
        <v>0</v>
      </c>
      <c r="J5" s="7">
        <v>0</v>
      </c>
      <c r="K5" s="7">
        <f>SUM(F5:J5)</f>
        <v>172003850785</v>
      </c>
      <c r="L5" s="217">
        <v>0</v>
      </c>
      <c r="M5" s="7">
        <f t="shared" ref="M5:M10" si="0">K5*L5</f>
        <v>0</v>
      </c>
      <c r="N5" s="7"/>
      <c r="O5" s="7"/>
      <c r="P5" s="7">
        <f t="shared" ref="P5:P11" si="1">N5-O5</f>
        <v>0</v>
      </c>
      <c r="Q5" s="7"/>
      <c r="R5" s="7">
        <f>P5*Q5</f>
        <v>0</v>
      </c>
      <c r="S5" s="7">
        <f>M5-R5</f>
        <v>0</v>
      </c>
      <c r="T5" s="7">
        <f>T_BS!H255</f>
        <v>0</v>
      </c>
      <c r="U5" s="218">
        <f>S5+T5</f>
        <v>0</v>
      </c>
    </row>
    <row r="6" spans="4:21" ht="18" customHeight="1">
      <c r="D6" s="216" t="s">
        <v>15</v>
      </c>
      <c r="E6" s="7" t="s">
        <v>217</v>
      </c>
      <c r="F6" s="7">
        <f>T_BS!J232</f>
        <v>-398706243</v>
      </c>
      <c r="G6" s="7">
        <v>0</v>
      </c>
      <c r="H6" s="7">
        <v>0</v>
      </c>
      <c r="I6" s="7">
        <v>0</v>
      </c>
      <c r="J6" s="7">
        <v>0</v>
      </c>
      <c r="K6" s="7">
        <f t="shared" ref="K6:K11" si="2">SUM(F6:J6)</f>
        <v>-398706243</v>
      </c>
      <c r="L6" s="217">
        <f>1-SCOPE!K5</f>
        <v>0</v>
      </c>
      <c r="M6" s="7">
        <f t="shared" si="0"/>
        <v>0</v>
      </c>
      <c r="N6" s="7">
        <v>3443881577</v>
      </c>
      <c r="O6" s="7"/>
      <c r="P6" s="7">
        <f t="shared" si="1"/>
        <v>3443881577</v>
      </c>
      <c r="Q6" s="7">
        <f t="shared" ref="Q6:Q11" si="3">$L$5</f>
        <v>0</v>
      </c>
      <c r="R6" s="7">
        <f t="shared" ref="R6:R11" si="4">P6*Q6</f>
        <v>0</v>
      </c>
      <c r="S6" s="7">
        <f t="shared" ref="S6:S11" si="5">M6-R6</f>
        <v>0</v>
      </c>
      <c r="T6" s="7">
        <f>T_BS!J255</f>
        <v>0</v>
      </c>
      <c r="U6" s="218">
        <f t="shared" ref="U6:U11" si="6">S6+T6</f>
        <v>0</v>
      </c>
    </row>
    <row r="7" spans="4:21" ht="18" customHeight="1">
      <c r="D7" s="216" t="s">
        <v>15</v>
      </c>
      <c r="E7" s="7" t="s">
        <v>213</v>
      </c>
      <c r="F7" s="7"/>
      <c r="G7" s="7">
        <v>0</v>
      </c>
      <c r="H7" s="7">
        <v>0</v>
      </c>
      <c r="I7" s="7">
        <v>0</v>
      </c>
      <c r="J7" s="7">
        <v>0</v>
      </c>
      <c r="K7" s="7">
        <f t="shared" si="2"/>
        <v>0</v>
      </c>
      <c r="L7" s="217">
        <f>1-SCOPE!K6</f>
        <v>0</v>
      </c>
      <c r="M7" s="7">
        <f t="shared" si="0"/>
        <v>0</v>
      </c>
      <c r="N7" s="7">
        <v>0</v>
      </c>
      <c r="O7" s="7"/>
      <c r="P7" s="7">
        <f t="shared" si="1"/>
        <v>0</v>
      </c>
      <c r="Q7" s="7">
        <f t="shared" si="3"/>
        <v>0</v>
      </c>
      <c r="R7" s="7">
        <f t="shared" si="4"/>
        <v>0</v>
      </c>
      <c r="S7" s="7">
        <f t="shared" si="5"/>
        <v>0</v>
      </c>
      <c r="T7" s="7"/>
      <c r="U7" s="218">
        <f t="shared" si="6"/>
        <v>0</v>
      </c>
    </row>
    <row r="8" spans="4:21" ht="18" customHeight="1">
      <c r="D8" s="216" t="s">
        <v>15</v>
      </c>
      <c r="E8" s="7" t="s">
        <v>214</v>
      </c>
      <c r="F8" s="7"/>
      <c r="G8" s="7">
        <v>0</v>
      </c>
      <c r="H8" s="7">
        <v>0</v>
      </c>
      <c r="I8" s="7">
        <v>0</v>
      </c>
      <c r="J8" s="7">
        <v>0</v>
      </c>
      <c r="K8" s="7">
        <f t="shared" si="2"/>
        <v>0</v>
      </c>
      <c r="L8" s="217">
        <f>1-SCOPE!K7</f>
        <v>0</v>
      </c>
      <c r="M8" s="7">
        <f t="shared" si="0"/>
        <v>0</v>
      </c>
      <c r="N8" s="7"/>
      <c r="O8" s="7"/>
      <c r="P8" s="7">
        <f t="shared" si="1"/>
        <v>0</v>
      </c>
      <c r="Q8" s="7">
        <f t="shared" si="3"/>
        <v>0</v>
      </c>
      <c r="R8" s="7">
        <f t="shared" si="4"/>
        <v>0</v>
      </c>
      <c r="S8" s="7">
        <f t="shared" si="5"/>
        <v>0</v>
      </c>
      <c r="T8" s="7"/>
      <c r="U8" s="218">
        <f t="shared" si="6"/>
        <v>0</v>
      </c>
    </row>
    <row r="9" spans="4:21" ht="18" customHeight="1">
      <c r="D9" s="216" t="s">
        <v>15</v>
      </c>
      <c r="E9" s="7" t="s">
        <v>215</v>
      </c>
      <c r="F9" s="7">
        <f>T_BS!K232</f>
        <v>3910903550</v>
      </c>
      <c r="G9" s="7">
        <v>0</v>
      </c>
      <c r="H9" s="7">
        <v>0</v>
      </c>
      <c r="I9" s="7">
        <v>0</v>
      </c>
      <c r="J9" s="7">
        <v>0</v>
      </c>
      <c r="K9" s="7">
        <f t="shared" si="2"/>
        <v>3910903550</v>
      </c>
      <c r="L9" s="217">
        <f>1-SCOPE!K8</f>
        <v>0</v>
      </c>
      <c r="M9" s="7">
        <f t="shared" si="0"/>
        <v>0</v>
      </c>
      <c r="N9" s="7">
        <v>29999999995</v>
      </c>
      <c r="O9" s="7">
        <f>'5.2'!AT19</f>
        <v>0</v>
      </c>
      <c r="P9" s="7">
        <f t="shared" si="1"/>
        <v>29999999995</v>
      </c>
      <c r="Q9" s="7">
        <f t="shared" si="3"/>
        <v>0</v>
      </c>
      <c r="R9" s="7">
        <f t="shared" si="4"/>
        <v>0</v>
      </c>
      <c r="S9" s="7">
        <f t="shared" si="5"/>
        <v>0</v>
      </c>
      <c r="T9" s="7">
        <f>T_BS!K255</f>
        <v>0</v>
      </c>
      <c r="U9" s="218">
        <f t="shared" si="6"/>
        <v>0</v>
      </c>
    </row>
    <row r="10" spans="4:21" ht="18" customHeight="1">
      <c r="D10" s="216" t="s">
        <v>15</v>
      </c>
      <c r="E10" s="7" t="s">
        <v>530</v>
      </c>
      <c r="F10" s="7"/>
      <c r="G10" s="7">
        <v>0</v>
      </c>
      <c r="H10" s="7">
        <v>0</v>
      </c>
      <c r="I10" s="7">
        <v>0</v>
      </c>
      <c r="J10" s="7">
        <v>0</v>
      </c>
      <c r="K10" s="7">
        <f t="shared" si="2"/>
        <v>0</v>
      </c>
      <c r="L10" s="217">
        <f>1-SCOPE!K9</f>
        <v>1</v>
      </c>
      <c r="M10" s="7">
        <f t="shared" si="0"/>
        <v>0</v>
      </c>
      <c r="N10" s="7"/>
      <c r="O10" s="7"/>
      <c r="P10" s="7">
        <f t="shared" si="1"/>
        <v>0</v>
      </c>
      <c r="Q10" s="7">
        <f t="shared" si="3"/>
        <v>0</v>
      </c>
      <c r="R10" s="7">
        <f t="shared" si="4"/>
        <v>0</v>
      </c>
      <c r="S10" s="7">
        <f t="shared" si="5"/>
        <v>0</v>
      </c>
      <c r="T10" s="7"/>
      <c r="U10" s="218">
        <f t="shared" si="6"/>
        <v>0</v>
      </c>
    </row>
    <row r="11" spans="4:21" ht="18" customHeight="1" thickBot="1">
      <c r="D11" s="216" t="s">
        <v>15</v>
      </c>
      <c r="E11" s="7" t="s">
        <v>216</v>
      </c>
      <c r="F11" s="7"/>
      <c r="G11" s="7">
        <v>0</v>
      </c>
      <c r="H11" s="7">
        <v>0</v>
      </c>
      <c r="I11" s="7">
        <v>0</v>
      </c>
      <c r="J11" s="7">
        <v>0</v>
      </c>
      <c r="K11" s="7">
        <f t="shared" si="2"/>
        <v>0</v>
      </c>
      <c r="L11" s="217">
        <f>1-SCOPE!K10</f>
        <v>0</v>
      </c>
      <c r="M11" s="7"/>
      <c r="N11" s="7"/>
      <c r="O11" s="7"/>
      <c r="P11" s="7">
        <f t="shared" si="1"/>
        <v>0</v>
      </c>
      <c r="Q11" s="7">
        <f t="shared" si="3"/>
        <v>0</v>
      </c>
      <c r="R11" s="7">
        <f t="shared" si="4"/>
        <v>0</v>
      </c>
      <c r="S11" s="7">
        <f t="shared" si="5"/>
        <v>0</v>
      </c>
      <c r="T11" s="7"/>
      <c r="U11" s="218">
        <f t="shared" si="6"/>
        <v>0</v>
      </c>
    </row>
    <row r="12" spans="4:21" ht="18" customHeight="1" thickBot="1">
      <c r="D12" s="219"/>
      <c r="E12" s="220"/>
      <c r="F12" s="220">
        <f>SUM(F5:F11)</f>
        <v>175516048092</v>
      </c>
      <c r="G12" s="220">
        <f t="shared" ref="G12:U12" si="7">SUM(G5:G11)</f>
        <v>0</v>
      </c>
      <c r="H12" s="220">
        <f t="shared" si="7"/>
        <v>0</v>
      </c>
      <c r="I12" s="220">
        <f t="shared" si="7"/>
        <v>0</v>
      </c>
      <c r="J12" s="220">
        <f t="shared" si="7"/>
        <v>0</v>
      </c>
      <c r="K12" s="220">
        <f t="shared" si="7"/>
        <v>175516048092</v>
      </c>
      <c r="L12" s="220">
        <f t="shared" si="7"/>
        <v>1</v>
      </c>
      <c r="M12" s="220">
        <f t="shared" si="7"/>
        <v>0</v>
      </c>
      <c r="N12" s="220">
        <f t="shared" si="7"/>
        <v>33443881572</v>
      </c>
      <c r="O12" s="220">
        <f t="shared" si="7"/>
        <v>0</v>
      </c>
      <c r="P12" s="220">
        <f t="shared" si="7"/>
        <v>33443881572</v>
      </c>
      <c r="Q12" s="220">
        <f t="shared" si="7"/>
        <v>0</v>
      </c>
      <c r="R12" s="220">
        <f t="shared" si="7"/>
        <v>0</v>
      </c>
      <c r="S12" s="220">
        <f t="shared" si="7"/>
        <v>0</v>
      </c>
      <c r="T12" s="220">
        <f t="shared" si="7"/>
        <v>0</v>
      </c>
      <c r="U12" s="221">
        <f t="shared" si="7"/>
        <v>0</v>
      </c>
    </row>
    <row r="14" spans="4:21" ht="18" customHeight="1">
      <c r="N14" s="222"/>
    </row>
    <row r="15" spans="4:21" ht="18" customHeight="1">
      <c r="N15" s="222"/>
    </row>
    <row r="23" spans="13:13" ht="18" customHeight="1">
      <c r="M23" s="222"/>
    </row>
    <row r="24" spans="13:13" ht="18" customHeight="1">
      <c r="M24" s="222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9">
    <tabColor rgb="FFFFFF00"/>
  </sheetPr>
  <dimension ref="C4:Q34"/>
  <sheetViews>
    <sheetView showGridLines="0" zoomScale="80" zoomScaleNormal="80" workbookViewId="0">
      <selection activeCell="O32" sqref="O32"/>
    </sheetView>
  </sheetViews>
  <sheetFormatPr defaultColWidth="9" defaultRowHeight="18" customHeight="1"/>
  <cols>
    <col min="1" max="3" width="2.375" style="524" customWidth="1"/>
    <col min="4" max="4" width="4" style="524" customWidth="1"/>
    <col min="5" max="5" width="31.875" style="524" bestFit="1" customWidth="1"/>
    <col min="6" max="17" width="16.375" style="524" customWidth="1"/>
    <col min="18" max="18" width="15.375" style="524" customWidth="1"/>
    <col min="19" max="19" width="15.125" style="524" customWidth="1"/>
    <col min="20" max="20" width="15.375" style="524" bestFit="1" customWidth="1"/>
    <col min="21" max="21" width="16.375" style="524" bestFit="1" customWidth="1"/>
    <col min="22" max="22" width="17.375" style="524" customWidth="1"/>
    <col min="23" max="16384" width="9" style="524"/>
  </cols>
  <sheetData>
    <row r="4" spans="3:14" ht="18" customHeight="1" thickBot="1">
      <c r="C4" s="524">
        <v>1</v>
      </c>
      <c r="D4" s="524" t="s">
        <v>579</v>
      </c>
    </row>
    <row r="5" spans="3:14" s="525" customFormat="1" ht="18" customHeight="1">
      <c r="E5" s="2191" t="s">
        <v>580</v>
      </c>
      <c r="F5" s="2193" t="s">
        <v>581</v>
      </c>
      <c r="G5" s="2193" t="s">
        <v>582</v>
      </c>
      <c r="H5" s="2193"/>
      <c r="I5" s="2193"/>
      <c r="J5" s="526"/>
      <c r="K5" s="526"/>
      <c r="L5" s="2193" t="s">
        <v>583</v>
      </c>
      <c r="M5" s="2193"/>
      <c r="N5" s="527"/>
    </row>
    <row r="6" spans="3:14" s="525" customFormat="1" ht="18" customHeight="1">
      <c r="E6" s="2192"/>
      <c r="F6" s="2194"/>
      <c r="G6" s="528" t="s">
        <v>584</v>
      </c>
      <c r="H6" s="528" t="s">
        <v>585</v>
      </c>
      <c r="I6" s="528" t="s">
        <v>586</v>
      </c>
      <c r="J6" s="528" t="s">
        <v>587</v>
      </c>
      <c r="K6" s="528" t="s">
        <v>588</v>
      </c>
      <c r="L6" s="528" t="s">
        <v>589</v>
      </c>
      <c r="M6" s="528" t="s">
        <v>578</v>
      </c>
      <c r="N6" s="529" t="s">
        <v>590</v>
      </c>
    </row>
    <row r="7" spans="3:14" ht="18" customHeight="1">
      <c r="D7" s="530"/>
      <c r="E7" s="531" t="s">
        <v>1858</v>
      </c>
      <c r="F7" s="532">
        <f>T_IS!H128</f>
        <v>29336239912</v>
      </c>
      <c r="G7" s="532">
        <v>0</v>
      </c>
      <c r="H7" s="532">
        <v>0</v>
      </c>
      <c r="I7" s="532">
        <v>0</v>
      </c>
      <c r="J7" s="532">
        <f t="shared" ref="J7:J12" si="0">SUM(F7:I7)</f>
        <v>29336239912</v>
      </c>
      <c r="K7" s="533">
        <f>NCE!L5</f>
        <v>0</v>
      </c>
      <c r="L7" s="532">
        <v>0</v>
      </c>
      <c r="M7" s="532"/>
      <c r="N7" s="534">
        <f t="shared" ref="N7:N14" si="1">ROUND(J7*(K7),)+ROUND(L7+M7,)</f>
        <v>0</v>
      </c>
    </row>
    <row r="8" spans="3:14" ht="18" customHeight="1">
      <c r="D8" s="530"/>
      <c r="E8" s="531" t="s">
        <v>2410</v>
      </c>
      <c r="F8" s="532">
        <f>T_IS!I128</f>
        <v>-355394710</v>
      </c>
      <c r="G8" s="532">
        <v>0</v>
      </c>
      <c r="H8" s="532">
        <v>0</v>
      </c>
      <c r="I8" s="532">
        <v>0</v>
      </c>
      <c r="J8" s="532">
        <f t="shared" si="0"/>
        <v>-355394710</v>
      </c>
      <c r="K8" s="533">
        <f>NCE!L6</f>
        <v>0</v>
      </c>
      <c r="L8" s="532"/>
      <c r="M8" s="532"/>
      <c r="N8" s="534"/>
    </row>
    <row r="9" spans="3:14" ht="18" customHeight="1">
      <c r="D9" s="530"/>
      <c r="E9" s="531" t="s">
        <v>217</v>
      </c>
      <c r="F9" s="532">
        <f>T_IS!J128</f>
        <v>238446853</v>
      </c>
      <c r="G9" s="532">
        <v>0</v>
      </c>
      <c r="H9" s="532">
        <v>0</v>
      </c>
      <c r="I9" s="532">
        <v>0</v>
      </c>
      <c r="J9" s="532">
        <f t="shared" si="0"/>
        <v>238446853</v>
      </c>
      <c r="K9" s="533">
        <f>NCE!L6</f>
        <v>0</v>
      </c>
      <c r="L9" s="532">
        <v>0</v>
      </c>
      <c r="M9" s="532"/>
      <c r="N9" s="534">
        <f t="shared" si="1"/>
        <v>0</v>
      </c>
    </row>
    <row r="10" spans="3:14" ht="18" customHeight="1">
      <c r="D10" s="530"/>
      <c r="E10" s="531" t="s">
        <v>213</v>
      </c>
      <c r="F10" s="532"/>
      <c r="G10" s="532">
        <v>0</v>
      </c>
      <c r="H10" s="532">
        <v>0</v>
      </c>
      <c r="I10" s="532">
        <v>0</v>
      </c>
      <c r="J10" s="532">
        <f t="shared" si="0"/>
        <v>0</v>
      </c>
      <c r="K10" s="533">
        <f>NCE!L7</f>
        <v>0</v>
      </c>
      <c r="L10" s="532">
        <v>0</v>
      </c>
      <c r="M10" s="532"/>
      <c r="N10" s="534">
        <f t="shared" si="1"/>
        <v>0</v>
      </c>
    </row>
    <row r="11" spans="3:14" ht="18" customHeight="1">
      <c r="D11" s="530"/>
      <c r="E11" s="531" t="s">
        <v>214</v>
      </c>
      <c r="F11" s="532"/>
      <c r="G11" s="532">
        <v>0</v>
      </c>
      <c r="H11" s="532">
        <v>0</v>
      </c>
      <c r="I11" s="532">
        <v>0</v>
      </c>
      <c r="J11" s="532">
        <f t="shared" si="0"/>
        <v>0</v>
      </c>
      <c r="K11" s="533">
        <f>NCE!L8</f>
        <v>0</v>
      </c>
      <c r="L11" s="532">
        <v>0</v>
      </c>
      <c r="M11" s="532"/>
      <c r="N11" s="534">
        <f t="shared" si="1"/>
        <v>0</v>
      </c>
    </row>
    <row r="12" spans="3:14" ht="18" customHeight="1">
      <c r="D12" s="530"/>
      <c r="E12" s="531" t="s">
        <v>215</v>
      </c>
      <c r="F12" s="532">
        <f>T_IS!K128</f>
        <v>1406232305</v>
      </c>
      <c r="G12" s="532">
        <v>0</v>
      </c>
      <c r="H12" s="532">
        <v>0</v>
      </c>
      <c r="I12" s="532">
        <v>0</v>
      </c>
      <c r="J12" s="532">
        <f t="shared" si="0"/>
        <v>1406232305</v>
      </c>
      <c r="K12" s="533">
        <f>NCE!L9</f>
        <v>0</v>
      </c>
      <c r="L12" s="532">
        <v>0</v>
      </c>
      <c r="M12" s="532"/>
      <c r="N12" s="534">
        <f t="shared" si="1"/>
        <v>0</v>
      </c>
    </row>
    <row r="13" spans="3:14" ht="18" customHeight="1">
      <c r="D13" s="530"/>
      <c r="E13" s="531" t="s">
        <v>530</v>
      </c>
      <c r="F13" s="532">
        <v>0</v>
      </c>
      <c r="G13" s="532">
        <v>0</v>
      </c>
      <c r="H13" s="532">
        <v>0</v>
      </c>
      <c r="I13" s="532">
        <v>0</v>
      </c>
      <c r="J13" s="532">
        <f>SUM(G13:I13)</f>
        <v>0</v>
      </c>
      <c r="K13" s="533">
        <v>0</v>
      </c>
      <c r="L13" s="532">
        <v>0</v>
      </c>
      <c r="M13" s="532"/>
      <c r="N13" s="534">
        <f t="shared" si="1"/>
        <v>0</v>
      </c>
    </row>
    <row r="14" spans="3:14" ht="18" customHeight="1" thickBot="1">
      <c r="D14" s="530"/>
      <c r="E14" s="1975" t="s">
        <v>216</v>
      </c>
      <c r="F14" s="1976"/>
      <c r="G14" s="1976">
        <v>0</v>
      </c>
      <c r="H14" s="1976">
        <v>0</v>
      </c>
      <c r="I14" s="1976">
        <v>0</v>
      </c>
      <c r="J14" s="1976">
        <f>SUM(F14:I14)</f>
        <v>0</v>
      </c>
      <c r="K14" s="1977">
        <f>NCE!L11</f>
        <v>0</v>
      </c>
      <c r="L14" s="1976">
        <v>0</v>
      </c>
      <c r="M14" s="1976"/>
      <c r="N14" s="1978">
        <f t="shared" si="1"/>
        <v>0</v>
      </c>
    </row>
    <row r="15" spans="3:14" ht="18" customHeight="1" thickTop="1" thickBot="1">
      <c r="E15" s="1979" t="s">
        <v>591</v>
      </c>
      <c r="F15" s="1980">
        <f>SUM(F7:F14)</f>
        <v>30625524360</v>
      </c>
      <c r="G15" s="1980">
        <f>SUM(G7:G14)</f>
        <v>0</v>
      </c>
      <c r="H15" s="1980">
        <f>SUM(H7:H14)</f>
        <v>0</v>
      </c>
      <c r="I15" s="1980">
        <f>SUM(I7:I14)</f>
        <v>0</v>
      </c>
      <c r="J15" s="1980">
        <f>SUM(J7:J14)</f>
        <v>30625524360</v>
      </c>
      <c r="K15" s="1980"/>
      <c r="L15" s="1980"/>
      <c r="M15" s="1980"/>
      <c r="N15" s="1981">
        <f>SUM(N7:N14)</f>
        <v>0</v>
      </c>
    </row>
    <row r="16" spans="3:14" ht="18" customHeight="1">
      <c r="L16" s="524">
        <v>0</v>
      </c>
    </row>
    <row r="17" spans="3:17" ht="18" customHeight="1">
      <c r="E17" s="535" t="s">
        <v>592</v>
      </c>
      <c r="F17" s="524">
        <f>T_IS!L128</f>
        <v>30625524360</v>
      </c>
      <c r="L17" s="524">
        <f>L15-L16</f>
        <v>0</v>
      </c>
    </row>
    <row r="18" spans="3:17" ht="18" customHeight="1">
      <c r="E18" s="535" t="s">
        <v>593</v>
      </c>
      <c r="F18" s="524">
        <f>F15-F17</f>
        <v>0</v>
      </c>
    </row>
    <row r="19" spans="3:17" ht="18" customHeight="1">
      <c r="E19" s="535"/>
    </row>
    <row r="20" spans="3:17" ht="18" customHeight="1" thickBot="1">
      <c r="C20" s="524">
        <v>2</v>
      </c>
      <c r="D20" s="524" t="s">
        <v>594</v>
      </c>
    </row>
    <row r="21" spans="3:17" ht="18" customHeight="1">
      <c r="E21" s="536" t="s">
        <v>580</v>
      </c>
      <c r="F21" s="537" t="s">
        <v>595</v>
      </c>
      <c r="G21" s="537" t="s">
        <v>596</v>
      </c>
      <c r="H21" s="537" t="s">
        <v>597</v>
      </c>
      <c r="I21" s="537" t="s">
        <v>598</v>
      </c>
      <c r="J21" s="537" t="s">
        <v>599</v>
      </c>
      <c r="K21" s="537" t="s">
        <v>600</v>
      </c>
      <c r="L21" s="537" t="s">
        <v>601</v>
      </c>
      <c r="M21" s="537" t="s">
        <v>602</v>
      </c>
      <c r="N21" s="537" t="s">
        <v>603</v>
      </c>
      <c r="O21" s="537" t="s">
        <v>604</v>
      </c>
      <c r="P21" s="537" t="s">
        <v>605</v>
      </c>
      <c r="Q21" s="538" t="s">
        <v>606</v>
      </c>
    </row>
    <row r="22" spans="3:17" ht="18" customHeight="1">
      <c r="E22" s="531" t="s">
        <v>1858</v>
      </c>
      <c r="F22" s="532">
        <v>0</v>
      </c>
      <c r="G22" s="532">
        <f>N7</f>
        <v>0</v>
      </c>
      <c r="H22" s="532">
        <v>0</v>
      </c>
      <c r="I22" s="532">
        <v>0</v>
      </c>
      <c r="J22" s="532">
        <v>0</v>
      </c>
      <c r="K22" s="532">
        <v>0</v>
      </c>
      <c r="L22" s="532">
        <v>0</v>
      </c>
      <c r="M22" s="532">
        <v>0</v>
      </c>
      <c r="N22" s="532">
        <v>0</v>
      </c>
      <c r="O22" s="532">
        <v>0</v>
      </c>
      <c r="P22" s="532">
        <f t="shared" ref="P22:P28" si="2">SUM(F22:O22)</f>
        <v>0</v>
      </c>
      <c r="Q22" s="534">
        <f>NCE!U5</f>
        <v>0</v>
      </c>
    </row>
    <row r="23" spans="3:17" ht="18" customHeight="1">
      <c r="E23" s="531" t="s">
        <v>217</v>
      </c>
      <c r="F23" s="532">
        <v>0</v>
      </c>
      <c r="G23" s="532">
        <f t="shared" ref="G23:G28" si="3">N9</f>
        <v>0</v>
      </c>
      <c r="H23" s="532">
        <v>0</v>
      </c>
      <c r="I23" s="532">
        <v>0</v>
      </c>
      <c r="J23" s="532">
        <v>0</v>
      </c>
      <c r="K23" s="532">
        <v>0</v>
      </c>
      <c r="L23" s="532">
        <v>0</v>
      </c>
      <c r="M23" s="532">
        <v>0</v>
      </c>
      <c r="N23" s="532">
        <v>0</v>
      </c>
      <c r="O23" s="532">
        <v>0</v>
      </c>
      <c r="P23" s="532">
        <f t="shared" si="2"/>
        <v>0</v>
      </c>
      <c r="Q23" s="534">
        <f>NCE!U6</f>
        <v>0</v>
      </c>
    </row>
    <row r="24" spans="3:17" ht="18" customHeight="1">
      <c r="E24" s="531" t="s">
        <v>213</v>
      </c>
      <c r="F24" s="532">
        <v>0</v>
      </c>
      <c r="G24" s="532">
        <f t="shared" si="3"/>
        <v>0</v>
      </c>
      <c r="H24" s="532">
        <v>0</v>
      </c>
      <c r="I24" s="532">
        <v>0</v>
      </c>
      <c r="J24" s="532">
        <v>0</v>
      </c>
      <c r="K24" s="532">
        <v>0</v>
      </c>
      <c r="L24" s="532">
        <v>0</v>
      </c>
      <c r="M24" s="532">
        <v>0</v>
      </c>
      <c r="N24" s="532">
        <v>0</v>
      </c>
      <c r="O24" s="532">
        <v>0</v>
      </c>
      <c r="P24" s="532">
        <f t="shared" si="2"/>
        <v>0</v>
      </c>
      <c r="Q24" s="534">
        <f>NCE!U7</f>
        <v>0</v>
      </c>
    </row>
    <row r="25" spans="3:17" ht="18" customHeight="1">
      <c r="E25" s="531" t="s">
        <v>214</v>
      </c>
      <c r="F25" s="532">
        <v>0</v>
      </c>
      <c r="G25" s="532">
        <f t="shared" si="3"/>
        <v>0</v>
      </c>
      <c r="H25" s="532">
        <v>0</v>
      </c>
      <c r="I25" s="532">
        <v>0</v>
      </c>
      <c r="J25" s="532">
        <v>0</v>
      </c>
      <c r="K25" s="532">
        <v>0</v>
      </c>
      <c r="L25" s="532">
        <v>0</v>
      </c>
      <c r="M25" s="532">
        <v>0</v>
      </c>
      <c r="N25" s="532">
        <v>0</v>
      </c>
      <c r="O25" s="532">
        <v>0</v>
      </c>
      <c r="P25" s="532">
        <f t="shared" si="2"/>
        <v>0</v>
      </c>
      <c r="Q25" s="534">
        <f>NCE!U8</f>
        <v>0</v>
      </c>
    </row>
    <row r="26" spans="3:17" ht="18" customHeight="1">
      <c r="E26" s="531" t="s">
        <v>215</v>
      </c>
      <c r="F26" s="532">
        <v>0</v>
      </c>
      <c r="G26" s="532">
        <f t="shared" si="3"/>
        <v>0</v>
      </c>
      <c r="H26" s="532">
        <v>0</v>
      </c>
      <c r="I26" s="532">
        <v>0</v>
      </c>
      <c r="J26" s="532">
        <v>0</v>
      </c>
      <c r="K26" s="532">
        <v>0</v>
      </c>
      <c r="L26" s="532">
        <v>0</v>
      </c>
      <c r="M26" s="532">
        <v>0</v>
      </c>
      <c r="N26" s="532">
        <v>0</v>
      </c>
      <c r="O26" s="532">
        <v>0</v>
      </c>
      <c r="P26" s="532">
        <f t="shared" si="2"/>
        <v>0</v>
      </c>
      <c r="Q26" s="534">
        <f>NCE!U9</f>
        <v>0</v>
      </c>
    </row>
    <row r="27" spans="3:17" ht="18" customHeight="1">
      <c r="E27" s="531" t="s">
        <v>530</v>
      </c>
      <c r="F27" s="532">
        <v>0</v>
      </c>
      <c r="G27" s="532">
        <f t="shared" si="3"/>
        <v>0</v>
      </c>
      <c r="H27" s="532">
        <v>0</v>
      </c>
      <c r="I27" s="532">
        <v>0</v>
      </c>
      <c r="J27" s="532">
        <v>0</v>
      </c>
      <c r="K27" s="532">
        <v>0</v>
      </c>
      <c r="L27" s="532">
        <v>0</v>
      </c>
      <c r="M27" s="532">
        <v>0</v>
      </c>
      <c r="N27" s="532">
        <v>0</v>
      </c>
      <c r="O27" s="532">
        <v>0</v>
      </c>
      <c r="P27" s="532">
        <f t="shared" si="2"/>
        <v>0</v>
      </c>
      <c r="Q27" s="534">
        <f>NCE!U10</f>
        <v>0</v>
      </c>
    </row>
    <row r="28" spans="3:17" ht="18" customHeight="1" thickBot="1">
      <c r="E28" s="1975" t="s">
        <v>216</v>
      </c>
      <c r="F28" s="1976">
        <v>0</v>
      </c>
      <c r="G28" s="1976">
        <f t="shared" si="3"/>
        <v>0</v>
      </c>
      <c r="H28" s="1976">
        <v>0</v>
      </c>
      <c r="I28" s="1976">
        <v>0</v>
      </c>
      <c r="J28" s="1976">
        <v>0</v>
      </c>
      <c r="K28" s="1976">
        <v>0</v>
      </c>
      <c r="L28" s="1976">
        <v>0</v>
      </c>
      <c r="M28" s="1976">
        <v>0</v>
      </c>
      <c r="N28" s="1976">
        <v>0</v>
      </c>
      <c r="O28" s="1976">
        <v>0</v>
      </c>
      <c r="P28" s="1976">
        <f t="shared" si="2"/>
        <v>0</v>
      </c>
      <c r="Q28" s="1978">
        <f>NCE!U11</f>
        <v>0</v>
      </c>
    </row>
    <row r="29" spans="3:17" ht="18" customHeight="1" thickTop="1" thickBot="1">
      <c r="E29" s="1982"/>
      <c r="F29" s="1980">
        <f t="shared" ref="F29:Q29" si="4">SUM(F22:F28)</f>
        <v>0</v>
      </c>
      <c r="G29" s="1980">
        <f t="shared" si="4"/>
        <v>0</v>
      </c>
      <c r="H29" s="1980">
        <f t="shared" si="4"/>
        <v>0</v>
      </c>
      <c r="I29" s="1980">
        <f t="shared" si="4"/>
        <v>0</v>
      </c>
      <c r="J29" s="1980">
        <f>SUM(J22:J28)</f>
        <v>0</v>
      </c>
      <c r="K29" s="1980">
        <f>SUM(K22:K28)</f>
        <v>0</v>
      </c>
      <c r="L29" s="1980">
        <f t="shared" si="4"/>
        <v>0</v>
      </c>
      <c r="M29" s="1980">
        <f t="shared" si="4"/>
        <v>0</v>
      </c>
      <c r="N29" s="1980">
        <f t="shared" si="4"/>
        <v>0</v>
      </c>
      <c r="O29" s="1980">
        <f t="shared" si="4"/>
        <v>0</v>
      </c>
      <c r="P29" s="1980">
        <f t="shared" si="4"/>
        <v>0</v>
      </c>
      <c r="Q29" s="1983">
        <f t="shared" si="4"/>
        <v>0</v>
      </c>
    </row>
    <row r="30" spans="3:17" ht="18" customHeight="1">
      <c r="H30" s="539"/>
      <c r="J30" s="539"/>
      <c r="K30" s="539"/>
      <c r="M30" s="535"/>
    </row>
    <row r="31" spans="3:17" ht="18" customHeight="1">
      <c r="E31" s="524" t="s">
        <v>607</v>
      </c>
      <c r="F31" s="524">
        <v>29236497101</v>
      </c>
      <c r="G31" s="540" t="b">
        <f>F31=T_IS!X127</f>
        <v>1</v>
      </c>
    </row>
    <row r="32" spans="3:17" ht="18" customHeight="1">
      <c r="E32" s="524" t="s">
        <v>608</v>
      </c>
      <c r="F32" s="524">
        <f>F31</f>
        <v>29236497101</v>
      </c>
    </row>
    <row r="33" spans="5:6" ht="18" customHeight="1" thickBot="1">
      <c r="E33" s="524" t="s">
        <v>609</v>
      </c>
    </row>
    <row r="34" spans="5:6" ht="18" customHeight="1" thickBot="1">
      <c r="E34" s="541"/>
      <c r="F34" s="542">
        <f>SUM(F32:F33)</f>
        <v>29236497101</v>
      </c>
    </row>
  </sheetData>
  <mergeCells count="4">
    <mergeCell ref="E5:E6"/>
    <mergeCell ref="F5:F6"/>
    <mergeCell ref="G5:I5"/>
    <mergeCell ref="L5:M5"/>
  </mergeCells>
  <phoneticPr fontId="22" type="noConversion"/>
  <pageMargins left="0.7" right="0.7" top="0.75" bottom="0.75" header="0.3" footer="0.3"/>
  <pageSetup paperSize="9" orientation="portrait" r:id="rId1"/>
  <ignoredErrors>
    <ignoredError sqref="G23:O30 K13:O13 K14:O18 K20:O22" evalError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"/>
  <sheetViews>
    <sheetView workbookViewId="0"/>
  </sheetViews>
  <sheetFormatPr defaultRowHeight="16.5"/>
  <sheetData>
    <row r="1" spans="1:5">
      <c r="A1" t="s">
        <v>2686</v>
      </c>
      <c r="B1" t="s">
        <v>2687</v>
      </c>
      <c r="C1" t="s">
        <v>2688</v>
      </c>
      <c r="D1" t="s">
        <v>2689</v>
      </c>
      <c r="E1" t="s">
        <v>2690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"/>
  <sheetViews>
    <sheetView workbookViewId="0"/>
  </sheetViews>
  <sheetFormatPr defaultRowHeight="16.5"/>
  <sheetData>
    <row r="1" spans="1:10">
      <c r="A1" t="s">
        <v>2691</v>
      </c>
      <c r="B1" t="s">
        <v>2692</v>
      </c>
      <c r="C1" t="s">
        <v>2693</v>
      </c>
      <c r="D1" t="s">
        <v>2694</v>
      </c>
      <c r="E1" t="s">
        <v>2695</v>
      </c>
      <c r="F1" t="s">
        <v>2696</v>
      </c>
      <c r="G1" t="s">
        <v>2697</v>
      </c>
      <c r="H1" t="s">
        <v>2698</v>
      </c>
      <c r="I1" t="s">
        <v>2699</v>
      </c>
      <c r="J1" t="s">
        <v>2700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workbookViewId="0"/>
  </sheetViews>
  <sheetFormatPr defaultRowHeight="16.5"/>
  <sheetData>
    <row r="1" spans="1:4">
      <c r="A1" t="s">
        <v>2701</v>
      </c>
      <c r="B1" t="s">
        <v>2702</v>
      </c>
      <c r="C1" t="s">
        <v>2703</v>
      </c>
      <c r="D1" t="s">
        <v>2704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/>
  </sheetViews>
  <sheetFormatPr defaultRowHeight="16.5"/>
  <sheetData>
    <row r="1" spans="1:4">
      <c r="A1" t="s">
        <v>2705</v>
      </c>
      <c r="B1" t="s">
        <v>2706</v>
      </c>
      <c r="C1" t="s">
        <v>2707</v>
      </c>
      <c r="D1" t="s">
        <v>2708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"/>
  <sheetViews>
    <sheetView zoomScaleNormal="100" workbookViewId="0"/>
  </sheetViews>
  <sheetFormatPr defaultRowHeight="16.5"/>
  <sheetData>
    <row r="1" spans="1:5">
      <c r="A1" t="s">
        <v>2686</v>
      </c>
      <c r="B1" t="s">
        <v>2687</v>
      </c>
      <c r="C1" t="s">
        <v>2688</v>
      </c>
      <c r="D1" t="s">
        <v>2689</v>
      </c>
      <c r="E1" t="s">
        <v>2690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"/>
  <sheetViews>
    <sheetView zoomScaleNormal="100" workbookViewId="0"/>
  </sheetViews>
  <sheetFormatPr defaultRowHeight="16.5"/>
  <sheetData>
    <row r="1" spans="1:10">
      <c r="A1" t="s">
        <v>2691</v>
      </c>
      <c r="B1" t="s">
        <v>2692</v>
      </c>
      <c r="C1" t="s">
        <v>2693</v>
      </c>
      <c r="D1" t="s">
        <v>2694</v>
      </c>
      <c r="E1" t="s">
        <v>2695</v>
      </c>
      <c r="F1" t="s">
        <v>2696</v>
      </c>
      <c r="G1" t="s">
        <v>2697</v>
      </c>
      <c r="H1" t="s">
        <v>2698</v>
      </c>
      <c r="I1" t="s">
        <v>2699</v>
      </c>
      <c r="J1" t="s">
        <v>2700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"/>
  <sheetViews>
    <sheetView zoomScaleNormal="100" workbookViewId="0"/>
  </sheetViews>
  <sheetFormatPr defaultRowHeight="16.5"/>
  <sheetData>
    <row r="1" spans="1:4">
      <c r="A1" t="s">
        <v>2701</v>
      </c>
      <c r="B1" t="s">
        <v>2702</v>
      </c>
      <c r="C1" t="s">
        <v>2703</v>
      </c>
      <c r="D1" t="s">
        <v>2704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zoomScaleNormal="100" workbookViewId="0"/>
  </sheetViews>
  <sheetFormatPr defaultRowHeight="16.5"/>
  <sheetData>
    <row r="1" spans="1:4">
      <c r="A1" t="s">
        <v>2705</v>
      </c>
      <c r="B1" t="s">
        <v>2706</v>
      </c>
      <c r="C1" t="s">
        <v>2707</v>
      </c>
      <c r="D1" t="s">
        <v>2708</v>
      </c>
    </row>
  </sheetData>
  <phoneticPr fontId="22" type="noConversion"/>
  <pageMargins left="0.7" right="0.7" top="0.7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"/>
  <sheetViews>
    <sheetView workbookViewId="0"/>
  </sheetViews>
  <sheetFormatPr defaultRowHeight="16.5"/>
  <sheetData>
    <row r="1" spans="1:5">
      <c r="A1" t="s">
        <v>2686</v>
      </c>
      <c r="B1" t="s">
        <v>2687</v>
      </c>
      <c r="C1" t="s">
        <v>2688</v>
      </c>
      <c r="D1" t="s">
        <v>2689</v>
      </c>
      <c r="E1" t="s">
        <v>2690</v>
      </c>
    </row>
  </sheetData>
  <phoneticPr fontId="22" type="noConversion"/>
  <pageMargins left="0.7" right="0.7" top="0.7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"/>
  <sheetViews>
    <sheetView workbookViewId="0"/>
  </sheetViews>
  <sheetFormatPr defaultRowHeight="16.5"/>
  <sheetData>
    <row r="1" spans="1:10">
      <c r="A1" t="s">
        <v>2691</v>
      </c>
      <c r="B1" t="s">
        <v>2692</v>
      </c>
      <c r="C1" t="s">
        <v>2693</v>
      </c>
      <c r="D1" t="s">
        <v>2694</v>
      </c>
      <c r="E1" t="s">
        <v>2695</v>
      </c>
      <c r="F1" t="s">
        <v>2696</v>
      </c>
      <c r="G1" t="s">
        <v>2697</v>
      </c>
      <c r="H1" t="s">
        <v>2698</v>
      </c>
      <c r="I1" t="s">
        <v>2699</v>
      </c>
      <c r="J1" t="s">
        <v>2700</v>
      </c>
    </row>
  </sheetData>
  <phoneticPr fontId="22" type="noConversion"/>
  <pageMargins left="0.7" right="0.7" top="0.7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"/>
  <sheetViews>
    <sheetView workbookViewId="0"/>
  </sheetViews>
  <sheetFormatPr defaultRowHeight="16.5"/>
  <sheetData>
    <row r="1" spans="1:4">
      <c r="A1" t="s">
        <v>2701</v>
      </c>
      <c r="B1" t="s">
        <v>2702</v>
      </c>
      <c r="C1" t="s">
        <v>2703</v>
      </c>
      <c r="D1" t="s">
        <v>2704</v>
      </c>
    </row>
  </sheetData>
  <phoneticPr fontId="22" type="noConversion"/>
  <pageMargins left="0.7" right="0.7" top="0.7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"/>
  <sheetViews>
    <sheetView workbookViewId="0"/>
  </sheetViews>
  <sheetFormatPr defaultRowHeight="16.5"/>
  <sheetData>
    <row r="1" spans="1:4">
      <c r="A1" t="s">
        <v>2705</v>
      </c>
      <c r="B1" t="s">
        <v>2706</v>
      </c>
      <c r="C1" t="s">
        <v>2707</v>
      </c>
      <c r="D1" t="s">
        <v>2708</v>
      </c>
    </row>
  </sheetData>
  <phoneticPr fontId="22" type="noConversion"/>
  <pageMargins left="0.7" right="0.7" top="0.7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034C15A9056594FA95091338A27108C" ma:contentTypeVersion="0" ma:contentTypeDescription="새 문서를 만듭니다." ma:contentTypeScope="" ma:versionID="341cca1eb3685c90aba35c931049f2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53df8cedb0a69f5bea2107cee84c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DAEMSEngagementItemInfo xmlns="http://schemas.microsoft.com/DAEMSEngagementItemInfoXML">
  <EngagementID>5000108464</EngagementID>
  <LogicalEMSServerID>4616908268048594663</LogicalEMSServerID>
  <WorkingPaperID>3926469894200000113</WorkingPaperID>
</DAEMSEngagementItemInfo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4C2B27-B3D4-400F-9F17-F97271578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AFC881-C05A-4F14-8308-C783944EAC1A}">
  <ds:schemaRefs>
    <ds:schemaRef ds:uri="http://schemas.microsoft.com/DAEMSEngagementItemInfoXML"/>
  </ds:schemaRefs>
</ds:datastoreItem>
</file>

<file path=customXml/itemProps3.xml><?xml version="1.0" encoding="utf-8"?>
<ds:datastoreItem xmlns:ds="http://schemas.openxmlformats.org/officeDocument/2006/customXml" ds:itemID="{248EC82A-EC21-4D36-84A5-73AD5C33670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E93454F-6FA1-41B1-8127-10E28708B6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INDEX</vt:lpstr>
      <vt:lpstr>SCOPE</vt:lpstr>
      <vt:lpstr>CF.1_2개월(단순차감)</vt:lpstr>
      <vt:lpstr>자본변동</vt:lpstr>
      <vt:lpstr>재무상태요약</vt:lpstr>
      <vt:lpstr>T_BS</vt:lpstr>
      <vt:lpstr>T_IS _10월</vt:lpstr>
      <vt:lpstr>T_IS</vt:lpstr>
      <vt:lpstr>T_CE</vt:lpstr>
      <vt:lpstr>CF.1</vt:lpstr>
      <vt:lpstr>CF.2</vt:lpstr>
      <vt:lpstr>BS(공)</vt:lpstr>
      <vt:lpstr>IS(공)</vt:lpstr>
      <vt:lpstr>CE(공)</vt:lpstr>
      <vt:lpstr>CF(공)_1.0</vt:lpstr>
      <vt:lpstr>CF(공)_2.0</vt:lpstr>
      <vt:lpstr>TB</vt:lpstr>
      <vt:lpstr>연결조정 분개</vt:lpstr>
      <vt:lpstr>CFS(2개월)</vt:lpstr>
      <vt:lpstr>스튜디오돌핀(취득일BS)</vt:lpstr>
      <vt:lpstr>CFS(연간)</vt:lpstr>
      <vt:lpstr>T198_TB</vt:lpstr>
      <vt:lpstr>1.0</vt:lpstr>
      <vt:lpstr>2.1</vt:lpstr>
      <vt:lpstr>2.0</vt:lpstr>
      <vt:lpstr>3.1</vt:lpstr>
      <vt:lpstr>3.0</vt:lpstr>
      <vt:lpstr>4.0</vt:lpstr>
      <vt:lpstr>5.0</vt:lpstr>
      <vt:lpstr>5.1_V2</vt:lpstr>
      <vt:lpstr>5.1</vt:lpstr>
      <vt:lpstr>5.2</vt:lpstr>
      <vt:lpstr>5.2_V2</vt:lpstr>
      <vt:lpstr>5.3</vt:lpstr>
      <vt:lpstr>7.1</vt:lpstr>
      <vt:lpstr>6.0</vt:lpstr>
      <vt:lpstr>7.0</vt:lpstr>
      <vt:lpstr>8.0</vt:lpstr>
      <vt:lpstr>8.1</vt:lpstr>
      <vt:lpstr>OCI</vt:lpstr>
      <vt:lpstr>NCE</vt:lpstr>
      <vt:lpstr>NCI</vt:lpstr>
      <vt:lpstr>Tickmarks2022-07-13 오후 4.28.39</vt:lpstr>
      <vt:lpstr>RNotes2022-07-13 오후 4.28.39</vt:lpstr>
      <vt:lpstr>TextXRef2022-07-13 오후 4.28.39</vt:lpstr>
      <vt:lpstr>NumXRef2022-07-13 오후 4.28.39</vt:lpstr>
      <vt:lpstr>Tickmarks2022-10-13 오후 3.20.15</vt:lpstr>
      <vt:lpstr>RNotes2022-10-13 오후 3.20.15</vt:lpstr>
      <vt:lpstr>TextXRef2022-10-13 오후 3.20.15</vt:lpstr>
      <vt:lpstr>NumXRef2022-10-13 오후 3.20.15</vt:lpstr>
      <vt:lpstr>Tickmarks2022-10-13 오후 6.54.54</vt:lpstr>
      <vt:lpstr>RNotes2022-10-13 오후 6.54.54</vt:lpstr>
      <vt:lpstr>TextXRef2022-10-13 오후 6.54.54</vt:lpstr>
      <vt:lpstr>NumXRef2022-10-13 오후 6.54.54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dreamus</dc:creator>
  <cp:lastModifiedBy>Nathan</cp:lastModifiedBy>
  <dcterms:created xsi:type="dcterms:W3CDTF">2015-06-05T18:17:20Z</dcterms:created>
  <dcterms:modified xsi:type="dcterms:W3CDTF">2023-01-06T08:05:28Z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0x010100E034C15A9056594FA95091338A27108C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2021-07-08T09:15:16Z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39fbc109-ed3a-4a5d-9fb7-7754f1b77351</vt:lpwstr>
  </property>
  <property fmtid="{D5CDD505-2E9C-101B-9397-08002B2CF9AE}" pid="9" name="MSIP_Label_ea60d57e-af5b-4752-ac57-3e4f28ca11dc_ContentBits">
    <vt:lpwstr>0</vt:lpwstr>
  </property>
</Properties>
</file>